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LVTN\"/>
    </mc:Choice>
  </mc:AlternateContent>
  <xr:revisionPtr revIDLastSave="0" documentId="13_ncr:1_{900D5E5F-4B94-421E-9BB1-4AEABCA03B25}" xr6:coauthVersionLast="45" xr6:coauthVersionMax="45" xr10:uidLastSave="{00000000-0000-0000-0000-000000000000}"/>
  <bookViews>
    <workbookView xWindow="-120" yWindow="-120" windowWidth="20730" windowHeight="11160" tabRatio="810" xr2:uid="{00000000-000D-0000-FFFF-FFFF00000000}"/>
  </bookViews>
  <sheets>
    <sheet name="TH" sheetId="1" r:id="rId1"/>
    <sheet name="config" sheetId="6" r:id="rId2"/>
    <sheet name="Cotthep" sheetId="3" r:id="rId3"/>
    <sheet name="betong" sheetId="4" r:id="rId4"/>
    <sheet name="tinhtai_san" sheetId="5" r:id="rId5"/>
    <sheet name="hoattai_san" sheetId="7" r:id="rId6"/>
    <sheet name="tải sàn" sheetId="11" r:id="rId7"/>
    <sheet name="momen 1p" sheetId="12" r:id="rId8"/>
    <sheet name="dam loai 1 T2" sheetId="19" r:id="rId9"/>
    <sheet name="dam loai 2 T2" sheetId="20" r:id="rId10"/>
    <sheet name="dam loai 3 T2" sheetId="25" r:id="rId11"/>
    <sheet name="TONG HOP T2" sheetId="21" r:id="rId12"/>
    <sheet name="dam loai 1 TD" sheetId="22" r:id="rId13"/>
    <sheet name="dam loai 2 TD" sheetId="23" r:id="rId14"/>
    <sheet name="dam loai 3 TD" sheetId="26" r:id="rId15"/>
    <sheet name="TONG HOP TD" sheetId="24" r:id="rId16"/>
    <sheet name="thepsan 1p" sheetId="13" r:id="rId17"/>
    <sheet name="momensan" sheetId="16" r:id="rId18"/>
    <sheet name="thepsan" sheetId="17" r:id="rId19"/>
    <sheet name="du lieu" sheetId="15" r:id="rId20"/>
    <sheet name="tra thep" sheetId="14" r:id="rId21"/>
    <sheet name="TINH TOAN" sheetId="8" r:id="rId22"/>
    <sheet name="Sheet1" sheetId="18" r:id="rId23"/>
  </sheets>
  <externalReferences>
    <externalReference r:id="rId24"/>
  </externalReferences>
  <definedNames>
    <definedName name="_Toc445542596" localSheetId="0">TH!$A$63</definedName>
    <definedName name="_Toc445542641" localSheetId="0">TH!$A$179</definedName>
    <definedName name="_Toc44590596" localSheetId="0">TH!$A$46</definedName>
    <definedName name="_Toc44590676" localSheetId="0">TH!$A$242</definedName>
    <definedName name="B_BT">[1]DATA!$J$9:$T$13</definedName>
    <definedName name="B_CT">[1]DATA!$J$17:$P$22</definedName>
    <definedName name="ExternalData_1" localSheetId="21" hidden="1">'TINH TOAN'!$A$1:$H$30</definedName>
    <definedName name="MBT">[1]DATA!$J$9:$T$9</definedName>
    <definedName name="MT">[1]DATA!$J$17:$P$17</definedName>
    <definedName name="solethapphan">config!$B$1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9" i="1" l="1"/>
  <c r="B70" i="1"/>
  <c r="H13" i="12"/>
  <c r="B104" i="1"/>
  <c r="B71" i="1" l="1"/>
  <c r="H259" i="1"/>
  <c r="J254" i="1"/>
  <c r="I254" i="1"/>
  <c r="H254" i="1"/>
  <c r="D232" i="1"/>
  <c r="D254" i="1"/>
  <c r="D255" i="1"/>
  <c r="E227" i="1"/>
  <c r="D227" i="1"/>
  <c r="D253" i="1" s="1"/>
  <c r="D250" i="1"/>
  <c r="B250" i="1"/>
  <c r="D233" i="1"/>
  <c r="D234" i="1"/>
  <c r="D235" i="1"/>
  <c r="D236" i="1"/>
  <c r="D237" i="1"/>
  <c r="D238" i="1"/>
  <c r="D239" i="1"/>
  <c r="D240" i="1"/>
  <c r="D247" i="1"/>
  <c r="B247" i="1" s="1"/>
  <c r="C247" i="1"/>
  <c r="D229" i="1"/>
  <c r="B246" i="1"/>
  <c r="C246" i="1" s="1"/>
  <c r="B245" i="1"/>
  <c r="B244" i="1" s="1"/>
  <c r="D230" i="1"/>
  <c r="B243" i="1"/>
  <c r="E228" i="1"/>
  <c r="B230" i="1"/>
  <c r="B229" i="1"/>
  <c r="B248" i="1" l="1"/>
  <c r="B249" i="1" s="1"/>
  <c r="F253" i="1" s="1"/>
  <c r="B195" i="1"/>
  <c r="B218" i="1"/>
  <c r="W29" i="7"/>
  <c r="W30" i="7"/>
  <c r="W31" i="7"/>
  <c r="W28" i="7"/>
  <c r="V29" i="7"/>
  <c r="V30" i="7"/>
  <c r="V31" i="7"/>
  <c r="V28" i="7"/>
  <c r="U29" i="7"/>
  <c r="U30" i="7"/>
  <c r="U31" i="7"/>
  <c r="U28" i="7"/>
  <c r="T29" i="7"/>
  <c r="T30" i="7"/>
  <c r="T31" i="7"/>
  <c r="T28" i="7"/>
  <c r="S29" i="7"/>
  <c r="S30" i="7" s="1"/>
  <c r="S31" i="7" s="1"/>
  <c r="S28" i="7"/>
  <c r="R39" i="7"/>
  <c r="R40" i="7"/>
  <c r="R41" i="7"/>
  <c r="R38" i="7"/>
  <c r="R30" i="7"/>
  <c r="R29" i="7"/>
  <c r="R28" i="7"/>
  <c r="R27" i="7"/>
  <c r="N16" i="7"/>
  <c r="N17" i="7"/>
  <c r="N18" i="7"/>
  <c r="N19" i="7"/>
  <c r="N20" i="7"/>
  <c r="N21" i="7"/>
  <c r="N15" i="7"/>
  <c r="B212" i="1"/>
  <c r="B219" i="1"/>
  <c r="B214" i="1"/>
  <c r="B213" i="1"/>
  <c r="C211" i="1"/>
  <c r="B211" i="1"/>
  <c r="E215" i="1"/>
  <c r="D215" i="1"/>
  <c r="B216" i="1" s="1"/>
  <c r="D208" i="1"/>
  <c r="B224" i="1"/>
  <c r="B208" i="1"/>
  <c r="B205" i="1"/>
  <c r="B209" i="1" s="1"/>
  <c r="B201" i="1"/>
  <c r="B196" i="1"/>
  <c r="B193" i="1"/>
  <c r="E192" i="1"/>
  <c r="D192" i="1"/>
  <c r="C188" i="1"/>
  <c r="B188" i="1"/>
  <c r="Q48" i="5"/>
  <c r="Q39" i="5"/>
  <c r="B91" i="1"/>
  <c r="D187" i="1" s="1"/>
  <c r="B251" i="1" l="1"/>
  <c r="B252" i="1" s="1"/>
  <c r="H253" i="1" s="1"/>
  <c r="R32" i="7"/>
  <c r="D210" i="1"/>
  <c r="B185" i="1"/>
  <c r="B182" i="1"/>
  <c r="I253" i="1" l="1"/>
  <c r="B253" i="1"/>
  <c r="G253" i="1"/>
  <c r="J253" i="1"/>
  <c r="B186" i="1"/>
  <c r="D185" i="1"/>
  <c r="B16" i="5"/>
  <c r="B5" i="5"/>
  <c r="B190" i="1" l="1"/>
  <c r="B191" i="1" s="1"/>
  <c r="B189" i="1"/>
  <c r="B49" i="1"/>
  <c r="B56" i="1" l="1"/>
  <c r="B57" i="1"/>
  <c r="B48" i="1"/>
  <c r="B52" i="1" s="1"/>
  <c r="B59" i="1"/>
  <c r="B60" i="1"/>
  <c r="B51" i="1"/>
  <c r="D9" i="24"/>
  <c r="D11" i="24"/>
  <c r="D12" i="24"/>
  <c r="C7" i="24"/>
  <c r="D7" i="24" s="1"/>
  <c r="C8" i="24"/>
  <c r="D8" i="24" s="1"/>
  <c r="C9" i="24"/>
  <c r="C10" i="24"/>
  <c r="D10" i="24" s="1"/>
  <c r="C11" i="24"/>
  <c r="C12" i="24"/>
  <c r="C6" i="24"/>
  <c r="C7" i="21"/>
  <c r="D7" i="21" s="1"/>
  <c r="C8" i="21"/>
  <c r="C9" i="21"/>
  <c r="C6" i="2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c r="H14" i="19"/>
  <c r="I14" i="19"/>
  <c r="H15" i="19"/>
  <c r="I15" i="19"/>
  <c r="H16" i="19"/>
  <c r="I16" i="19"/>
  <c r="H17" i="19"/>
  <c r="I17" i="19"/>
  <c r="H18" i="19"/>
  <c r="I18" i="19" s="1"/>
  <c r="H18" i="21"/>
  <c r="E18" i="21"/>
  <c r="H10" i="19"/>
  <c r="I10" i="19" s="1"/>
  <c r="I6" i="20"/>
  <c r="I9" i="23"/>
  <c r="H9" i="23"/>
  <c r="H8" i="23"/>
  <c r="I8" i="23" s="1"/>
  <c r="I7" i="23"/>
  <c r="H7" i="23"/>
  <c r="H6" i="23"/>
  <c r="I6" i="23" s="1"/>
  <c r="H14" i="22"/>
  <c r="I14" i="22" s="1"/>
  <c r="H13" i="22"/>
  <c r="I13" i="22" s="1"/>
  <c r="I12" i="22"/>
  <c r="H12" i="22"/>
  <c r="H11" i="22"/>
  <c r="I11" i="22" s="1"/>
  <c r="H9" i="22"/>
  <c r="I9" i="22" s="1"/>
  <c r="H7" i="22"/>
  <c r="I7" i="22" s="1"/>
  <c r="I6" i="22"/>
  <c r="H6" i="22"/>
  <c r="D9" i="21"/>
  <c r="K10" i="21"/>
  <c r="K11" i="21"/>
  <c r="I10" i="21"/>
  <c r="I11" i="21"/>
  <c r="J11" i="21" s="1"/>
  <c r="D8" i="21"/>
  <c r="D10" i="21"/>
  <c r="D11" i="21"/>
  <c r="D6" i="21"/>
  <c r="H7" i="20"/>
  <c r="I7" i="20" s="1"/>
  <c r="H8" i="20"/>
  <c r="I8" i="20" s="1"/>
  <c r="H9" i="20"/>
  <c r="I9" i="20" s="1"/>
  <c r="H6" i="20"/>
  <c r="H9" i="19"/>
  <c r="H8" i="19"/>
  <c r="H7" i="19"/>
  <c r="I7" i="19" s="1"/>
  <c r="H6" i="19"/>
  <c r="I8" i="19"/>
  <c r="I9" i="19"/>
  <c r="I6" i="19"/>
  <c r="D175" i="1"/>
  <c r="D22" i="1"/>
  <c r="D23" i="1"/>
  <c r="D31" i="1"/>
  <c r="D27" i="1"/>
  <c r="C175" i="1"/>
  <c r="D28" i="1"/>
  <c r="J173" i="1"/>
  <c r="I173" i="1"/>
  <c r="S10" i="14"/>
  <c r="S11" i="14"/>
  <c r="S12" i="14"/>
  <c r="S13" i="14"/>
  <c r="S14" i="14"/>
  <c r="S15" i="14"/>
  <c r="S16" i="14"/>
  <c r="S17" i="14"/>
  <c r="S9" i="14"/>
  <c r="F171" i="1"/>
  <c r="J171" i="1" s="1"/>
  <c r="J162" i="1"/>
  <c r="D171" i="1"/>
  <c r="B178" i="1" l="1"/>
  <c r="J10" i="21"/>
  <c r="B168" i="1"/>
  <c r="B159" i="1"/>
  <c r="F168" i="1"/>
  <c r="F129" i="1"/>
  <c r="C128" i="1"/>
  <c r="J156" i="1"/>
  <c r="I156" i="1" s="1"/>
  <c r="J155" i="1"/>
  <c r="I155" i="1" s="1"/>
  <c r="D152" i="1"/>
  <c r="B149" i="1"/>
  <c r="J147" i="1"/>
  <c r="I147" i="1" s="1"/>
  <c r="J146" i="1"/>
  <c r="I146" i="1" s="1"/>
  <c r="D121" i="1"/>
  <c r="H121" i="1" s="1"/>
  <c r="G46" i="1"/>
  <c r="B122" i="1"/>
  <c r="C127" i="1" s="1"/>
  <c r="H134" i="1" l="1"/>
  <c r="H133" i="1" l="1"/>
  <c r="H131" i="1"/>
  <c r="H130" i="1"/>
  <c r="G133" i="1"/>
  <c r="G131" i="1"/>
  <c r="G134" i="1"/>
  <c r="G130" i="1"/>
  <c r="C134" i="1"/>
  <c r="C133" i="1"/>
  <c r="C129" i="1"/>
  <c r="B129" i="1"/>
  <c r="B127" i="1"/>
  <c r="B117" i="1"/>
  <c r="B118" i="1" s="1"/>
  <c r="B120" i="1" s="1"/>
  <c r="D120" i="1" s="1"/>
  <c r="E17" i="11"/>
  <c r="G17" i="11" s="1"/>
  <c r="H17" i="11" s="1"/>
  <c r="F17" i="11"/>
  <c r="E18" i="11"/>
  <c r="F18" i="11"/>
  <c r="C15" i="12"/>
  <c r="B15" i="12"/>
  <c r="C13" i="12"/>
  <c r="N20" i="13"/>
  <c r="O20" i="13" s="1"/>
  <c r="H20" i="13"/>
  <c r="N19" i="13"/>
  <c r="O19" i="13" s="1"/>
  <c r="H19" i="13"/>
  <c r="N18" i="13"/>
  <c r="O18" i="13" s="1"/>
  <c r="H18" i="13"/>
  <c r="N17" i="13"/>
  <c r="O17" i="13" s="1"/>
  <c r="H17" i="13"/>
  <c r="M27" i="8"/>
  <c r="N27" i="8"/>
  <c r="O27" i="8"/>
  <c r="P27" i="8"/>
  <c r="M28" i="8"/>
  <c r="N28" i="8"/>
  <c r="O28" i="8"/>
  <c r="P28" i="8"/>
  <c r="M29" i="8"/>
  <c r="N29" i="8"/>
  <c r="O29" i="8"/>
  <c r="P29" i="8"/>
  <c r="I27" i="8"/>
  <c r="I28" i="8"/>
  <c r="I29" i="8"/>
  <c r="F27" i="8"/>
  <c r="F28" i="8"/>
  <c r="F29" i="8"/>
  <c r="H27" i="8"/>
  <c r="H28" i="8"/>
  <c r="H29" i="8"/>
  <c r="B138" i="1" l="1"/>
  <c r="B139" i="1" s="1"/>
  <c r="F130" i="1"/>
  <c r="F120" i="1"/>
  <c r="D15" i="12"/>
  <c r="G18" i="11"/>
  <c r="H18" i="11" s="1"/>
  <c r="B13" i="12"/>
  <c r="D13" i="12" s="1"/>
  <c r="D114" i="1"/>
  <c r="B113" i="1"/>
  <c r="D108" i="1"/>
  <c r="B107" i="1"/>
  <c r="D100" i="1"/>
  <c r="P22" i="17"/>
  <c r="Q22" i="17" s="1"/>
  <c r="N22" i="17"/>
  <c r="H22" i="17"/>
  <c r="G22" i="17"/>
  <c r="B22" i="17"/>
  <c r="P21" i="17"/>
  <c r="Q21" i="17" s="1"/>
  <c r="N21" i="17"/>
  <c r="H21" i="17"/>
  <c r="G21" i="17"/>
  <c r="B21" i="17"/>
  <c r="P20" i="17"/>
  <c r="Q20" i="17" s="1"/>
  <c r="N20" i="17"/>
  <c r="H20" i="17"/>
  <c r="G20" i="17"/>
  <c r="B20" i="17"/>
  <c r="P19" i="17"/>
  <c r="Q19" i="17" s="1"/>
  <c r="N19" i="17"/>
  <c r="H19" i="17"/>
  <c r="G19" i="17"/>
  <c r="P18" i="17"/>
  <c r="Q18" i="17" s="1"/>
  <c r="N18" i="17"/>
  <c r="H18" i="17"/>
  <c r="G18" i="17"/>
  <c r="B18" i="17"/>
  <c r="P17" i="17"/>
  <c r="Q17" i="17" s="1"/>
  <c r="N17" i="17"/>
  <c r="H17" i="17"/>
  <c r="G17" i="17"/>
  <c r="B17" i="17"/>
  <c r="P16" i="17"/>
  <c r="Q16" i="17" s="1"/>
  <c r="N16" i="17"/>
  <c r="H16" i="17"/>
  <c r="G16" i="17"/>
  <c r="B16" i="17"/>
  <c r="P15" i="17"/>
  <c r="Q15" i="17" s="1"/>
  <c r="N15" i="17"/>
  <c r="H15" i="17"/>
  <c r="G15" i="17"/>
  <c r="P14" i="17"/>
  <c r="Q14" i="17" s="1"/>
  <c r="N14" i="17"/>
  <c r="H14" i="17"/>
  <c r="G14" i="17"/>
  <c r="B14" i="17"/>
  <c r="P13" i="17"/>
  <c r="Q13" i="17" s="1"/>
  <c r="N13" i="17"/>
  <c r="H13" i="17"/>
  <c r="G13" i="17"/>
  <c r="B13" i="17"/>
  <c r="P12" i="17"/>
  <c r="Q12" i="17" s="1"/>
  <c r="N12" i="17"/>
  <c r="H12" i="17"/>
  <c r="G12" i="17"/>
  <c r="B12" i="17"/>
  <c r="P11" i="17"/>
  <c r="Q11" i="17" s="1"/>
  <c r="N11" i="17"/>
  <c r="H11" i="17"/>
  <c r="G11" i="17"/>
  <c r="P46" i="17"/>
  <c r="Q46" i="17" s="1"/>
  <c r="N46" i="17"/>
  <c r="H46" i="17"/>
  <c r="B46" i="17"/>
  <c r="P45" i="17"/>
  <c r="Q45" i="17" s="1"/>
  <c r="N45" i="17"/>
  <c r="H45" i="17"/>
  <c r="B45" i="17"/>
  <c r="P44" i="17"/>
  <c r="Q44" i="17" s="1"/>
  <c r="N44" i="17"/>
  <c r="H44" i="17"/>
  <c r="B44" i="17"/>
  <c r="P43" i="17"/>
  <c r="Q43" i="17" s="1"/>
  <c r="N43" i="17"/>
  <c r="H43" i="17"/>
  <c r="P42" i="17"/>
  <c r="Q42" i="17" s="1"/>
  <c r="N42" i="17"/>
  <c r="H42" i="17"/>
  <c r="B42" i="17"/>
  <c r="P41" i="17"/>
  <c r="Q41" i="17" s="1"/>
  <c r="N41" i="17"/>
  <c r="D112" i="1" s="1"/>
  <c r="H41" i="17"/>
  <c r="B41" i="17"/>
  <c r="P40" i="17"/>
  <c r="Q40" i="17" s="1"/>
  <c r="N40" i="17"/>
  <c r="H40" i="17"/>
  <c r="B40" i="17"/>
  <c r="P39" i="17"/>
  <c r="Q39" i="17" s="1"/>
  <c r="N39" i="17"/>
  <c r="H39" i="17"/>
  <c r="G39" i="17"/>
  <c r="P38" i="17"/>
  <c r="Q38" i="17" s="1"/>
  <c r="N38" i="17"/>
  <c r="H38" i="17"/>
  <c r="G38" i="17"/>
  <c r="B38" i="17"/>
  <c r="P37" i="17"/>
  <c r="Q37" i="17" s="1"/>
  <c r="N37" i="17"/>
  <c r="H37" i="17"/>
  <c r="G37" i="17"/>
  <c r="B37" i="17"/>
  <c r="P36" i="17"/>
  <c r="Q36" i="17" s="1"/>
  <c r="N36" i="17"/>
  <c r="H36" i="17"/>
  <c r="G36" i="17"/>
  <c r="B36" i="17"/>
  <c r="P35" i="17"/>
  <c r="Q35" i="17" s="1"/>
  <c r="N35" i="17"/>
  <c r="D106" i="1" s="1"/>
  <c r="H35" i="17"/>
  <c r="G35" i="17"/>
  <c r="P34" i="17"/>
  <c r="Q34" i="17" s="1"/>
  <c r="N34" i="17"/>
  <c r="H34" i="17"/>
  <c r="G34" i="17"/>
  <c r="B34" i="17"/>
  <c r="P33" i="17"/>
  <c r="Q33" i="17" s="1"/>
  <c r="N33" i="17"/>
  <c r="H33" i="17"/>
  <c r="G33" i="17"/>
  <c r="B33" i="17"/>
  <c r="P32" i="17"/>
  <c r="Q32" i="17" s="1"/>
  <c r="N32" i="17"/>
  <c r="H32" i="17"/>
  <c r="G32" i="17"/>
  <c r="B32" i="17"/>
  <c r="P31" i="17"/>
  <c r="Q31" i="17" s="1"/>
  <c r="N31" i="17"/>
  <c r="H31" i="17"/>
  <c r="P30" i="17"/>
  <c r="Q30" i="17" s="1"/>
  <c r="N30" i="17"/>
  <c r="H30" i="17"/>
  <c r="B30" i="17"/>
  <c r="P29" i="17"/>
  <c r="Q29" i="17" s="1"/>
  <c r="N29" i="17"/>
  <c r="H29" i="17"/>
  <c r="B29" i="17"/>
  <c r="P28" i="17"/>
  <c r="Q28" i="17" s="1"/>
  <c r="N28" i="17"/>
  <c r="H28" i="17"/>
  <c r="B28" i="17"/>
  <c r="P27" i="17"/>
  <c r="Q27" i="17" s="1"/>
  <c r="N27" i="17"/>
  <c r="H27" i="17"/>
  <c r="P24" i="17"/>
  <c r="Q24" i="17" s="1"/>
  <c r="P25" i="17"/>
  <c r="Q25" i="17" s="1"/>
  <c r="P26" i="17"/>
  <c r="Q26" i="17" s="1"/>
  <c r="P23" i="17"/>
  <c r="Q23" i="17" s="1"/>
  <c r="N24" i="17"/>
  <c r="N25" i="17"/>
  <c r="N26" i="17"/>
  <c r="N23" i="17"/>
  <c r="H24" i="17"/>
  <c r="H25" i="17"/>
  <c r="H26" i="17"/>
  <c r="H23" i="17"/>
  <c r="H6" i="17"/>
  <c r="G45" i="17" s="1"/>
  <c r="G26" i="17"/>
  <c r="G25" i="17"/>
  <c r="G24" i="17"/>
  <c r="G23"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B134" i="1" l="1"/>
  <c r="B150" i="1"/>
  <c r="B163" i="1"/>
  <c r="B133" i="1"/>
  <c r="B130" i="1"/>
  <c r="B132" i="1"/>
  <c r="B131" i="1"/>
  <c r="E112" i="1"/>
  <c r="E106" i="1"/>
  <c r="G46" i="17"/>
  <c r="G27" i="17"/>
  <c r="G28" i="17"/>
  <c r="G29" i="17"/>
  <c r="G30" i="17"/>
  <c r="G40" i="17"/>
  <c r="G41" i="17"/>
  <c r="G42" i="17"/>
  <c r="G43" i="17"/>
  <c r="G31" i="17"/>
  <c r="G44" i="17"/>
  <c r="C91" i="1"/>
  <c r="B76" i="1"/>
  <c r="B84" i="1"/>
  <c r="N12" i="13"/>
  <c r="N13" i="13"/>
  <c r="O13" i="13" s="1"/>
  <c r="N14" i="13"/>
  <c r="O14" i="13" s="1"/>
  <c r="N15" i="13"/>
  <c r="O15" i="13" s="1"/>
  <c r="N16" i="13"/>
  <c r="O16" i="13" s="1"/>
  <c r="P12" i="13"/>
  <c r="P13" i="13"/>
  <c r="Q13" i="13" s="1"/>
  <c r="P14" i="13"/>
  <c r="Q14" i="13" s="1"/>
  <c r="P15" i="13"/>
  <c r="Q15" i="13" s="1"/>
  <c r="P16" i="13"/>
  <c r="Q16" i="13" s="1"/>
  <c r="P11" i="13"/>
  <c r="R12" i="13"/>
  <c r="R13" i="13"/>
  <c r="R14" i="13"/>
  <c r="R15" i="13"/>
  <c r="R16" i="13"/>
  <c r="R11" i="13"/>
  <c r="N11" i="13"/>
  <c r="H12" i="13"/>
  <c r="H13" i="13"/>
  <c r="H14" i="13"/>
  <c r="H15" i="13"/>
  <c r="H16" i="13"/>
  <c r="H11" i="13"/>
  <c r="F6" i="13"/>
  <c r="H6" i="13" s="1"/>
  <c r="B15" i="13"/>
  <c r="B13" i="13"/>
  <c r="B11" i="13"/>
  <c r="F6" i="11"/>
  <c r="F16" i="16" s="1"/>
  <c r="F7" i="11"/>
  <c r="F20" i="16" s="1"/>
  <c r="F8" i="11"/>
  <c r="F24" i="16" s="1"/>
  <c r="F9" i="11"/>
  <c r="F28" i="16" s="1"/>
  <c r="F10" i="11"/>
  <c r="C7" i="12" s="1"/>
  <c r="F11" i="11"/>
  <c r="F32" i="16" s="1"/>
  <c r="F12" i="11"/>
  <c r="C9" i="12" s="1"/>
  <c r="F13" i="11"/>
  <c r="C11" i="12" s="1"/>
  <c r="F14" i="11"/>
  <c r="F15" i="11"/>
  <c r="F40" i="16" s="1"/>
  <c r="F16" i="11"/>
  <c r="F44" i="16" s="1"/>
  <c r="F5" i="11"/>
  <c r="F12" i="16" s="1"/>
  <c r="E6" i="11"/>
  <c r="G6" i="11" s="1"/>
  <c r="H6" i="11" s="1"/>
  <c r="E7" i="11"/>
  <c r="G7" i="11" s="1"/>
  <c r="H7" i="11" s="1"/>
  <c r="E8" i="11"/>
  <c r="E24" i="16" s="1"/>
  <c r="E9" i="11"/>
  <c r="E28" i="16" s="1"/>
  <c r="E10" i="11"/>
  <c r="E11" i="11"/>
  <c r="E32" i="16" s="1"/>
  <c r="E12" i="11"/>
  <c r="B9" i="12" s="1"/>
  <c r="E13" i="11"/>
  <c r="G13" i="11" s="1"/>
  <c r="H13" i="11" s="1"/>
  <c r="E14" i="11"/>
  <c r="G14" i="11" s="1"/>
  <c r="H14" i="11" s="1"/>
  <c r="E15" i="11"/>
  <c r="E16" i="11"/>
  <c r="E5" i="11"/>
  <c r="E12" i="16" s="1"/>
  <c r="M46" i="5"/>
  <c r="O46" i="5"/>
  <c r="Q46" i="5" s="1"/>
  <c r="M37" i="5"/>
  <c r="K37" i="5"/>
  <c r="D6" i="7"/>
  <c r="C6" i="11" s="1"/>
  <c r="I16" i="16" s="1"/>
  <c r="D5" i="7"/>
  <c r="C7" i="11" s="1"/>
  <c r="I20" i="16" s="1"/>
  <c r="P3" i="8"/>
  <c r="P4" i="8"/>
  <c r="P5" i="8"/>
  <c r="P6" i="8"/>
  <c r="P7" i="8"/>
  <c r="P8" i="8"/>
  <c r="P9" i="8"/>
  <c r="P10" i="8"/>
  <c r="P11" i="8"/>
  <c r="P12" i="8"/>
  <c r="P13" i="8"/>
  <c r="P14" i="8"/>
  <c r="P15" i="8"/>
  <c r="P16" i="8"/>
  <c r="P17" i="8"/>
  <c r="P18" i="8"/>
  <c r="P19" i="8"/>
  <c r="P20" i="8"/>
  <c r="P21" i="8"/>
  <c r="P22" i="8"/>
  <c r="P23" i="8"/>
  <c r="P24" i="8"/>
  <c r="P25" i="8"/>
  <c r="P26" i="8"/>
  <c r="P30" i="8"/>
  <c r="P2" i="8"/>
  <c r="N2" i="8"/>
  <c r="M2" i="8"/>
  <c r="N3" i="8"/>
  <c r="O3" i="8"/>
  <c r="N4" i="8"/>
  <c r="O4" i="8"/>
  <c r="N5" i="8"/>
  <c r="O5" i="8"/>
  <c r="N6" i="8"/>
  <c r="O6" i="8"/>
  <c r="N7" i="8"/>
  <c r="O7" i="8"/>
  <c r="N8" i="8"/>
  <c r="O8" i="8"/>
  <c r="N9" i="8"/>
  <c r="O9" i="8"/>
  <c r="N10" i="8"/>
  <c r="O10" i="8"/>
  <c r="N11" i="8"/>
  <c r="O11" i="8"/>
  <c r="N12" i="8"/>
  <c r="O12" i="8"/>
  <c r="N13" i="8"/>
  <c r="O13" i="8"/>
  <c r="N14" i="8"/>
  <c r="O14" i="8"/>
  <c r="N15" i="8"/>
  <c r="O15" i="8"/>
  <c r="N16" i="8"/>
  <c r="O16" i="8"/>
  <c r="N17" i="8"/>
  <c r="O17" i="8"/>
  <c r="N18" i="8"/>
  <c r="O18" i="8"/>
  <c r="N19" i="8"/>
  <c r="O19" i="8"/>
  <c r="N20" i="8"/>
  <c r="O20" i="8"/>
  <c r="N21" i="8"/>
  <c r="O21" i="8"/>
  <c r="N22" i="8"/>
  <c r="O22" i="8"/>
  <c r="N23" i="8"/>
  <c r="O23" i="8"/>
  <c r="N24" i="8"/>
  <c r="O24" i="8"/>
  <c r="N25" i="8"/>
  <c r="O25" i="8"/>
  <c r="N26" i="8"/>
  <c r="O26" i="8"/>
  <c r="N30" i="8"/>
  <c r="O30" i="8"/>
  <c r="O2" i="8"/>
  <c r="M26" i="8"/>
  <c r="M30" i="8"/>
  <c r="I30" i="8"/>
  <c r="M3" i="8"/>
  <c r="M4" i="8"/>
  <c r="M5" i="8"/>
  <c r="M6" i="8"/>
  <c r="M7" i="8"/>
  <c r="M8" i="8"/>
  <c r="M9" i="8"/>
  <c r="M10" i="8"/>
  <c r="M11" i="8"/>
  <c r="M12" i="8"/>
  <c r="M13" i="8"/>
  <c r="M14" i="8"/>
  <c r="M15" i="8"/>
  <c r="M16" i="8"/>
  <c r="M17" i="8"/>
  <c r="M18" i="8"/>
  <c r="M19" i="8"/>
  <c r="M20" i="8"/>
  <c r="M21" i="8"/>
  <c r="M22" i="8"/>
  <c r="M23" i="8"/>
  <c r="M24" i="8"/>
  <c r="M25" i="8"/>
  <c r="I2" i="8"/>
  <c r="H2" i="8"/>
  <c r="H3" i="8"/>
  <c r="H4" i="8"/>
  <c r="H5" i="8"/>
  <c r="H6" i="8"/>
  <c r="H7" i="8"/>
  <c r="H8" i="8"/>
  <c r="H9" i="8"/>
  <c r="H10" i="8"/>
  <c r="H11" i="8"/>
  <c r="H12" i="8"/>
  <c r="H13" i="8"/>
  <c r="H14" i="8"/>
  <c r="H15" i="8"/>
  <c r="H16" i="8"/>
  <c r="H17" i="8"/>
  <c r="H18" i="8"/>
  <c r="H19" i="8"/>
  <c r="H20" i="8"/>
  <c r="H21" i="8"/>
  <c r="H22" i="8"/>
  <c r="H23" i="8"/>
  <c r="H24" i="8"/>
  <c r="H25" i="8"/>
  <c r="H26" i="8"/>
  <c r="H30" i="8"/>
  <c r="F30" i="8"/>
  <c r="F26" i="8"/>
  <c r="F25" i="8"/>
  <c r="F24" i="8"/>
  <c r="F23" i="8"/>
  <c r="F22" i="8"/>
  <c r="F21" i="8"/>
  <c r="F20" i="8"/>
  <c r="F19" i="8"/>
  <c r="F18" i="8"/>
  <c r="F17" i="8"/>
  <c r="F16" i="8"/>
  <c r="F15" i="8"/>
  <c r="F14" i="8"/>
  <c r="F13" i="8"/>
  <c r="F12" i="8"/>
  <c r="F11" i="8"/>
  <c r="F10" i="8"/>
  <c r="F9" i="8"/>
  <c r="F8" i="8"/>
  <c r="F7" i="8"/>
  <c r="F6" i="8"/>
  <c r="F5" i="8"/>
  <c r="F4" i="8"/>
  <c r="F3" i="8"/>
  <c r="F2" i="8"/>
  <c r="I3" i="8"/>
  <c r="I4" i="8"/>
  <c r="I5" i="8"/>
  <c r="I6" i="8"/>
  <c r="I7" i="8"/>
  <c r="I8" i="8"/>
  <c r="I9" i="8"/>
  <c r="I10" i="8"/>
  <c r="I11" i="8"/>
  <c r="I12" i="8"/>
  <c r="I13" i="8"/>
  <c r="I14" i="8"/>
  <c r="I15" i="8"/>
  <c r="I16" i="8"/>
  <c r="I17" i="8"/>
  <c r="I18" i="8"/>
  <c r="I19" i="8"/>
  <c r="I20" i="8"/>
  <c r="I21" i="8"/>
  <c r="I22" i="8"/>
  <c r="I23" i="8"/>
  <c r="I24" i="8"/>
  <c r="I25" i="8"/>
  <c r="I26" i="8"/>
  <c r="O11" i="13" l="1"/>
  <c r="D75" i="1"/>
  <c r="Q11" i="13"/>
  <c r="E75" i="1"/>
  <c r="C10" i="11"/>
  <c r="I10" i="11" s="1"/>
  <c r="K7" i="11"/>
  <c r="K6" i="11"/>
  <c r="D150" i="1"/>
  <c r="D151" i="1" s="1"/>
  <c r="E149" i="1"/>
  <c r="H154" i="1"/>
  <c r="H151" i="1"/>
  <c r="H150" i="1"/>
  <c r="H152" i="1"/>
  <c r="H153" i="1"/>
  <c r="B135" i="1"/>
  <c r="B136" i="1" s="1"/>
  <c r="B140" i="1" s="1"/>
  <c r="B164" i="1" s="1"/>
  <c r="G15" i="13"/>
  <c r="G17" i="13"/>
  <c r="G19" i="13"/>
  <c r="G20" i="13"/>
  <c r="G18" i="13"/>
  <c r="I6" i="11"/>
  <c r="J2" i="8"/>
  <c r="G28" i="16"/>
  <c r="H28" i="16" s="1"/>
  <c r="G24" i="16"/>
  <c r="H25" i="16" s="1"/>
  <c r="G8" i="11"/>
  <c r="H8" i="11" s="1"/>
  <c r="G12" i="16"/>
  <c r="H14" i="16" s="1"/>
  <c r="G32" i="16"/>
  <c r="H35" i="16" s="1"/>
  <c r="G12" i="11"/>
  <c r="H12" i="11" s="1"/>
  <c r="G10" i="11"/>
  <c r="H10" i="11" s="1"/>
  <c r="G5" i="11"/>
  <c r="H5" i="11" s="1"/>
  <c r="E44" i="16"/>
  <c r="B88" i="1"/>
  <c r="E36" i="16"/>
  <c r="B89" i="1"/>
  <c r="D89" i="1" s="1"/>
  <c r="F36" i="16"/>
  <c r="G16" i="11"/>
  <c r="H16" i="11" s="1"/>
  <c r="G9" i="11"/>
  <c r="H9" i="11" s="1"/>
  <c r="B7" i="12"/>
  <c r="D7" i="12" s="1"/>
  <c r="E40" i="16"/>
  <c r="Q2" i="8"/>
  <c r="R2" i="8" s="1"/>
  <c r="B66" i="1" s="1"/>
  <c r="D66" i="1" s="1"/>
  <c r="E20" i="16"/>
  <c r="B11" i="12"/>
  <c r="D11" i="12" s="1"/>
  <c r="E16" i="16"/>
  <c r="G15" i="11"/>
  <c r="H15" i="11" s="1"/>
  <c r="G11" i="11"/>
  <c r="H11" i="11" s="1"/>
  <c r="O12" i="13"/>
  <c r="D83" i="1"/>
  <c r="Q12" i="13"/>
  <c r="E83" i="1"/>
  <c r="G16" i="13"/>
  <c r="G11" i="13"/>
  <c r="G13" i="13"/>
  <c r="G14" i="13"/>
  <c r="G12" i="13"/>
  <c r="D9" i="12"/>
  <c r="I7" i="11"/>
  <c r="K2" i="8"/>
  <c r="L2" i="8"/>
  <c r="D3" i="7"/>
  <c r="C5" i="11" s="1"/>
  <c r="I12" i="16" s="1"/>
  <c r="D4" i="7"/>
  <c r="D7" i="7"/>
  <c r="D2" i="7"/>
  <c r="O37" i="5"/>
  <c r="Q37" i="5" s="1"/>
  <c r="D27" i="5"/>
  <c r="F27" i="5" s="1"/>
  <c r="D28" i="5"/>
  <c r="F28" i="5" s="1"/>
  <c r="D29" i="5"/>
  <c r="F29" i="5" s="1"/>
  <c r="F30" i="5"/>
  <c r="F19" i="5"/>
  <c r="D18" i="5"/>
  <c r="F18" i="5" s="1"/>
  <c r="D17" i="5"/>
  <c r="F17" i="5" s="1"/>
  <c r="D16" i="5"/>
  <c r="F16" i="5" s="1"/>
  <c r="D15" i="5"/>
  <c r="F15" i="5" s="1"/>
  <c r="D14" i="5"/>
  <c r="F14" i="5" s="1"/>
  <c r="F7" i="5"/>
  <c r="D6" i="5"/>
  <c r="F6" i="5" s="1"/>
  <c r="D5" i="5"/>
  <c r="F5" i="5" s="1"/>
  <c r="D4" i="5"/>
  <c r="F4" i="5" s="1"/>
  <c r="D3" i="5"/>
  <c r="F3" i="5" s="1"/>
  <c r="K10" i="11" l="1"/>
  <c r="K12" i="24" s="1"/>
  <c r="Q13" i="22"/>
  <c r="R13" i="22" s="1"/>
  <c r="H19" i="24" s="1"/>
  <c r="K6" i="21"/>
  <c r="Q6" i="19"/>
  <c r="R6" i="19" s="1"/>
  <c r="Q20" i="22"/>
  <c r="R20" i="22" s="1"/>
  <c r="H33" i="24" s="1"/>
  <c r="Q10" i="19"/>
  <c r="R10" i="19" s="1"/>
  <c r="H17" i="21" s="1"/>
  <c r="J17" i="21" s="1"/>
  <c r="C17" i="11"/>
  <c r="C18" i="11"/>
  <c r="C16" i="11"/>
  <c r="C15" i="11"/>
  <c r="C14" i="11"/>
  <c r="C11" i="11"/>
  <c r="K11" i="11" s="1"/>
  <c r="C13" i="11"/>
  <c r="C9" i="11"/>
  <c r="C12" i="11"/>
  <c r="C8" i="11"/>
  <c r="K5" i="11"/>
  <c r="Q14" i="19" s="1"/>
  <c r="R14" i="19" s="1"/>
  <c r="I5" i="11"/>
  <c r="Q21" i="22"/>
  <c r="R21" i="22" s="1"/>
  <c r="H18" i="24" s="1"/>
  <c r="Q28" i="22"/>
  <c r="R28" i="22" s="1"/>
  <c r="H32" i="24" s="1"/>
  <c r="Q11" i="19"/>
  <c r="R11" i="19" s="1"/>
  <c r="H19" i="21" s="1"/>
  <c r="E7" i="12"/>
  <c r="H24" i="16"/>
  <c r="H29" i="16"/>
  <c r="B154" i="1"/>
  <c r="B156" i="1" s="1"/>
  <c r="B151" i="1"/>
  <c r="B152" i="1"/>
  <c r="B155" i="1" s="1"/>
  <c r="D155" i="1" s="1"/>
  <c r="B142" i="1"/>
  <c r="H27" i="16"/>
  <c r="H34" i="16"/>
  <c r="H26" i="16"/>
  <c r="H32" i="16"/>
  <c r="S2" i="8"/>
  <c r="B67" i="1" s="1"/>
  <c r="D67" i="1" s="1"/>
  <c r="H31" i="16"/>
  <c r="H15" i="16"/>
  <c r="H30" i="16"/>
  <c r="H12" i="16"/>
  <c r="H13" i="16"/>
  <c r="H33" i="16"/>
  <c r="B68" i="1"/>
  <c r="T2" i="8"/>
  <c r="B65" i="1" s="1"/>
  <c r="G40" i="16"/>
  <c r="B90" i="1"/>
  <c r="B114" i="1"/>
  <c r="D88" i="1"/>
  <c r="B108" i="1"/>
  <c r="G16" i="16"/>
  <c r="G20" i="16"/>
  <c r="G44" i="16"/>
  <c r="G36" i="16"/>
  <c r="F8" i="5"/>
  <c r="H8" i="5" s="1"/>
  <c r="D20" i="5"/>
  <c r="D31" i="5"/>
  <c r="F31" i="5"/>
  <c r="F20" i="5"/>
  <c r="D8" i="5"/>
  <c r="Q6" i="22" l="1"/>
  <c r="R6" i="22" s="1"/>
  <c r="J32" i="24"/>
  <c r="J18" i="24"/>
  <c r="Q13" i="19"/>
  <c r="R13" i="19" s="1"/>
  <c r="V6" i="20" s="1"/>
  <c r="Q12" i="19"/>
  <c r="R12" i="19" s="1"/>
  <c r="H21" i="21" s="1"/>
  <c r="K6" i="24"/>
  <c r="Q12" i="22"/>
  <c r="R12" i="22" s="1"/>
  <c r="E9" i="12"/>
  <c r="I12" i="11"/>
  <c r="K12" i="11"/>
  <c r="I44" i="16"/>
  <c r="I16" i="11"/>
  <c r="K16" i="11"/>
  <c r="I28" i="16"/>
  <c r="I9" i="11"/>
  <c r="E15" i="12"/>
  <c r="I18" i="11"/>
  <c r="K18" i="11"/>
  <c r="V8" i="20"/>
  <c r="H25" i="21"/>
  <c r="E11" i="12"/>
  <c r="I13" i="11"/>
  <c r="K13" i="11"/>
  <c r="E13" i="12"/>
  <c r="I17" i="11"/>
  <c r="K17" i="11"/>
  <c r="I32" i="16"/>
  <c r="I11" i="11"/>
  <c r="K9" i="11"/>
  <c r="I14" i="11"/>
  <c r="B92" i="1"/>
  <c r="I36" i="16"/>
  <c r="K14" i="11"/>
  <c r="I24" i="16"/>
  <c r="K8" i="11"/>
  <c r="K9" i="21" s="1"/>
  <c r="I8" i="11"/>
  <c r="I40" i="16"/>
  <c r="I15" i="11"/>
  <c r="K15" i="11"/>
  <c r="D5" i="11"/>
  <c r="J12" i="16" s="1"/>
  <c r="K12" i="16" s="1"/>
  <c r="L14" i="16" s="1"/>
  <c r="H20" i="5"/>
  <c r="D156" i="1"/>
  <c r="E156" i="1" s="1"/>
  <c r="F156" i="1" s="1"/>
  <c r="L5" i="11"/>
  <c r="N14" i="19" s="1"/>
  <c r="D17" i="11"/>
  <c r="D18" i="11"/>
  <c r="D13" i="11"/>
  <c r="D10" i="11"/>
  <c r="D12" i="11"/>
  <c r="D15" i="11"/>
  <c r="D7" i="11"/>
  <c r="D11" i="11"/>
  <c r="D16" i="11"/>
  <c r="D8" i="11"/>
  <c r="D14" i="11"/>
  <c r="D6" i="11"/>
  <c r="D9" i="11"/>
  <c r="E155" i="1"/>
  <c r="F155" i="1" s="1"/>
  <c r="B144" i="1"/>
  <c r="B145" i="1" s="1"/>
  <c r="B143" i="1"/>
  <c r="B77" i="1"/>
  <c r="B85"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H23" i="21" l="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B187" i="1" s="1"/>
  <c r="B197" i="1" s="1"/>
  <c r="B198" i="1" s="1"/>
  <c r="E210" i="1"/>
  <c r="B210" i="1" s="1"/>
  <c r="B220" i="1" s="1"/>
  <c r="B221" i="1" s="1"/>
  <c r="Q17" i="19"/>
  <c r="R17" i="19" s="1"/>
  <c r="H24" i="21" s="1"/>
  <c r="J23" i="21" s="1"/>
  <c r="Q16" i="22"/>
  <c r="R16" i="22" s="1"/>
  <c r="H25" i="24" s="1"/>
  <c r="Q17" i="22"/>
  <c r="R17" i="22" s="1"/>
  <c r="H27" i="24" s="1"/>
  <c r="J5" i="11"/>
  <c r="L13" i="16"/>
  <c r="L15" i="16"/>
  <c r="L12" i="16"/>
  <c r="J8" i="11"/>
  <c r="J24" i="16"/>
  <c r="K24" i="16" s="1"/>
  <c r="L8" i="11"/>
  <c r="J44" i="16"/>
  <c r="K44" i="16" s="1"/>
  <c r="L45" i="16" s="1"/>
  <c r="J16" i="11"/>
  <c r="L16" i="11"/>
  <c r="F11" i="12"/>
  <c r="G11" i="12" s="1"/>
  <c r="L13" i="11"/>
  <c r="J13" i="11"/>
  <c r="J28" i="16"/>
  <c r="K28" i="16" s="1"/>
  <c r="J9" i="11"/>
  <c r="L9" i="11"/>
  <c r="J20" i="16"/>
  <c r="K20" i="16" s="1"/>
  <c r="L23" i="16" s="1"/>
  <c r="J7" i="11"/>
  <c r="L7" i="11"/>
  <c r="F15" i="12"/>
  <c r="G15" i="12" s="1"/>
  <c r="J18" i="11"/>
  <c r="L18" i="11"/>
  <c r="F7" i="12"/>
  <c r="G7" i="12" s="1"/>
  <c r="J10" i="11"/>
  <c r="L10" i="11"/>
  <c r="J32" i="16"/>
  <c r="K32" i="16" s="1"/>
  <c r="J11" i="11"/>
  <c r="L11" i="11"/>
  <c r="B81" i="1"/>
  <c r="B72" i="1"/>
  <c r="B73" i="1" s="1"/>
  <c r="B80" i="1"/>
  <c r="B79" i="1"/>
  <c r="J16" i="16"/>
  <c r="K16" i="16" s="1"/>
  <c r="L18" i="16" s="1"/>
  <c r="L6" i="11"/>
  <c r="J6" i="11"/>
  <c r="J40" i="16"/>
  <c r="K40" i="16" s="1"/>
  <c r="L43" i="16" s="1"/>
  <c r="J15" i="11"/>
  <c r="L15" i="11"/>
  <c r="F13" i="12"/>
  <c r="G13" i="12" s="1"/>
  <c r="J17" i="11"/>
  <c r="L17" i="11"/>
  <c r="J36" i="16"/>
  <c r="K36" i="16" s="1"/>
  <c r="L39" i="16" s="1"/>
  <c r="J14" i="11"/>
  <c r="L14" i="11"/>
  <c r="F9" i="12"/>
  <c r="G9" i="12" s="1"/>
  <c r="J12" i="11"/>
  <c r="L12"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7" i="1"/>
  <c r="B169" i="1" s="1"/>
  <c r="B162" i="1"/>
  <c r="B165" i="1" s="1"/>
  <c r="B158" i="1"/>
  <c r="B160" i="1" s="1"/>
  <c r="B147" i="1"/>
  <c r="D147" i="1" s="1"/>
  <c r="E147" i="1" s="1"/>
  <c r="F147" i="1" s="1"/>
  <c r="B146" i="1"/>
  <c r="D146" i="1" s="1"/>
  <c r="I45" i="1"/>
  <c r="I46" i="1" s="1"/>
  <c r="E46" i="1"/>
  <c r="J30" i="24" l="1"/>
  <c r="J20" i="24"/>
  <c r="J24" i="24"/>
  <c r="H29" i="24"/>
  <c r="J28" i="24" s="1"/>
  <c r="V8" i="23"/>
  <c r="X8" i="23" s="1"/>
  <c r="X6" i="20"/>
  <c r="W6" i="20"/>
  <c r="H23" i="24"/>
  <c r="J22" i="24" s="1"/>
  <c r="V6" i="23"/>
  <c r="W6" i="23" s="1"/>
  <c r="J26" i="24"/>
  <c r="W8" i="20"/>
  <c r="X8" i="20"/>
  <c r="L16" i="16"/>
  <c r="D15" i="17" s="1" a="1"/>
  <c r="D15" i="17" s="1"/>
  <c r="D12" i="17" a="1"/>
  <c r="D12" i="17" s="1"/>
  <c r="L37" i="16"/>
  <c r="D11" i="17" a="1"/>
  <c r="D11" i="17" s="1"/>
  <c r="D13" i="17" a="1"/>
  <c r="D13" i="17" s="1"/>
  <c r="D14" i="17" a="1"/>
  <c r="D14" i="17" s="1"/>
  <c r="L36" i="16"/>
  <c r="L38" i="16"/>
  <c r="L41" i="16"/>
  <c r="L19" i="16"/>
  <c r="L44" i="16"/>
  <c r="L20" i="16"/>
  <c r="L21" i="16"/>
  <c r="L17" i="16"/>
  <c r="L22" i="16"/>
  <c r="L46" i="16"/>
  <c r="L47" i="16"/>
  <c r="N9" i="22"/>
  <c r="I9" i="24"/>
  <c r="J9" i="24" s="1"/>
  <c r="L25" i="16"/>
  <c r="L24" i="16"/>
  <c r="L26" i="16"/>
  <c r="L27" i="16"/>
  <c r="H10" i="12"/>
  <c r="D14" i="13" s="1"/>
  <c r="I14" i="13" s="1"/>
  <c r="J14" i="13" s="1"/>
  <c r="K14" i="13" s="1"/>
  <c r="H9" i="12"/>
  <c r="D13" i="13" s="1"/>
  <c r="I13" i="13" s="1"/>
  <c r="J13" i="13" s="1"/>
  <c r="K13" i="13" s="1"/>
  <c r="O8" i="23"/>
  <c r="P8" i="23" s="1"/>
  <c r="O8" i="20"/>
  <c r="P8" i="20" s="1"/>
  <c r="O6" i="23"/>
  <c r="N23" i="22"/>
  <c r="N26" i="22"/>
  <c r="H7" i="12"/>
  <c r="D11" i="13" s="1"/>
  <c r="I11" i="13" s="1"/>
  <c r="J11" i="13" s="1"/>
  <c r="K11" i="13" s="1"/>
  <c r="H8" i="12"/>
  <c r="D12" i="13" s="1"/>
  <c r="I12" i="13" s="1"/>
  <c r="J12" i="13" s="1"/>
  <c r="K12" i="13" s="1"/>
  <c r="N12" i="22"/>
  <c r="I12" i="24"/>
  <c r="J12" i="24" s="1"/>
  <c r="N12" i="19"/>
  <c r="N6" i="22"/>
  <c r="N11" i="19"/>
  <c r="I6" i="24"/>
  <c r="J6" i="24" s="1"/>
  <c r="L35" i="16"/>
  <c r="L33" i="16"/>
  <c r="L32" i="16"/>
  <c r="L34" i="16"/>
  <c r="N6" i="19"/>
  <c r="O6" i="19" s="1"/>
  <c r="P6" i="19" s="1"/>
  <c r="N14" i="22"/>
  <c r="I6" i="21"/>
  <c r="J6" i="21" s="1"/>
  <c r="I7" i="21"/>
  <c r="J7" i="21" s="1"/>
  <c r="N19" i="22"/>
  <c r="N10" i="19"/>
  <c r="N7" i="19"/>
  <c r="N20" i="22"/>
  <c r="N13" i="22"/>
  <c r="H11" i="12"/>
  <c r="D15" i="13" s="1"/>
  <c r="I15" i="13" s="1"/>
  <c r="J15" i="13" s="1"/>
  <c r="K15" i="13" s="1"/>
  <c r="H12" i="12"/>
  <c r="D16" i="13" s="1"/>
  <c r="I16" i="13" s="1"/>
  <c r="J16" i="13" s="1"/>
  <c r="K16" i="13" s="1"/>
  <c r="N15" i="22"/>
  <c r="N18" i="22"/>
  <c r="N9" i="19"/>
  <c r="I9" i="21"/>
  <c r="J9" i="21" s="1"/>
  <c r="C92" i="1"/>
  <c r="B93" i="1"/>
  <c r="C93" i="1" s="1"/>
  <c r="B94"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H14" i="12"/>
  <c r="D18" i="13" s="1"/>
  <c r="I18" i="13" s="1"/>
  <c r="J18" i="13" s="1"/>
  <c r="K18" i="13" s="1"/>
  <c r="D17" i="13"/>
  <c r="I17" i="13" s="1"/>
  <c r="J17" i="13" s="1"/>
  <c r="K17" i="13" s="1"/>
  <c r="N17" i="19"/>
  <c r="I8" i="21"/>
  <c r="J8" i="21" s="1"/>
  <c r="N22" i="22"/>
  <c r="N27" i="22"/>
  <c r="N28" i="22"/>
  <c r="N21" i="22"/>
  <c r="H16" i="12"/>
  <c r="D20" i="13" s="1"/>
  <c r="I20" i="13" s="1"/>
  <c r="J20" i="13" s="1"/>
  <c r="K20" i="13" s="1"/>
  <c r="H15" i="12"/>
  <c r="D19" i="13" s="1"/>
  <c r="I19" i="13" s="1"/>
  <c r="J19" i="13" s="1"/>
  <c r="K19" i="13" s="1"/>
  <c r="L28" i="16"/>
  <c r="L29" i="16"/>
  <c r="L30" i="16"/>
  <c r="L31" i="16"/>
  <c r="E36" i="17"/>
  <c r="R36" i="17" s="1"/>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O12" i="22" s="1"/>
  <c r="P12" i="22" s="1"/>
  <c r="D8" i="20"/>
  <c r="D8" i="19"/>
  <c r="F8" i="19" s="1"/>
  <c r="D9" i="19"/>
  <c r="F9" i="19" s="1"/>
  <c r="D8" i="22"/>
  <c r="F8" i="22" s="1"/>
  <c r="D26" i="22"/>
  <c r="F26" i="22" s="1"/>
  <c r="D23" i="22"/>
  <c r="F23" i="22" s="1"/>
  <c r="D20" i="22"/>
  <c r="F20" i="22" s="1"/>
  <c r="D17" i="22"/>
  <c r="F17" i="22" s="1"/>
  <c r="D11" i="19"/>
  <c r="F11" i="19" s="1"/>
  <c r="E29" i="17"/>
  <c r="R29" i="17" s="1"/>
  <c r="B170" i="1"/>
  <c r="B171" i="1" s="1"/>
  <c r="E34" i="17"/>
  <c r="R34" i="17" s="1"/>
  <c r="E20" i="17"/>
  <c r="E24" i="17"/>
  <c r="R24" i="17" s="1"/>
  <c r="E146" i="1"/>
  <c r="F146" i="1" s="1"/>
  <c r="B82" i="1"/>
  <c r="E13" i="17"/>
  <c r="B74" i="1"/>
  <c r="E22" i="17"/>
  <c r="R22" i="17" s="1"/>
  <c r="E28" i="17"/>
  <c r="R28" i="17" s="1"/>
  <c r="E44" i="17"/>
  <c r="R44" i="17" s="1"/>
  <c r="E18" i="17"/>
  <c r="R18" i="17" s="1"/>
  <c r="E43" i="17"/>
  <c r="R43" i="17" s="1"/>
  <c r="E14" i="17"/>
  <c r="R14" i="17" s="1"/>
  <c r="E25" i="17"/>
  <c r="R25" i="17" s="1"/>
  <c r="E33" i="17"/>
  <c r="R33" i="17" s="1"/>
  <c r="E35" i="17"/>
  <c r="R35" i="17" s="1"/>
  <c r="E15" i="17"/>
  <c r="R15" i="17" s="1"/>
  <c r="E41" i="17"/>
  <c r="E40" i="17"/>
  <c r="E30" i="17"/>
  <c r="R30" i="17" s="1"/>
  <c r="E37" i="17"/>
  <c r="E31" i="17"/>
  <c r="R31" i="17" s="1"/>
  <c r="E17" i="17"/>
  <c r="R17" i="17" s="1"/>
  <c r="E46" i="17"/>
  <c r="R46" i="17" s="1"/>
  <c r="E45" i="17"/>
  <c r="E16" i="17"/>
  <c r="R16" i="17" s="1"/>
  <c r="E38" i="17"/>
  <c r="R38" i="17" s="1"/>
  <c r="E11" i="17"/>
  <c r="I11" i="17" s="1"/>
  <c r="J11" i="17" s="1"/>
  <c r="K11" i="17" s="1"/>
  <c r="S11" i="17" s="1"/>
  <c r="E26" i="17"/>
  <c r="R26" i="17" s="1"/>
  <c r="E39" i="17"/>
  <c r="R39" i="17" s="1"/>
  <c r="E23" i="17"/>
  <c r="R23" i="17" s="1"/>
  <c r="E42" i="17"/>
  <c r="E19" i="17"/>
  <c r="R19" i="17" s="1"/>
  <c r="E100" i="1"/>
  <c r="D76" i="1" s="1"/>
  <c r="E27" i="17"/>
  <c r="R27" i="17" s="1"/>
  <c r="E21" i="17"/>
  <c r="R21" i="17" s="1"/>
  <c r="E32" i="17"/>
  <c r="E12" i="17"/>
  <c r="R12" i="17" s="1"/>
  <c r="B62" i="1"/>
  <c r="O9" i="22" l="1"/>
  <c r="P9" i="22" s="1"/>
  <c r="O7" i="22"/>
  <c r="P7" i="22" s="1"/>
  <c r="O10" i="22"/>
  <c r="P10" i="22" s="1"/>
  <c r="D19" i="17" a="1"/>
  <c r="D19" i="17" s="1"/>
  <c r="O19" i="22"/>
  <c r="P19" i="22" s="1"/>
  <c r="E31" i="24" s="1"/>
  <c r="O11" i="22"/>
  <c r="P11" i="22" s="1"/>
  <c r="O17" i="19"/>
  <c r="P17" i="19" s="1"/>
  <c r="E24" i="21" s="1"/>
  <c r="D17" i="17" a="1"/>
  <c r="D17" i="17" s="1"/>
  <c r="I17" i="17" s="1"/>
  <c r="J17" i="17" s="1"/>
  <c r="K17" i="17" s="1"/>
  <c r="S17" i="17" s="1"/>
  <c r="X6" i="23"/>
  <c r="O26" i="22"/>
  <c r="P26" i="22" s="1"/>
  <c r="E28" i="24" s="1"/>
  <c r="O6" i="22"/>
  <c r="P6" i="22" s="1"/>
  <c r="W8" i="23"/>
  <c r="I13" i="17"/>
  <c r="J13" i="17" s="1"/>
  <c r="K13" i="17" s="1"/>
  <c r="S13" i="17" s="1"/>
  <c r="O18" i="19"/>
  <c r="D16" i="17" a="1"/>
  <c r="D16" i="17" s="1"/>
  <c r="D21" i="17" a="1"/>
  <c r="D21" i="17" s="1"/>
  <c r="O8" i="22"/>
  <c r="P8" i="22" s="1"/>
  <c r="O9" i="19"/>
  <c r="P9" i="19" s="1"/>
  <c r="O20" i="22"/>
  <c r="P20" i="22" s="1"/>
  <c r="E33" i="24" s="1"/>
  <c r="O14" i="22"/>
  <c r="P14" i="22" s="1"/>
  <c r="E21" i="24" s="1"/>
  <c r="R13" i="17"/>
  <c r="O18" i="22"/>
  <c r="P18" i="22" s="1"/>
  <c r="R8" i="23" s="1"/>
  <c r="O28" i="22"/>
  <c r="P28" i="22" s="1"/>
  <c r="E32" i="24" s="1"/>
  <c r="D27" i="17" a="1"/>
  <c r="D27" i="17" s="1"/>
  <c r="I27" i="17" s="1"/>
  <c r="J27" i="17" s="1"/>
  <c r="K27" i="17" s="1"/>
  <c r="S27" i="17" s="1"/>
  <c r="O15" i="19"/>
  <c r="P15" i="19" s="1"/>
  <c r="E20" i="21" s="1"/>
  <c r="D82" i="1"/>
  <c r="B83" i="1" s="1"/>
  <c r="O11" i="19"/>
  <c r="P11" i="19" s="1"/>
  <c r="E19" i="21" s="1"/>
  <c r="O13" i="19"/>
  <c r="P13" i="19" s="1"/>
  <c r="R6" i="20" s="1"/>
  <c r="O7" i="19"/>
  <c r="P7" i="19" s="1"/>
  <c r="O27" i="22"/>
  <c r="P27" i="22" s="1"/>
  <c r="E30" i="24" s="1"/>
  <c r="F30" i="24" s="1"/>
  <c r="O8" i="19"/>
  <c r="P8" i="19" s="1"/>
  <c r="D22" i="17" a="1"/>
  <c r="D22" i="17" s="1"/>
  <c r="D18" i="17" a="1"/>
  <c r="D18" i="17" s="1"/>
  <c r="I18" i="17" s="1"/>
  <c r="J18" i="17" s="1"/>
  <c r="K18" i="17" s="1"/>
  <c r="S18" i="17" s="1"/>
  <c r="D20" i="17" a="1"/>
  <c r="D20" i="17" s="1"/>
  <c r="I20" i="17" s="1"/>
  <c r="J20" i="17" s="1"/>
  <c r="K20" i="17" s="1"/>
  <c r="S20" i="17" s="1"/>
  <c r="O15" i="22"/>
  <c r="P15" i="22" s="1"/>
  <c r="E23" i="24" s="1"/>
  <c r="O25" i="22"/>
  <c r="P25" i="22" s="1"/>
  <c r="E26" i="24" s="1"/>
  <c r="D41" i="17" a="1"/>
  <c r="D41" i="17" s="1"/>
  <c r="I41" i="17" s="1"/>
  <c r="J41" i="17" s="1"/>
  <c r="K41" i="17" s="1"/>
  <c r="S41" i="17" s="1"/>
  <c r="D30" i="17" a="1"/>
  <c r="D30" i="17" s="1"/>
  <c r="D32" i="17" a="1"/>
  <c r="D32" i="17" s="1"/>
  <c r="I32" i="17" s="1"/>
  <c r="J32" i="17" s="1"/>
  <c r="K32" i="17" s="1"/>
  <c r="S32" i="17" s="1"/>
  <c r="D24" i="17" a="1"/>
  <c r="D24" i="17" s="1"/>
  <c r="I24" i="17" s="1"/>
  <c r="J24" i="17" s="1"/>
  <c r="K24" i="17" s="1"/>
  <c r="S24" i="17" s="1"/>
  <c r="D26" i="17" a="1"/>
  <c r="D26" i="17" s="1"/>
  <c r="I26" i="17" s="1"/>
  <c r="J26" i="17" s="1"/>
  <c r="K26" i="17" s="1"/>
  <c r="S26" i="17" s="1"/>
  <c r="O23" i="22"/>
  <c r="P23" i="22" s="1"/>
  <c r="E22" i="24" s="1"/>
  <c r="O10" i="19"/>
  <c r="P10" i="19" s="1"/>
  <c r="E17" i="21" s="1"/>
  <c r="D34" i="17" a="1"/>
  <c r="D34" i="17" s="1"/>
  <c r="I34" i="17" s="1"/>
  <c r="J34" i="17" s="1"/>
  <c r="K34" i="17" s="1"/>
  <c r="S34" i="17" s="1"/>
  <c r="D43" i="17" a="1"/>
  <c r="D43" i="17" s="1"/>
  <c r="I43" i="17" s="1"/>
  <c r="J43" i="17" s="1"/>
  <c r="K43" i="17" s="1"/>
  <c r="S43" i="17" s="1"/>
  <c r="P6" i="20"/>
  <c r="O21" i="22"/>
  <c r="P21" i="22" s="1"/>
  <c r="E18" i="24" s="1"/>
  <c r="D35" i="17" a="1"/>
  <c r="D35" i="17" s="1"/>
  <c r="I35" i="17" s="1"/>
  <c r="J35" i="17" s="1"/>
  <c r="K35" i="17" s="1"/>
  <c r="S35" i="17" s="1"/>
  <c r="B101" i="1"/>
  <c r="B102" i="1"/>
  <c r="C102" i="1" s="1"/>
  <c r="B110" i="1" s="1"/>
  <c r="B111" i="1" s="1"/>
  <c r="B100" i="1"/>
  <c r="C100" i="1" s="1"/>
  <c r="B105" i="1" s="1"/>
  <c r="D105" i="1" s="1"/>
  <c r="B103" i="1"/>
  <c r="D28" i="17" a="1"/>
  <c r="D28" i="17" s="1"/>
  <c r="I28" i="17" s="1"/>
  <c r="J28" i="17" s="1"/>
  <c r="K28" i="17" s="1"/>
  <c r="S28" i="17" s="1"/>
  <c r="D37" i="17" a="1"/>
  <c r="D37" i="17" s="1"/>
  <c r="I37" i="17" s="1"/>
  <c r="J37" i="17" s="1"/>
  <c r="K37" i="17" s="1"/>
  <c r="S37" i="17" s="1"/>
  <c r="D45" i="17" a="1"/>
  <c r="D45" i="17" s="1"/>
  <c r="I45" i="17" s="1"/>
  <c r="J45" i="17" s="1"/>
  <c r="K45" i="17" s="1"/>
  <c r="S45" i="17" s="1"/>
  <c r="D31" i="17" a="1"/>
  <c r="D31" i="17" s="1"/>
  <c r="I31" i="17" s="1"/>
  <c r="J31" i="17" s="1"/>
  <c r="K31" i="17" s="1"/>
  <c r="S31" i="17" s="1"/>
  <c r="D38" i="17" a="1"/>
  <c r="D38" i="17" s="1"/>
  <c r="I38" i="17" s="1"/>
  <c r="J38" i="17" s="1"/>
  <c r="K38" i="17" s="1"/>
  <c r="S38" i="17" s="1"/>
  <c r="D42" i="17" a="1"/>
  <c r="D42" i="17" s="1"/>
  <c r="I42" i="17" s="1"/>
  <c r="J42" i="17" s="1"/>
  <c r="K42" i="17" s="1"/>
  <c r="S42" i="17" s="1"/>
  <c r="O13" i="22"/>
  <c r="P13" i="22" s="1"/>
  <c r="E19" i="24" s="1"/>
  <c r="O16" i="19"/>
  <c r="P16" i="19" s="1"/>
  <c r="E22" i="21" s="1"/>
  <c r="O24" i="22"/>
  <c r="P24" i="22" s="1"/>
  <c r="E24" i="24" s="1"/>
  <c r="O16" i="22"/>
  <c r="P16" i="22" s="1"/>
  <c r="E25" i="24" s="1"/>
  <c r="D44" i="17" a="1"/>
  <c r="D44" i="17" s="1"/>
  <c r="I44" i="17" s="1"/>
  <c r="J44" i="17" s="1"/>
  <c r="K44" i="17" s="1"/>
  <c r="S44" i="17" s="1"/>
  <c r="D25" i="17" a="1"/>
  <c r="D25" i="17" s="1"/>
  <c r="I25" i="17" s="1"/>
  <c r="J25" i="17" s="1"/>
  <c r="K25" i="17" s="1"/>
  <c r="S25" i="17" s="1"/>
  <c r="D23" i="17" a="1"/>
  <c r="D23" i="17" s="1"/>
  <c r="I23" i="17" s="1"/>
  <c r="J23" i="17" s="1"/>
  <c r="K23" i="17" s="1"/>
  <c r="S23" i="17" s="1"/>
  <c r="D40" i="17" a="1"/>
  <c r="D40" i="17" s="1"/>
  <c r="I40" i="17" s="1"/>
  <c r="J40" i="17" s="1"/>
  <c r="K40" i="17" s="1"/>
  <c r="S40" i="17" s="1"/>
  <c r="D33" i="17" a="1"/>
  <c r="D33" i="17" s="1"/>
  <c r="I33" i="17" s="1"/>
  <c r="J33" i="17" s="1"/>
  <c r="K33" i="17" s="1"/>
  <c r="S33" i="17" s="1"/>
  <c r="D29" i="17" a="1"/>
  <c r="D29" i="17" s="1"/>
  <c r="I29" i="17" s="1"/>
  <c r="J29" i="17" s="1"/>
  <c r="K29" i="17" s="1"/>
  <c r="S29" i="17" s="1"/>
  <c r="O17" i="22"/>
  <c r="P17" i="22" s="1"/>
  <c r="E27" i="24" s="1"/>
  <c r="O12" i="19"/>
  <c r="P12" i="19" s="1"/>
  <c r="E21" i="21" s="1"/>
  <c r="P18" i="19"/>
  <c r="E26" i="21" s="1"/>
  <c r="F25" i="21" s="1"/>
  <c r="O25" i="21" s="1"/>
  <c r="P6" i="23"/>
  <c r="O22" i="22"/>
  <c r="P22" i="22" s="1"/>
  <c r="E20" i="24" s="1"/>
  <c r="D36" i="17" a="1"/>
  <c r="D36" i="17" s="1"/>
  <c r="I36" i="17" s="1"/>
  <c r="J36" i="17" s="1"/>
  <c r="K36" i="17" s="1"/>
  <c r="S36" i="17" s="1"/>
  <c r="D39" i="17" a="1"/>
  <c r="D39" i="17" s="1"/>
  <c r="I39" i="17" s="1"/>
  <c r="J39" i="17" s="1"/>
  <c r="K39" i="17" s="1"/>
  <c r="S39" i="17" s="1"/>
  <c r="D46" i="17" a="1"/>
  <c r="D46" i="17" s="1"/>
  <c r="I46" i="17" s="1"/>
  <c r="J46" i="17" s="1"/>
  <c r="K46" i="17" s="1"/>
  <c r="S46" i="17" s="1"/>
  <c r="R20" i="17"/>
  <c r="I15" i="17"/>
  <c r="J15" i="17" s="1"/>
  <c r="K15" i="17" s="1"/>
  <c r="S15" i="17" s="1"/>
  <c r="R41" i="17"/>
  <c r="R42" i="17"/>
  <c r="I21" i="17"/>
  <c r="J21" i="17" s="1"/>
  <c r="K21" i="17" s="1"/>
  <c r="S21" i="17" s="1"/>
  <c r="I16" i="17"/>
  <c r="J16" i="17" s="1"/>
  <c r="K16" i="17" s="1"/>
  <c r="S16" i="17" s="1"/>
  <c r="R8" i="20"/>
  <c r="R6" i="23"/>
  <c r="S6" i="23" s="1"/>
  <c r="B172" i="1"/>
  <c r="B173" i="1" s="1"/>
  <c r="D173" i="1" s="1"/>
  <c r="E173" i="1" s="1"/>
  <c r="F173" i="1" s="1"/>
  <c r="R37" i="17"/>
  <c r="I14" i="17"/>
  <c r="J14" i="17" s="1"/>
  <c r="K14" i="17" s="1"/>
  <c r="S14" i="17" s="1"/>
  <c r="R32" i="17"/>
  <c r="R40" i="17"/>
  <c r="R45" i="17"/>
  <c r="I30" i="17"/>
  <c r="J30" i="17" s="1"/>
  <c r="K30" i="17" s="1"/>
  <c r="S30" i="17" s="1"/>
  <c r="R11" i="17"/>
  <c r="D84" i="1"/>
  <c r="I12" i="17"/>
  <c r="J12" i="17" s="1"/>
  <c r="K12" i="17" s="1"/>
  <c r="S12" i="17" s="1"/>
  <c r="I19" i="17"/>
  <c r="J19" i="17" s="1"/>
  <c r="K19" i="17" s="1"/>
  <c r="S19" i="17" s="1"/>
  <c r="I22" i="17"/>
  <c r="J22" i="17" s="1"/>
  <c r="K22" i="17" s="1"/>
  <c r="S22" i="17" s="1"/>
  <c r="D107" i="1"/>
  <c r="D74" i="1"/>
  <c r="B75" i="1" s="1"/>
  <c r="D113" i="1"/>
  <c r="E29" i="24" l="1"/>
  <c r="F28" i="24" s="1"/>
  <c r="F32" i="24"/>
  <c r="F19" i="21"/>
  <c r="O19" i="21" s="1"/>
  <c r="E23" i="21"/>
  <c r="F23" i="21" s="1"/>
  <c r="O23" i="21" s="1"/>
  <c r="F18" i="24"/>
  <c r="F22" i="24"/>
  <c r="F20" i="24"/>
  <c r="F24" i="24"/>
  <c r="F21" i="21"/>
  <c r="O21" i="21" s="1"/>
  <c r="F26" i="24"/>
  <c r="D111" i="1"/>
  <c r="B112" i="1" s="1"/>
  <c r="F17" i="21"/>
  <c r="O17" i="21" s="1"/>
  <c r="T6" i="23"/>
  <c r="T8" i="23"/>
  <c r="S8" i="23"/>
  <c r="T8" i="20"/>
  <c r="S8" i="20"/>
  <c r="T6" i="20"/>
  <c r="S6" i="20"/>
  <c r="B10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<sst xmlns="http://schemas.openxmlformats.org/spreadsheetml/2006/main" count="1895" uniqueCount="721">
  <si>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</si>
  <si>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</si>
  <si>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</si>
  <si>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</si>
  <si>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</si>
  <si>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</si>
  <si>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</si>
  <si>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</si>
  <si>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</si>
  <si>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</si>
  <si>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</si>
  <si>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</si>
  <si>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</si>
  <si>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h</t>
    </r>
    <r>
      <rPr>
        <b/>
        <vertAlign val="subscript"/>
        <sz val="13"/>
        <color rgb="FF000000"/>
        <rFont val="Times New Roman"/>
        <family val="1"/>
      </rPr>
      <t>i</t>
    </r>
  </si>
  <si>
    <t>( mm )</t>
  </si>
  <si>
    <r>
      <t>(kN/m</t>
    </r>
    <r>
      <rPr>
        <b/>
        <vertAlign val="superscript"/>
        <sz val="13"/>
        <color rgb="FF000000"/>
        <rFont val="Times New Roman"/>
        <family val="1"/>
      </rPr>
      <t>3</t>
    </r>
    <r>
      <rPr>
        <b/>
        <sz val="13"/>
        <color rgb="FF000000"/>
        <rFont val="Times New Roman"/>
        <family val="1"/>
      </rPr>
      <t>)</t>
    </r>
  </si>
  <si>
    <r>
      <t>g</t>
    </r>
    <r>
      <rPr>
        <b/>
        <vertAlign val="superscript"/>
        <sz val="13"/>
        <color rgb="FF000000"/>
        <rFont val="Times New Roman"/>
        <family val="1"/>
      </rPr>
      <t>tc</t>
    </r>
  </si>
  <si>
    <r>
      <t xml:space="preserve"> </t>
    </r>
    <r>
      <rPr>
        <b/>
        <sz val="13"/>
        <color rgb="FF000000"/>
        <rFont val="Times New Roman"/>
        <family val="1"/>
      </rPr>
      <t>(kN/m</t>
    </r>
    <r>
      <rPr>
        <b/>
        <vertAlign val="superscript"/>
        <sz val="13"/>
        <color rgb="FF000000"/>
        <rFont val="Times New Roman"/>
        <family val="1"/>
      </rPr>
      <t>2</t>
    </r>
    <r>
      <rPr>
        <b/>
        <sz val="13"/>
        <color rgb="FF000000"/>
        <rFont val="Times New Roman"/>
        <family val="1"/>
      </rPr>
      <t xml:space="preserve"> )</t>
    </r>
  </si>
  <si>
    <t>n</t>
  </si>
  <si>
    <r>
      <t>g</t>
    </r>
    <r>
      <rPr>
        <b/>
        <vertAlign val="subscript"/>
        <sz val="13"/>
        <color rgb="FF000000"/>
        <rFont val="Times New Roman"/>
        <family val="1"/>
      </rPr>
      <t>bt</t>
    </r>
    <r>
      <rPr>
        <b/>
        <vertAlign val="superscript"/>
        <sz val="13"/>
        <color rgb="FF000000"/>
        <rFont val="Times New Roman"/>
        <family val="1"/>
      </rPr>
      <t>tt</t>
    </r>
  </si>
  <si>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</si>
  <si>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</si>
  <si>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</si>
  <si>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</si>
  <si>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</si>
  <si>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</si>
  <si>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</si>
  <si>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</si>
  <si>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</si>
  <si>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</si>
  <si>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</si>
  <si>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r>
      <t>( kN/m</t>
    </r>
    <r>
      <rPr>
        <b/>
        <vertAlign val="superscript"/>
        <sz val="13"/>
        <color rgb="FF000000"/>
        <rFont val="Times New Roman"/>
        <family val="1"/>
      </rPr>
      <t>2</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</si>
  <si>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</si>
  <si>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</si>
  <si>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</si>
  <si>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</si>
  <si>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</si>
  <si>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</si>
  <si>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</si>
  <si>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</si>
  <si>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</si>
  <si>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</si>
  <si>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</si>
  <si>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</si>
  <si>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</si>
  <si>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</si>
  <si>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</si>
  <si>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</si>
  <si>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</si>
  <si>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</si>
  <si>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</si>
  <si>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</si>
  <si>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</si>
  <si>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</si>
  <si>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</si>
  <si>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</si>
  <si>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</si>
  <si>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</si>
  <si>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</si>
  <si>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</si>
  <si>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</si>
  <si>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</si>
  <si>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</si>
  <si>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</si>
  <si>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</si>
  <si>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</si>
  <si>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</si>
  <si>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r>
      <t>(kN/m</t>
    </r>
    <r>
      <rPr>
        <b/>
        <vertAlign val="superscript"/>
        <sz val="13"/>
        <color rgb="FF000000"/>
        <rFont val="Times New Roman"/>
        <family val="1"/>
      </rPr>
      <t>2</t>
    </r>
    <r>
      <rPr>
        <b/>
        <sz val="13"/>
        <color rgb="FF000000"/>
        <rFont val="Times New Roman"/>
        <family val="1"/>
      </rPr>
      <t>)</t>
    </r>
  </si>
  <si>
    <t>Tường 100</t>
  </si>
  <si>
    <t>số lẻ thập phân</t>
  </si>
  <si>
    <t>Chức năng phòng</t>
  </si>
  <si>
    <r>
      <t>p</t>
    </r>
    <r>
      <rPr>
        <b/>
        <vertAlign val="superscript"/>
        <sz val="13"/>
        <color rgb="FF000000"/>
        <rFont val="Times New Roman"/>
        <family val="1"/>
      </rPr>
      <t>tc</t>
    </r>
    <r>
      <rPr>
        <b/>
        <sz val="13"/>
        <color rgb="FF000000"/>
        <rFont val="Times New Roman"/>
        <family val="1"/>
      </rPr>
      <t xml:space="preserve"> (kN/m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</si>
  <si>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(kN/m</t>
    </r>
    <r>
      <rPr>
        <b/>
        <vertAlign val="superscript"/>
        <sz val="13"/>
        <color rgb="FF000000"/>
        <rFont val="Times New Roman"/>
        <family val="1"/>
      </rPr>
      <t>2</t>
    </r>
    <r>
      <rPr>
        <b/>
        <sz val="13"/>
        <color rgb="FF000000"/>
        <rFont val="Times New Roman"/>
        <family val="1"/>
      </rPr>
      <t>)</t>
    </r>
  </si>
  <si>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</si>
  <si>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</si>
  <si>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</si>
  <si>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</si>
  <si>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</si>
  <si>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</si>
  <si>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</si>
  <si>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</si>
  <si>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</si>
  <si>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</si>
  <si>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</si>
  <si>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</si>
  <si>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r>
      <rPr>
        <sz val="13"/>
        <color rgb="FFFF0000"/>
        <rFont val="Times New Roman"/>
        <family val="1"/>
      </rPr>
      <t>cấp 3: S</t>
    </r>
    <r>
      <rPr>
        <vertAlign val="subscript"/>
        <sz val="13"/>
        <color rgb="FFFF0000"/>
        <rFont val="Times New Roman"/>
        <family val="1"/>
      </rPr>
      <t xml:space="preserve">sàn </t>
    </r>
    <r>
      <rPr>
        <sz val="13"/>
        <color rgb="FFFF0000"/>
        <rFont val="Times New Roman"/>
        <family val="1"/>
      </rPr>
      <t>&lt;5000m</t>
    </r>
    <r>
      <rPr>
        <vertAlign val="superscript"/>
        <sz val="13"/>
        <color rgb="FFFF0000"/>
        <rFont val="Times New Roman"/>
        <family val="1"/>
      </rPr>
      <t>2</t>
    </r>
  </si>
  <si>
    <t xml:space="preserve">Tổng diện tích </t>
  </si>
  <si>
    <t>Trong đó:</t>
  </si>
  <si>
    <t>tầng trệt: s=435,7 m², lầu 1: s=378,6 m²</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</si>
  <si>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</si>
  <si>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</si>
  <si>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</si>
  <si>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</si>
  <si>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</si>
  <si>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</si>
  <si>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</si>
  <si>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</si>
  <si>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</si>
  <si>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</si>
  <si>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</si>
  <si>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</si>
  <si>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</si>
  <si>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</si>
  <si>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</si>
  <si>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</si>
  <si>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</si>
  <si>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</si>
  <si>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r>
      <t>γ
(kN/m</t>
    </r>
    <r>
      <rPr>
        <b/>
        <vertAlign val="superscript"/>
        <sz val="13"/>
        <color rgb="FF000000"/>
        <rFont val="Times New Roman"/>
        <family val="1"/>
      </rPr>
      <t>3</t>
    </r>
    <r>
      <rPr>
        <b/>
        <sz val="13"/>
        <color rgb="FF000000"/>
        <rFont val="Times New Roman"/>
        <family val="1"/>
      </rPr>
      <t>)</t>
    </r>
  </si>
  <si>
    <t>γ
(kN/m3)</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</si>
  <si>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</si>
  <si>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</si>
  <si>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</si>
  <si>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</si>
  <si>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</si>
  <si>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</si>
  <si>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</si>
  <si>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</si>
  <si>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</si>
  <si>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</si>
  <si>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</si>
  <si>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</si>
  <si>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</si>
  <si>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</si>
  <si>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</si>
  <si>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</si>
  <si>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</si>
  <si>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</si>
  <si>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</si>
  <si>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</si>
  <si>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</si>
  <si>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</si>
  <si>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</si>
  <si>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</si>
  <si>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</si>
  <si>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</si>
  <si>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</si>
  <si>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</si>
  <si>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</si>
  <si>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</si>
  <si>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</si>
  <si>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</si>
  <si>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</si>
  <si>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</si>
  <si>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</si>
  <si>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</si>
  <si>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</si>
  <si>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</si>
  <si>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</si>
  <si>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</si>
  <si>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</si>
  <si>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</si>
  <si>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</si>
  <si>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</si>
  <si>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</si>
  <si>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</si>
  <si>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</si>
  <si>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</si>
  <si>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</si>
  <si>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</si>
  <si>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</si>
  <si>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</si>
  <si>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</si>
  <si>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</si>
  <si>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</si>
  <si>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</si>
  <si>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</si>
  <si>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</si>
  <si>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</si>
  <si>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</si>
  <si>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</si>
  <si>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</si>
  <si>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</si>
  <si>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</si>
  <si>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</si>
  <si>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</si>
  <si>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</si>
  <si>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</si>
  <si>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</si>
  <si>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</si>
  <si>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</si>
  <si>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</si>
  <si>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</si>
  <si>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</si>
  <si>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</si>
  <si>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</si>
  <si>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</si>
  <si>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</si>
  <si>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</si>
  <si>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</si>
  <si>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</si>
  <si>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</si>
  <si>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</si>
  <si>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</si>
  <si>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</si>
  <si>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</si>
  <si>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</si>
  <si>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</si>
  <si>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</si>
  <si>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</si>
  <si>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</si>
  <si>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</si>
  <si>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</si>
  <si>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</si>
  <si>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</si>
  <si>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</si>
  <si>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</si>
  <si>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</si>
  <si>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</si>
  <si>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</si>
  <si>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</si>
  <si>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</si>
  <si>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</si>
  <si>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</si>
  <si>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r>
      <rPr>
        <sz val="12"/>
        <rFont val="Times New Roman"/>
        <family val="1"/>
      </rPr>
      <t>(daN/m</t>
    </r>
    <r>
      <rPr>
        <vertAlign val="superscript"/>
        <sz val="12"/>
        <rFont val="Times New Roman"/>
        <family val="1"/>
      </rPr>
      <t>2</t>
    </r>
    <r>
      <rPr>
        <sz val="12"/>
        <rFont val="Times New Roman"/>
        <family val="1"/>
      </rPr>
      <t>)</t>
    </r>
  </si>
  <si>
    <t>(daN/m)</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</si>
  <si>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</si>
  <si>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</si>
  <si>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</si>
  <si>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</si>
  <si>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</si>
  <si>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</si>
  <si>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</si>
  <si>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</si>
  <si>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</si>
  <si>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</si>
  <si>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</si>
  <si>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</si>
  <si>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</si>
  <si>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</si>
  <si>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</si>
  <si>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</si>
  <si>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</si>
  <si>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</si>
  <si>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</si>
  <si>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</si>
  <si>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</si>
  <si>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</si>
  <si>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</si>
  <si>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</si>
  <si>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</si>
  <si>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</si>
  <si>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</si>
  <si>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</si>
  <si>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</si>
  <si>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</si>
  <si>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</si>
  <si>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</si>
  <si>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</si>
  <si>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</si>
  <si>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</si>
  <si>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</si>
  <si>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</si>
  <si>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</si>
  <si>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</si>
  <si>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 xml:space="preserve">Ký hiệu </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</si>
  <si>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</si>
  <si>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</si>
  <si>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</si>
  <si>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</si>
  <si>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</si>
  <si>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</si>
  <si>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</si>
  <si>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</si>
  <si>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</si>
  <si>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 xml:space="preserve">              Chọn thép</t>
  </si>
  <si>
    <t>m%</t>
  </si>
  <si>
    <t>Chọn</t>
  </si>
  <si>
    <r>
      <t>F</t>
    </r>
    <r>
      <rPr>
        <b/>
        <vertAlign val="subscript"/>
        <sz val="11"/>
        <rFont val="Times New Roman"/>
        <family val="1"/>
      </rPr>
      <t>a</t>
    </r>
  </si>
  <si>
    <t>ô sàn</t>
  </si>
  <si>
    <t>(daN.cm)</t>
  </si>
  <si>
    <t>(cm)</t>
  </si>
  <si>
    <t>(MPa)</t>
  </si>
  <si>
    <r>
      <t>(cm</t>
    </r>
    <r>
      <rPr>
        <i/>
        <vertAlign val="superscript"/>
        <sz val="12"/>
        <rFont val="Times New Roman"/>
        <family val="1"/>
      </rPr>
      <t>2</t>
    </r>
    <r>
      <rPr>
        <i/>
        <sz val="12"/>
        <rFont val="Times New Roman"/>
        <family val="1"/>
      </rPr>
      <t>)</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</si>
  <si>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</si>
  <si>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</si>
  <si>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</si>
  <si>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</si>
  <si>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</si>
  <si>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</si>
  <si>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</si>
  <si>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</si>
  <si>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</si>
  <si>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</si>
  <si>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</si>
  <si>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</si>
  <si>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</si>
  <si>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</si>
  <si>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</si>
  <si>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</si>
  <si>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</si>
  <si>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</si>
  <si>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</si>
  <si>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</si>
  <si>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</si>
  <si>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</si>
  <si>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</si>
  <si>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</si>
  <si>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</si>
  <si>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</si>
  <si>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</si>
  <si>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</si>
  <si>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</si>
  <si>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</si>
  <si>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</si>
  <si>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</si>
  <si>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</si>
  <si>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</si>
  <si>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</si>
  <si>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</si>
  <si>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</si>
  <si>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</si>
  <si>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</si>
  <si>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</si>
  <si>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</si>
  <si>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</si>
  <si>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</si>
  <si>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</si>
  <si>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</si>
  <si>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</si>
  <si>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</si>
  <si>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</si>
  <si>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</si>
  <si>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</si>
  <si>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</si>
  <si>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</si>
  <si>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</si>
  <si>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</si>
  <si>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</si>
  <si>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</si>
  <si>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</si>
  <si>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</si>
  <si>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</si>
  <si>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</si>
  <si>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</si>
  <si>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</si>
  <si>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</si>
  <si>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</si>
  <si>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</si>
  <si>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</si>
  <si>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</si>
  <si>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</si>
  <si>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</si>
  <si>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</si>
  <si>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</si>
  <si>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</si>
  <si>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</si>
  <si>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</si>
  <si>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</si>
  <si>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</si>
  <si>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</si>
  <si>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</si>
  <si>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</si>
  <si>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</si>
  <si>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</si>
  <si>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</si>
  <si>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</si>
  <si>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</si>
  <si>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</si>
  <si>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</si>
  <si>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</si>
  <si>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</si>
  <si>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</si>
  <si>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</si>
  <si>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</si>
  <si>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</si>
  <si>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</si>
  <si>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</si>
  <si>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</si>
  <si>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</si>
  <si>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</si>
  <si>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</si>
  <si>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</si>
  <si>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</si>
  <si>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</si>
  <si>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</si>
  <si>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</si>
  <si>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</si>
  <si>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</si>
  <si>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</si>
  <si>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</si>
  <si>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</si>
  <si>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</si>
  <si>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</si>
  <si>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</si>
  <si>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</si>
  <si>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</si>
  <si>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</si>
  <si>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</si>
  <si>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</si>
  <si>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</si>
  <si>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</si>
  <si>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</si>
  <si>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</si>
  <si>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</si>
  <si>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</si>
  <si>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</si>
  <si>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</si>
  <si>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</si>
  <si>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</si>
  <si>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</si>
  <si>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</si>
  <si>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</si>
  <si>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</si>
  <si>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</si>
  <si>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</si>
  <si>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</si>
  <si>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</si>
  <si>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</si>
  <si>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</si>
  <si>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</si>
  <si>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</si>
  <si>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</si>
  <si>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</si>
  <si>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</si>
  <si>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</si>
  <si>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</si>
  <si>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</si>
  <si>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</si>
  <si>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</si>
  <si>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</si>
  <si>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</si>
  <si>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</si>
  <si>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</si>
  <si>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</si>
  <si>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</si>
  <si>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</si>
  <si>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</si>
  <si>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</si>
  <si>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</si>
  <si>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</si>
  <si>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</si>
  <si>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</si>
  <si>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</si>
  <si>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</si>
  <si>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</si>
  <si>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</si>
  <si>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</si>
  <si>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</si>
  <si>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</si>
  <si>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</si>
  <si>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</si>
  <si>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</si>
  <si>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</si>
  <si>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</si>
  <si>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</si>
  <si>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</si>
  <si>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</si>
  <si>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</si>
  <si>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</si>
  <si>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</si>
  <si>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</si>
  <si>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</si>
  <si>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</si>
  <si>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</si>
  <si>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</si>
  <si>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</si>
  <si>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</si>
  <si>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</si>
  <si>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</si>
  <si>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</si>
  <si>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</si>
  <si>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</si>
  <si>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</si>
  <si>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</si>
  <si>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</si>
  <si>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</si>
  <si>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</si>
  <si>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r>
      <t>daN/m</t>
    </r>
    <r>
      <rPr>
        <i/>
        <vertAlign val="superscript"/>
        <sz val="11"/>
        <rFont val="Times New Roman"/>
        <family val="1"/>
      </rPr>
      <t>2</t>
    </r>
  </si>
  <si>
    <t>(daN.m)</t>
  </si>
  <si>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</si>
  <si>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</si>
  <si>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</si>
  <si>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</si>
  <si>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</si>
  <si>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</si>
  <si>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</si>
  <si>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</si>
  <si>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</si>
  <si>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</si>
  <si>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</si>
  <si>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</si>
  <si>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</si>
  <si>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</si>
  <si>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</si>
  <si>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</si>
  <si>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</si>
  <si>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</si>
  <si>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</si>
  <si>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</si>
  <si>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</si>
  <si>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</si>
  <si>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</si>
  <si>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</si>
  <si>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</si>
  <si>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</si>
  <si>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</si>
  <si>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</si>
  <si>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</si>
  <si>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</si>
  <si>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</si>
  <si>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</si>
  <si>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</si>
  <si>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Chiều dày tương đương lop bac thang</t>
  </si>
  <si>
    <t>cos</t>
  </si>
  <si>
    <t>g2'</t>
  </si>
  <si>
    <t>Tải trọng lên bản thang</t>
  </si>
  <si>
    <t>Chiếu nghỉ</t>
  </si>
  <si>
    <t>daN/m2</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</si>
  <si>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</si>
  <si>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</si>
  <si>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</si>
  <si>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</si>
  <si>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</si>
  <si>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</si>
  <si>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</si>
  <si>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</si>
  <si>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</si>
  <si>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</si>
  <si>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</si>
  <si>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</si>
  <si>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</si>
  <si>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</si>
  <si>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</si>
  <si>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</si>
  <si>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</si>
  <si>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</si>
  <si>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</si>
  <si>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</si>
  <si>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</si>
  <si>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</si>
  <si>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</si>
  <si>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</si>
  <si>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</si>
  <si>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</si>
  <si>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</si>
  <si>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</si>
  <si>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</si>
  <si>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</si>
  <si>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</si>
  <si>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</si>
  <si>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</si>
  <si>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</si>
  <si>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</si>
  <si>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</si>
  <si>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</si>
  <si>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</si>
  <si>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Fa</t>
  </si>
  <si>
    <t>Fa chọn</t>
  </si>
  <si>
    <t>Tính bản thang vế 1</t>
  </si>
  <si>
    <t>RD</t>
  </si>
  <si>
    <t>Tính bản thang vế 3</t>
  </si>
  <si>
    <t>l2/l1</t>
  </si>
  <si>
    <t>f0</t>
  </si>
  <si>
    <t>Mx</t>
  </si>
  <si>
    <t>My</t>
  </si>
  <si>
    <t>fr</t>
  </si>
  <si>
    <t>Mry</t>
  </si>
  <si>
    <t>M21</t>
  </si>
  <si>
    <t>daNm</t>
  </si>
  <si>
    <t>Mn21</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</si>
  <si>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</si>
  <si>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</si>
  <si>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</si>
  <si>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</si>
  <si>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</si>
  <si>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</si>
  <si>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</si>
  <si>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</si>
  <si>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</si>
  <si>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</si>
  <si>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</si>
  <si>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</si>
  <si>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</si>
  <si>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</si>
  <si>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</si>
  <si>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</si>
  <si>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</si>
  <si>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</si>
  <si>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</si>
  <si>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</si>
  <si>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</si>
  <si>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</si>
  <si>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</si>
  <si>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</si>
  <si>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</si>
  <si>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</si>
  <si>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</si>
  <si>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TÍNH TOÁN VÀ CẤU TẠO KHUNG TRỤC 2 &amp; c</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</si>
  <si>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</si>
  <si>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</si>
  <si>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</si>
  <si>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</si>
  <si>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</si>
  <si>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</si>
  <si>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</si>
  <si>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</si>
  <si>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</si>
  <si>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</si>
  <si>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</si>
  <si>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</si>
  <si>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</si>
  <si>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</si>
  <si>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</si>
  <si>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</si>
  <si>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</si>
  <si>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</si>
  <si>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</si>
  <si>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</si>
  <si>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</si>
  <si>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</si>
  <si>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</si>
  <si>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</si>
  <si>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</si>
  <si>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</si>
  <si>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</si>
  <si>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</si>
  <si>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</si>
  <si>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</si>
  <si>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</si>
  <si>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</si>
  <si>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</si>
  <si>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</si>
  <si>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</si>
  <si>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</si>
  <si>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</si>
  <si>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</si>
  <si>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</si>
  <si>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</si>
  <si>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</si>
  <si>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</si>
  <si>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</si>
  <si>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</si>
  <si>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</si>
  <si>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</si>
  <si>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</si>
  <si>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</si>
  <si>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</si>
  <si>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</si>
  <si>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</si>
  <si>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</si>
  <si>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</si>
  <si>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</si>
  <si>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</si>
  <si>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</si>
  <si>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</si>
  <si>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</si>
  <si>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</si>
  <si>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</si>
  <si>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</si>
  <si>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</si>
  <si>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</si>
  <si>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</si>
  <si>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</si>
  <si>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</si>
  <si>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</si>
  <si>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</si>
  <si>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</si>
  <si>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</si>
  <si>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</si>
  <si>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</si>
  <si>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</si>
  <si>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</si>
  <si>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</si>
  <si>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</si>
  <si>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</si>
  <si>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</si>
  <si>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</si>
  <si>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</si>
  <si>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</si>
  <si>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</si>
  <si>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</si>
  <si>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</si>
  <si>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</si>
  <si>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</si>
  <si>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</si>
  <si>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</si>
  <si>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</si>
  <si>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</si>
  <si>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</si>
  <si>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</si>
  <si>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</si>
  <si>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</si>
  <si>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</si>
  <si>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</si>
  <si>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</si>
  <si>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</si>
  <si>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</si>
  <si>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</si>
  <si>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</si>
  <si>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</si>
  <si>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</si>
  <si>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</si>
  <si>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</si>
  <si>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</si>
  <si>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</si>
  <si>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</si>
  <si>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</si>
  <si>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</si>
  <si>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</si>
  <si>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</si>
  <si>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</si>
  <si>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</si>
  <si>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</si>
  <si>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</si>
  <si>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</si>
  <si>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</si>
  <si>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</si>
  <si>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</si>
  <si>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</si>
  <si>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</si>
  <si>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</si>
  <si>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r>
      <t xml:space="preserve">1.1.1.1. </t>
    </r>
    <r>
      <rPr>
        <b/>
        <sz val="13"/>
        <color theme="1"/>
        <rFont val="Times New Roman"/>
        <family val="1"/>
      </rPr>
      <t>Tính toán theo phương cạnh h</t>
    </r>
  </si>
  <si>
    <t>độ mảnh</t>
  </si>
  <si>
    <t>i=0,288b</t>
  </si>
  <si>
    <t>gh=</t>
  </si>
  <si>
    <t>e1</t>
  </si>
  <si>
    <t>ea</t>
  </si>
  <si>
    <t>e0</t>
  </si>
  <si>
    <t>e</t>
  </si>
  <si>
    <t>ε_0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</si>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</sst>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3" formatCode="_-* #,##0.00_-;\-* #,##0.00_-;_-* &quot;-&quot;??_-;_-@_-"/>
    <numFmt numFmtId="164" formatCode="_-* #,##0.0_-;\-* #,##0.0_-;_-* &quot;-&quot;??_-;_-@_-"/>
    <numFmt numFmtId="165" formatCode="_-* #,##0.00\ _₫_-;\-* #,##0.00\ _₫_-;_-* &quot;-&quot;??\ _₫_-;_-@_-"/>
    <numFmt numFmtId="166" formatCode="0.0"/>
    <numFmt numFmtId="167" formatCode="0.000"/>
    <numFmt numFmtId="168" formatCode="_-* #,##0.000_-;\-* #,##0.000_-;_-* &quot;-&quot;??_-;_-@_-"/>
    <numFmt numFmtId="169" formatCode="_-* #,##0_-;\-* #,##0_-;_-* &quot;-&quot;??_-;_-@_-"/>
    <numFmt numFmtId="170" formatCode="0.00;[Red]0.00"/>
    <numFmt numFmtId="171" formatCode="_-* #,##0.000\ _₫_-;\-* #,##0.000\ _₫_-;_-* &quot;-&quot;??\ _₫_-;_-@_-"/>
    <numFmt numFmtId="172" formatCode="_-* #,##0.0000\ _₫_-;\-* #,##0.0000\ _₫_-;_-* &quot;-&quot;??\ _₫_-;_-@_-"/>
    <numFmt numFmtId="173" formatCode="_-* #,##0\ _₫_-;\-* #,##0\ _₫_-;_-* &quot;-&quot;??\ _₫_-;_-@_-"/>
    <numFmt numFmtId="174" formatCode="0.0000"/>
    <numFmt numFmtId="175" formatCode="0.00000"/>
    <numFmt numFmtId="176" formatCode="_-* #,##0.0000_-;\-* #,##0.0000_-;_-* &quot;-&quot;??_-;_-@_-"/>
    <numFmt numFmtId="177" formatCode="_-* #,##0.0\ _₫_-;\-* #,##0.0\ _₫_-;_-* &quot;-&quot;??\ _₫_-;_-@_-"/>
    <numFmt numFmtId="178" formatCode="_-* #,##0.0\ _₫_-;\-* #,##0.0\ _₫_-;_-* &quot;-&quot;?\ _₫_-;_-@_-"/>
    <numFmt numFmtId="179" formatCode="_-* #,##0.000\ _₫_-;\-* #,##0.000\ _₫_-;_-* &quot;-&quot;?\ _₫_-;_-@_-"/>
    <numFmt numFmtId="180" formatCode="_-* #,##0.00000_-;\-* #,##0.00000_-;_-* &quot;-&quot;??_-;_-@_-"/>
    <numFmt numFmtId="181" formatCode="_-* #,##0.0000\ _₫_-;\-* #,##0.0000\ _₫_-;_-* &quot;-&quot;?????\ _₫_-;_-@_-"/>
    <numFmt numFmtId="182" formatCode="_-* #,##0\ _₫_-;\-* #,##0\ _₫_-;_-* &quot;-&quot;?\ _₫_-;_-@_-"/>
    <numFmt numFmtId="183" formatCode="_-* #,##0.00\ _₫_-;\-* #,##0.00\ _₫_-;_-* &quot;-&quot;?\ _₫_-;_-@_-"/>
    <numFmt numFmtId="184" formatCode="_-* #,##0.000\ _₫_-;\-* #,##0.000\ _₫_-;_-* &quot;-&quot;???\ _₫_-;_-@_-"/>
    <numFmt numFmtId="185" formatCode="_-* #,##0\ _₫_-;\-* #,##0\ _₫_-;_-* &quot;-&quot;???\ _₫_-;_-@_-"/>
    <numFmt numFmtId="186" formatCode="_-* #,##0.00000\ _₫_-;\-* #,##0.00000\ _₫_-;_-* &quot;-&quot;??\ _₫_-;_-@_-"/>
  </numFmts>
  <fonts count="68">
    <font>
      <sz val="11"/>
      <color theme="1"/>
      <name val="Calibri"/>
      <family val="2"/>
      <scheme val="minor"/>
    </font>
    <font>
      <sz val="11"/>
      <color theme="1"/>
      <name val="Calibri"/>
      <family val="2"/>
      <charset val="163"/>
      <scheme val="minor"/>
    </font>
    <font>
      <sz val="11"/>
      <color theme="1"/>
      <name val="Calibri"/>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sz val="11"/>
      <color theme="1"/>
      <name val="Times New Roman"/>
      <family val="1"/>
    </font>
    <font>
      <b/>
      <sz val="11"/>
      <color theme="1"/>
      <name val="Times New Roman"/>
      <family val="1"/>
    </font>
    <font>
      <vertAlign val="subscript"/>
      <sz val="13"/>
      <color rgb="FFFF0000"/>
      <name val="Times New Roman"/>
      <family val="1"/>
    </font>
    <font>
      <vertAlign val="superscript"/>
      <sz val="13"/>
      <color rgb="FFFF0000"/>
      <name val="Times New Roman"/>
      <family val="1"/>
    </font>
    <font>
      <b/>
      <sz val="11"/>
      <color theme="1"/>
      <name val="Calibri"/>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Calibri"/>
      <family val="2"/>
      <scheme val="minor"/>
    </font>
    <font>
      <sz val="12"/>
      <color theme="0"/>
      <name val="Times New Roman"/>
      <family val="1"/>
    </font>
    <font>
      <sz val="11"/>
      <color theme="0"/>
      <name val="Times New Roman"/>
      <family val="1"/>
    </font>
    <font>
      <sz val="10"/>
      <color theme="0"/>
      <name val="Times New Roman"/>
      <family val="1"/>
    </font>
    <font>
      <b/>
      <sz val="11"/>
      <color rgb="FFFF000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s>
  <fills count="17">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s>
  <borders count="5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6">
    <xf numFmtId="0" fontId="0" fillId="0" borderId="0"/>
    <xf numFmtId="43" fontId="2" fillId="0" borderId="0" applyFont="0" applyFill="0" applyBorder="0" applyAlignment="0" applyProtection="0"/>
    <xf numFmtId="0" fontId="19" fillId="0" borderId="0"/>
    <xf numFmtId="0" fontId="20" fillId="0" borderId="0"/>
    <xf numFmtId="0" fontId="67" fillId="0" borderId="0"/>
    <xf numFmtId="0" fontId="1" fillId="0" borderId="0"/>
  </cellStyleXfs>
  <cellXfs count="573">
    <xf numFmtId="0" fontId="0" fillId="0" borderId="0" xfId="0"/>
    <xf numFmtId="0" fontId="5" fillId="2" borderId="5" xfId="0" applyFont="1" applyFill="1" applyBorder="1" applyAlignment="1">
      <alignment horizontal="justify" vertical="center" wrapText="1"/>
    </xf>
    <xf numFmtId="0" fontId="8" fillId="2" borderId="2" xfId="0" applyFont="1" applyFill="1" applyBorder="1" applyAlignment="1">
      <alignment horizontal="justify" vertical="center" wrapText="1"/>
    </xf>
    <xf numFmtId="164" fontId="0" fillId="0" borderId="0" xfId="1" applyNumberFormat="1" applyFont="1"/>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2" borderId="5" xfId="0" applyFont="1" applyFill="1" applyBorder="1" applyAlignment="1">
      <alignment horizontal="center" vertical="center" wrapText="1"/>
    </xf>
    <xf numFmtId="43" fontId="5" fillId="2" borderId="4" xfId="1" applyFont="1" applyFill="1" applyBorder="1" applyAlignment="1">
      <alignment horizontal="center" vertical="center" wrapText="1"/>
    </xf>
    <xf numFmtId="43" fontId="7" fillId="2" borderId="5" xfId="1" applyFont="1" applyFill="1" applyBorder="1" applyAlignment="1">
      <alignment horizontal="center" vertical="center" wrapText="1"/>
    </xf>
    <xf numFmtId="43" fontId="3" fillId="0" borderId="5" xfId="1" applyFont="1" applyBorder="1" applyAlignment="1">
      <alignment horizontal="center" vertical="center" wrapText="1"/>
    </xf>
    <xf numFmtId="43" fontId="5" fillId="2" borderId="5" xfId="1" applyFont="1" applyFill="1" applyBorder="1" applyAlignment="1">
      <alignment horizontal="center" vertical="center" wrapText="1"/>
    </xf>
    <xf numFmtId="43" fontId="0" fillId="0" borderId="0" xfId="1" applyFont="1" applyAlignment="1">
      <alignment horizontal="center"/>
    </xf>
    <xf numFmtId="0" fontId="4" fillId="2" borderId="5" xfId="0" applyFont="1" applyFill="1" applyBorder="1" applyAlignment="1">
      <alignment horizontal="justify" vertical="center" wrapText="1"/>
    </xf>
    <xf numFmtId="165" fontId="3" fillId="0" borderId="5"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3"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justify" vertical="center"/>
    </xf>
    <xf numFmtId="43" fontId="0" fillId="0" borderId="0" xfId="1" applyFont="1"/>
    <xf numFmtId="0" fontId="8" fillId="2" borderId="2" xfId="0" applyFont="1" applyFill="1" applyBorder="1" applyAlignment="1">
      <alignment horizontal="right" vertical="center" wrapText="1"/>
    </xf>
    <xf numFmtId="43" fontId="3" fillId="0" borderId="5" xfId="1" applyFont="1" applyBorder="1" applyAlignment="1">
      <alignment horizontal="right" vertical="center" wrapText="1"/>
    </xf>
    <xf numFmtId="0" fontId="3" fillId="0" borderId="5" xfId="0" applyFont="1" applyBorder="1" applyAlignment="1">
      <alignment horizontal="right" vertical="center" wrapText="1"/>
    </xf>
    <xf numFmtId="43" fontId="5" fillId="2" borderId="5" xfId="1" applyFont="1" applyFill="1" applyBorder="1" applyAlignment="1">
      <alignment horizontal="right" vertical="center" wrapText="1"/>
    </xf>
    <xf numFmtId="0" fontId="3" fillId="2" borderId="5" xfId="0" applyFont="1" applyFill="1" applyBorder="1" applyAlignment="1">
      <alignment horizontal="right" vertical="center" wrapText="1"/>
    </xf>
    <xf numFmtId="0" fontId="5" fillId="2" borderId="5" xfId="0" applyFont="1" applyFill="1" applyBorder="1" applyAlignment="1">
      <alignment horizontal="right" vertical="center" wrapText="1"/>
    </xf>
    <xf numFmtId="0" fontId="3" fillId="0" borderId="13" xfId="0" applyFont="1" applyBorder="1" applyAlignment="1">
      <alignment horizontal="justify" vertical="center"/>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3" fillId="0" borderId="15" xfId="0" applyFont="1" applyBorder="1" applyAlignment="1">
      <alignment horizontal="justify" vertical="center" wrapText="1"/>
    </xf>
    <xf numFmtId="0" fontId="3" fillId="0" borderId="16" xfId="0" applyFont="1" applyBorder="1" applyAlignment="1">
      <alignment horizontal="justify" vertical="center"/>
    </xf>
    <xf numFmtId="0" fontId="5" fillId="2" borderId="18" xfId="0" applyFont="1" applyFill="1" applyBorder="1" applyAlignment="1">
      <alignment horizontal="justify" vertical="center" wrapText="1"/>
    </xf>
    <xf numFmtId="0" fontId="5" fillId="2" borderId="3" xfId="0" applyFont="1" applyFill="1" applyBorder="1" applyAlignment="1">
      <alignment horizontal="justify" vertical="center" wrapText="1"/>
    </xf>
    <xf numFmtId="43" fontId="3" fillId="0" borderId="5" xfId="1" applyFont="1" applyBorder="1" applyAlignment="1">
      <alignment horizontal="justify" vertical="center" wrapText="1"/>
    </xf>
    <xf numFmtId="165" fontId="3" fillId="0" borderId="5" xfId="0" applyNumberFormat="1" applyFont="1" applyBorder="1" applyAlignment="1">
      <alignment horizontal="justify" vertical="center" wrapText="1"/>
    </xf>
    <xf numFmtId="0" fontId="14" fillId="0" borderId="0" xfId="0" applyFont="1"/>
    <xf numFmtId="0" fontId="15" fillId="0" borderId="0" xfId="0" applyFont="1"/>
    <xf numFmtId="0" fontId="10" fillId="0" borderId="0" xfId="0" applyFont="1"/>
    <xf numFmtId="0" fontId="5" fillId="2" borderId="2" xfId="0" applyFont="1" applyFill="1" applyBorder="1" applyAlignment="1">
      <alignment horizontal="center" vertical="center" wrapText="1"/>
    </xf>
    <xf numFmtId="0" fontId="3" fillId="0" borderId="0" xfId="0" applyFont="1"/>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5" fillId="2" borderId="5" xfId="0" applyFont="1" applyFill="1" applyBorder="1" applyAlignment="1">
      <alignment horizontal="center" vertical="center"/>
    </xf>
    <xf numFmtId="0" fontId="5" fillId="2" borderId="12" xfId="0" applyFont="1" applyFill="1" applyBorder="1" applyAlignment="1">
      <alignment horizontal="center" vertical="center"/>
    </xf>
    <xf numFmtId="0" fontId="9" fillId="0" borderId="0" xfId="0" applyFont="1" applyAlignment="1">
      <alignment vertical="center"/>
    </xf>
    <xf numFmtId="43" fontId="0" fillId="0" borderId="0" xfId="0" applyNumberFormat="1"/>
    <xf numFmtId="0" fontId="0" fillId="3" borderId="0" xfId="0" applyFill="1"/>
    <xf numFmtId="0" fontId="18" fillId="3" borderId="0" xfId="0" applyFont="1" applyFill="1"/>
    <xf numFmtId="0" fontId="0" fillId="0" borderId="0" xfId="0" applyNumberFormat="1"/>
    <xf numFmtId="0" fontId="4" fillId="0" borderId="0" xfId="0" applyFont="1"/>
    <xf numFmtId="0" fontId="4" fillId="0" borderId="0" xfId="0" applyFont="1" applyAlignment="1">
      <alignment horizontal="justify" vertical="center"/>
    </xf>
    <xf numFmtId="43" fontId="14" fillId="0" borderId="0" xfId="0" applyNumberFormat="1" applyFont="1"/>
    <xf numFmtId="43" fontId="0" fillId="3" borderId="0" xfId="1" applyFont="1" applyFill="1"/>
    <xf numFmtId="0" fontId="19" fillId="0" borderId="0" xfId="2"/>
    <xf numFmtId="0" fontId="21" fillId="4" borderId="19" xfId="2" applyFont="1" applyFill="1" applyBorder="1" applyAlignment="1">
      <alignment horizontal="center" vertical="center" wrapText="1"/>
    </xf>
    <xf numFmtId="166" fontId="21" fillId="0" borderId="0" xfId="2" applyNumberFormat="1" applyFont="1"/>
    <xf numFmtId="0" fontId="21" fillId="0" borderId="19" xfId="2" applyFont="1" applyFill="1" applyBorder="1" applyAlignment="1">
      <alignment horizontal="center" wrapText="1"/>
    </xf>
    <xf numFmtId="166" fontId="21" fillId="0" borderId="19" xfId="2" applyNumberFormat="1" applyFont="1" applyFill="1" applyBorder="1" applyAlignment="1">
      <alignment horizontal="center" wrapText="1"/>
    </xf>
    <xf numFmtId="167" fontId="21" fillId="0" borderId="19" xfId="2" applyNumberFormat="1" applyFont="1" applyFill="1" applyBorder="1" applyAlignment="1">
      <alignment horizontal="center" wrapText="1"/>
    </xf>
    <xf numFmtId="0" fontId="21" fillId="0" borderId="0" xfId="2" applyFont="1" applyFill="1" applyBorder="1" applyAlignment="1">
      <alignment horizontal="center" wrapText="1"/>
    </xf>
    <xf numFmtId="1" fontId="21" fillId="0" borderId="19" xfId="2" applyNumberFormat="1" applyFont="1" applyFill="1" applyBorder="1" applyAlignment="1">
      <alignment horizontal="right" wrapText="1"/>
    </xf>
    <xf numFmtId="1" fontId="21" fillId="0" borderId="19" xfId="2" applyNumberFormat="1" applyFont="1" applyFill="1" applyBorder="1" applyAlignment="1">
      <alignment horizontal="right"/>
    </xf>
    <xf numFmtId="1" fontId="21" fillId="0" borderId="0" xfId="2" applyNumberFormat="1" applyFont="1"/>
    <xf numFmtId="169" fontId="21" fillId="0" borderId="19" xfId="1" applyNumberFormat="1" applyFont="1" applyFill="1" applyBorder="1" applyAlignment="1">
      <alignment horizontal="center" wrapText="1"/>
    </xf>
    <xf numFmtId="169" fontId="0" fillId="0" borderId="0" xfId="1" applyNumberFormat="1" applyFont="1"/>
    <xf numFmtId="1" fontId="26" fillId="0" borderId="19" xfId="2" applyNumberFormat="1" applyFont="1" applyFill="1" applyBorder="1" applyAlignment="1">
      <alignment horizontal="right" wrapText="1"/>
    </xf>
    <xf numFmtId="1" fontId="26" fillId="0" borderId="19" xfId="2" applyNumberFormat="1" applyFont="1" applyFill="1" applyBorder="1" applyAlignment="1">
      <alignment horizontal="right"/>
    </xf>
    <xf numFmtId="1" fontId="26" fillId="0" borderId="19" xfId="2" applyNumberFormat="1" applyFont="1" applyFill="1" applyBorder="1" applyAlignment="1">
      <alignment horizontal="right" wrapText="1"/>
    </xf>
    <xf numFmtId="1" fontId="26" fillId="0" borderId="19" xfId="2" applyNumberFormat="1" applyFont="1" applyFill="1" applyBorder="1" applyAlignment="1">
      <alignment horizontal="right"/>
    </xf>
    <xf numFmtId="166" fontId="21" fillId="0" borderId="19" xfId="2" applyNumberFormat="1" applyFont="1" applyFill="1" applyBorder="1" applyAlignment="1">
      <alignment horizontal="center" wrapText="1"/>
    </xf>
    <xf numFmtId="167" fontId="21" fillId="0" borderId="19" xfId="2" applyNumberFormat="1" applyFont="1" applyFill="1" applyBorder="1" applyAlignment="1">
      <alignment horizontal="center" wrapText="1"/>
    </xf>
    <xf numFmtId="0" fontId="8" fillId="5" borderId="22" xfId="2" applyFont="1" applyFill="1" applyBorder="1" applyAlignment="1">
      <alignment horizontal="center" vertical="center" wrapText="1"/>
    </xf>
    <xf numFmtId="0" fontId="8" fillId="5" borderId="23" xfId="2" applyFont="1" applyFill="1" applyBorder="1" applyAlignment="1">
      <alignment horizontal="center" vertical="center" wrapText="1"/>
    </xf>
    <xf numFmtId="0" fontId="19" fillId="5" borderId="24" xfId="2" applyFill="1" applyBorder="1" applyAlignment="1">
      <alignment vertical="center" wrapText="1"/>
    </xf>
    <xf numFmtId="0" fontId="8" fillId="5" borderId="24" xfId="2" applyFont="1" applyFill="1" applyBorder="1" applyAlignment="1">
      <alignment horizontal="center" vertical="center" wrapText="1"/>
    </xf>
    <xf numFmtId="0" fontId="8" fillId="5" borderId="25" xfId="2" applyFont="1" applyFill="1" applyBorder="1" applyAlignment="1">
      <alignment horizontal="center" vertical="center" wrapText="1"/>
    </xf>
    <xf numFmtId="0" fontId="8" fillId="5" borderId="26" xfId="2" applyFont="1" applyFill="1" applyBorder="1" applyAlignment="1">
      <alignment horizontal="center" vertical="center" wrapText="1"/>
    </xf>
    <xf numFmtId="0" fontId="19" fillId="5" borderId="26" xfId="2" applyFill="1" applyBorder="1" applyAlignment="1">
      <alignment vertical="center" wrapText="1"/>
    </xf>
    <xf numFmtId="0" fontId="19" fillId="5" borderId="27" xfId="2" applyFill="1" applyBorder="1" applyAlignment="1">
      <alignment vertical="center" wrapText="1"/>
    </xf>
    <xf numFmtId="0" fontId="5" fillId="0" borderId="23" xfId="2" applyFont="1" applyBorder="1" applyAlignment="1">
      <alignment horizontal="center" vertical="center" wrapText="1"/>
    </xf>
    <xf numFmtId="0" fontId="5" fillId="0" borderId="27" xfId="2" applyFont="1" applyBorder="1" applyAlignment="1">
      <alignment horizontal="center" vertical="center" wrapText="1"/>
    </xf>
    <xf numFmtId="0" fontId="8" fillId="0" borderId="27" xfId="2" applyFont="1" applyBorder="1" applyAlignment="1">
      <alignment horizontal="center" vertical="center" wrapText="1"/>
    </xf>
    <xf numFmtId="164" fontId="3" fillId="0" borderId="15" xfId="1" applyNumberFormat="1" applyFont="1" applyBorder="1" applyAlignment="1">
      <alignment horizontal="justify" vertical="center"/>
    </xf>
    <xf numFmtId="165" fontId="0" fillId="0" borderId="0" xfId="0" applyNumberFormat="1"/>
    <xf numFmtId="0" fontId="20" fillId="0" borderId="0" xfId="3"/>
    <xf numFmtId="0" fontId="33" fillId="0" borderId="0" xfId="3" applyFont="1" applyProtection="1">
      <protection locked="0"/>
    </xf>
    <xf numFmtId="0" fontId="29" fillId="0" borderId="0" xfId="3" applyFont="1" applyProtection="1">
      <protection locked="0"/>
    </xf>
    <xf numFmtId="0" fontId="19" fillId="0" borderId="0" xfId="3" applyFont="1" applyProtection="1">
      <protection locked="0"/>
    </xf>
    <xf numFmtId="0" fontId="33" fillId="0" borderId="0" xfId="3" applyFont="1" applyAlignment="1" applyProtection="1">
      <alignment horizontal="center"/>
      <protection locked="0"/>
    </xf>
    <xf numFmtId="0" fontId="29" fillId="0" borderId="0" xfId="3" applyFont="1" applyAlignment="1" applyProtection="1">
      <alignment horizontal="center"/>
      <protection locked="0"/>
    </xf>
    <xf numFmtId="2" fontId="29" fillId="7" borderId="30" xfId="3" applyNumberFormat="1" applyFont="1" applyFill="1" applyBorder="1" applyAlignment="1" applyProtection="1">
      <alignment horizontal="center"/>
      <protection locked="0"/>
    </xf>
    <xf numFmtId="0" fontId="38" fillId="9" borderId="29" xfId="3" applyFont="1" applyFill="1" applyBorder="1" applyAlignment="1" applyProtection="1">
      <alignment horizontal="center" vertical="center"/>
      <protection locked="0"/>
    </xf>
    <xf numFmtId="0" fontId="38" fillId="9" borderId="34" xfId="3" applyFont="1" applyFill="1" applyBorder="1" applyAlignment="1" applyProtection="1">
      <alignment horizontal="center" vertical="center"/>
      <protection locked="0"/>
    </xf>
    <xf numFmtId="0" fontId="29" fillId="0" borderId="0" xfId="3" applyFont="1" applyFill="1" applyProtection="1">
      <protection locked="0"/>
    </xf>
    <xf numFmtId="1" fontId="37" fillId="7" borderId="30" xfId="3" applyNumberFormat="1" applyFont="1" applyFill="1" applyBorder="1" applyAlignment="1" applyProtection="1">
      <alignment horizontal="center"/>
      <protection locked="0"/>
    </xf>
    <xf numFmtId="1" fontId="29" fillId="0" borderId="0" xfId="3" applyNumberFormat="1" applyFont="1" applyProtection="1">
      <protection locked="0"/>
    </xf>
    <xf numFmtId="170" fontId="33" fillId="0" borderId="0" xfId="3" applyNumberFormat="1" applyFont="1" applyProtection="1">
      <protection locked="0"/>
    </xf>
    <xf numFmtId="170" fontId="19" fillId="0" borderId="0" xfId="3" applyNumberFormat="1" applyFont="1" applyProtection="1">
      <protection locked="0"/>
    </xf>
    <xf numFmtId="170" fontId="38" fillId="9" borderId="34" xfId="3" applyNumberFormat="1" applyFont="1" applyFill="1" applyBorder="1" applyAlignment="1" applyProtection="1">
      <alignment horizontal="center" vertical="center"/>
      <protection locked="0"/>
    </xf>
    <xf numFmtId="0" fontId="42" fillId="9" borderId="34" xfId="3" applyFont="1" applyFill="1" applyBorder="1" applyAlignment="1" applyProtection="1">
      <alignment horizontal="center" vertical="center"/>
      <protection locked="0"/>
    </xf>
    <xf numFmtId="170" fontId="38" fillId="9" borderId="29" xfId="3" applyNumberFormat="1" applyFont="1" applyFill="1" applyBorder="1" applyAlignment="1" applyProtection="1">
      <alignment horizontal="center" vertical="center"/>
      <protection locked="0"/>
    </xf>
    <xf numFmtId="170" fontId="29" fillId="7" borderId="30" xfId="3" applyNumberFormat="1" applyFont="1" applyFill="1" applyBorder="1" applyAlignment="1" applyProtection="1">
      <alignment horizontal="center"/>
      <protection locked="0"/>
    </xf>
    <xf numFmtId="170" fontId="29" fillId="0" borderId="0" xfId="3" applyNumberFormat="1" applyFont="1" applyProtection="1">
      <protection locked="0"/>
    </xf>
    <xf numFmtId="170" fontId="29" fillId="0" borderId="0" xfId="3" applyNumberFormat="1" applyFont="1" applyFill="1" applyProtection="1">
      <protection locked="0"/>
    </xf>
    <xf numFmtId="0" fontId="33" fillId="0" borderId="0" xfId="3" applyFont="1" applyProtection="1">
      <protection locked="0"/>
    </xf>
    <xf numFmtId="0" fontId="29" fillId="0" borderId="0" xfId="3" applyFont="1" applyFill="1" applyProtection="1">
      <protection locked="0"/>
    </xf>
    <xf numFmtId="0" fontId="29" fillId="0" borderId="0" xfId="3" applyFont="1" applyFill="1" applyAlignment="1" applyProtection="1">
      <alignment horizontal="center"/>
      <protection locked="0"/>
    </xf>
    <xf numFmtId="0" fontId="19" fillId="0" borderId="0" xfId="3" applyFont="1" applyFill="1" applyProtection="1">
      <protection locked="0"/>
    </xf>
    <xf numFmtId="0" fontId="21" fillId="9" borderId="34" xfId="3" applyFont="1" applyFill="1" applyBorder="1" applyAlignment="1" applyProtection="1">
      <alignment horizontal="center" vertical="center"/>
      <protection locked="0"/>
    </xf>
    <xf numFmtId="0" fontId="21" fillId="9" borderId="35" xfId="3" applyFont="1" applyFill="1" applyBorder="1" applyAlignment="1" applyProtection="1">
      <alignment horizontal="center" vertical="center"/>
      <protection locked="0"/>
    </xf>
    <xf numFmtId="0" fontId="34" fillId="9" borderId="34" xfId="3" applyFont="1" applyFill="1" applyBorder="1" applyAlignment="1" applyProtection="1">
      <alignment horizontal="center" vertical="center"/>
      <protection locked="0"/>
    </xf>
    <xf numFmtId="0" fontId="21" fillId="9" borderId="38" xfId="3" applyFont="1" applyFill="1" applyBorder="1" applyAlignment="1" applyProtection="1">
      <alignment horizontal="center" vertical="center"/>
      <protection locked="0"/>
    </xf>
    <xf numFmtId="0" fontId="21" fillId="9" borderId="36" xfId="3" applyFont="1" applyFill="1" applyBorder="1" applyAlignment="1" applyProtection="1">
      <alignment horizontal="center" vertical="center"/>
      <protection locked="0"/>
    </xf>
    <xf numFmtId="0" fontId="21" fillId="9" borderId="29" xfId="3" applyFont="1" applyFill="1" applyBorder="1" applyAlignment="1" applyProtection="1">
      <alignment horizontal="center" vertical="center"/>
      <protection locked="0"/>
    </xf>
    <xf numFmtId="0" fontId="40" fillId="9" borderId="31" xfId="3" applyFont="1" applyFill="1" applyBorder="1" applyAlignment="1" applyProtection="1">
      <alignment horizontal="center" vertical="center"/>
      <protection locked="0"/>
    </xf>
    <xf numFmtId="0" fontId="40" fillId="9" borderId="29" xfId="3" applyFont="1" applyFill="1" applyBorder="1" applyAlignment="1" applyProtection="1">
      <alignment horizontal="center" vertical="center"/>
      <protection locked="0"/>
    </xf>
    <xf numFmtId="0" fontId="45" fillId="9" borderId="30" xfId="3" applyFont="1" applyFill="1" applyBorder="1" applyAlignment="1" applyProtection="1">
      <alignment horizontal="center" vertical="center"/>
      <protection locked="0"/>
    </xf>
    <xf numFmtId="0" fontId="40" fillId="9" borderId="30" xfId="3" applyFont="1" applyFill="1" applyBorder="1" applyAlignment="1" applyProtection="1">
      <alignment horizontal="center" vertical="center"/>
      <protection locked="0"/>
    </xf>
    <xf numFmtId="0" fontId="21" fillId="9" borderId="33" xfId="3" applyFont="1" applyFill="1" applyBorder="1" applyAlignment="1" applyProtection="1">
      <alignment horizontal="center" vertical="center"/>
      <protection locked="0"/>
    </xf>
    <xf numFmtId="0" fontId="23" fillId="6" borderId="28" xfId="3" applyFont="1" applyFill="1" applyBorder="1" applyAlignment="1" applyProtection="1">
      <alignment horizontal="center"/>
      <protection locked="0"/>
    </xf>
    <xf numFmtId="0" fontId="23" fillId="6" borderId="29" xfId="3" applyFont="1" applyFill="1" applyBorder="1" applyAlignment="1" applyProtection="1">
      <alignment horizontal="center"/>
      <protection locked="0"/>
    </xf>
    <xf numFmtId="165" fontId="14" fillId="0" borderId="0" xfId="0" applyNumberFormat="1" applyFont="1"/>
    <xf numFmtId="0" fontId="20" fillId="0" borderId="0" xfId="3"/>
    <xf numFmtId="0" fontId="35" fillId="0" borderId="0" xfId="3" applyFont="1" applyProtection="1">
      <protection locked="0"/>
    </xf>
    <xf numFmtId="0" fontId="19" fillId="0" borderId="0" xfId="3" applyFont="1" applyProtection="1">
      <protection locked="0"/>
    </xf>
    <xf numFmtId="2" fontId="29" fillId="7" borderId="30" xfId="3" applyNumberFormat="1" applyFont="1" applyFill="1" applyBorder="1" applyAlignment="1" applyProtection="1">
      <alignment horizontal="center"/>
      <protection locked="0"/>
    </xf>
    <xf numFmtId="0" fontId="36" fillId="0" borderId="0" xfId="3" applyFont="1" applyBorder="1" applyProtection="1"/>
    <xf numFmtId="0" fontId="19" fillId="6" borderId="34" xfId="3" applyFont="1" applyFill="1" applyBorder="1" applyAlignment="1" applyProtection="1">
      <alignment horizontal="center" wrapText="1"/>
    </xf>
    <xf numFmtId="0" fontId="19" fillId="6" borderId="35" xfId="3" applyFont="1" applyFill="1" applyBorder="1" applyAlignment="1" applyProtection="1">
      <alignment horizontal="center"/>
    </xf>
    <xf numFmtId="0" fontId="19" fillId="6" borderId="29" xfId="3" applyFont="1" applyFill="1" applyBorder="1" applyAlignment="1" applyProtection="1">
      <alignment horizontal="center"/>
    </xf>
    <xf numFmtId="0" fontId="19" fillId="0" borderId="30" xfId="3" applyFont="1" applyBorder="1" applyProtection="1"/>
    <xf numFmtId="0" fontId="19" fillId="7" borderId="30" xfId="3" applyFont="1" applyFill="1" applyBorder="1" applyProtection="1"/>
    <xf numFmtId="0" fontId="19" fillId="7" borderId="29" xfId="3" applyFont="1" applyFill="1" applyBorder="1" applyProtection="1">
      <protection locked="0"/>
    </xf>
    <xf numFmtId="0" fontId="19" fillId="7" borderId="30" xfId="3" applyFont="1" applyFill="1" applyBorder="1" applyProtection="1">
      <protection locked="0"/>
    </xf>
    <xf numFmtId="0" fontId="19" fillId="7" borderId="29" xfId="3" applyFont="1" applyFill="1" applyBorder="1" applyProtection="1"/>
    <xf numFmtId="0" fontId="19" fillId="0" borderId="0" xfId="3" applyFont="1" applyProtection="1"/>
    <xf numFmtId="0" fontId="19" fillId="0" borderId="0" xfId="3" applyFont="1" applyBorder="1" applyProtection="1"/>
    <xf numFmtId="0" fontId="19" fillId="0" borderId="31" xfId="3" applyFont="1" applyBorder="1" applyProtection="1"/>
    <xf numFmtId="0" fontId="19" fillId="6" borderId="36" xfId="3" applyFont="1" applyFill="1" applyBorder="1" applyAlignment="1" applyProtection="1">
      <alignment horizontal="center"/>
    </xf>
    <xf numFmtId="0" fontId="19" fillId="6" borderId="36" xfId="3" applyFont="1" applyFill="1" applyBorder="1" applyProtection="1">
      <protection locked="0"/>
    </xf>
    <xf numFmtId="0" fontId="19" fillId="6" borderId="37" xfId="3" applyFont="1" applyFill="1" applyBorder="1" applyAlignment="1" applyProtection="1">
      <alignment horizontal="center"/>
    </xf>
    <xf numFmtId="0" fontId="19" fillId="6" borderId="33" xfId="3" applyFont="1" applyFill="1" applyBorder="1" applyAlignment="1" applyProtection="1">
      <alignment horizontal="center"/>
    </xf>
    <xf numFmtId="0" fontId="19" fillId="6" borderId="31" xfId="3" applyFont="1" applyFill="1" applyBorder="1" applyAlignment="1" applyProtection="1">
      <alignment horizontal="center"/>
    </xf>
    <xf numFmtId="0" fontId="19" fillId="6" borderId="33" xfId="3" applyFont="1" applyFill="1" applyBorder="1" applyProtection="1">
      <protection locked="0"/>
    </xf>
    <xf numFmtId="0" fontId="19" fillId="6" borderId="34" xfId="3" applyFont="1" applyFill="1" applyBorder="1" applyAlignment="1" applyProtection="1">
      <alignment horizontal="center"/>
    </xf>
    <xf numFmtId="0" fontId="19" fillId="6" borderId="28" xfId="3" applyFont="1" applyFill="1" applyBorder="1" applyAlignment="1" applyProtection="1">
      <alignment horizontal="center"/>
    </xf>
    <xf numFmtId="0" fontId="19" fillId="6" borderId="30" xfId="3" applyFont="1" applyFill="1" applyBorder="1" applyAlignment="1" applyProtection="1">
      <alignment horizontal="center"/>
    </xf>
    <xf numFmtId="0" fontId="19" fillId="0" borderId="30" xfId="3" applyFont="1" applyBorder="1" applyAlignment="1" applyProtection="1">
      <alignment horizontal="center"/>
    </xf>
    <xf numFmtId="0" fontId="19" fillId="7" borderId="30" xfId="3" applyFont="1" applyFill="1" applyBorder="1" applyAlignment="1" applyProtection="1">
      <alignment horizontal="center"/>
    </xf>
    <xf numFmtId="0" fontId="19" fillId="8" borderId="38" xfId="3" applyFont="1" applyFill="1" applyBorder="1" applyProtection="1"/>
    <xf numFmtId="0" fontId="19" fillId="8" borderId="0" xfId="3" applyFont="1" applyFill="1" applyProtection="1"/>
    <xf numFmtId="0" fontId="19" fillId="8" borderId="36" xfId="3" applyFont="1" applyFill="1" applyBorder="1" applyProtection="1"/>
    <xf numFmtId="0" fontId="19" fillId="8" borderId="37" xfId="3" applyFont="1" applyFill="1" applyBorder="1" applyProtection="1"/>
    <xf numFmtId="0" fontId="19" fillId="8" borderId="0" xfId="3" applyFont="1" applyFill="1" applyAlignment="1" applyProtection="1">
      <alignment horizontal="center"/>
    </xf>
    <xf numFmtId="0" fontId="19" fillId="8" borderId="33" xfId="3" applyFont="1" applyFill="1" applyBorder="1" applyProtection="1"/>
    <xf numFmtId="0" fontId="19" fillId="8" borderId="32" xfId="3" applyFont="1" applyFill="1" applyBorder="1" applyProtection="1"/>
    <xf numFmtId="1" fontId="37" fillId="7" borderId="30" xfId="3" applyNumberFormat="1" applyFont="1" applyFill="1" applyBorder="1" applyAlignment="1" applyProtection="1">
      <alignment horizontal="center"/>
      <protection locked="0"/>
    </xf>
    <xf numFmtId="170" fontId="29" fillId="7" borderId="30" xfId="3" applyNumberFormat="1" applyFont="1" applyFill="1" applyBorder="1" applyAlignment="1" applyProtection="1">
      <alignment horizontal="center"/>
      <protection locked="0"/>
    </xf>
    <xf numFmtId="0" fontId="23" fillId="6" borderId="29" xfId="3" applyFont="1" applyFill="1" applyBorder="1" applyAlignment="1" applyProtection="1">
      <alignment horizontal="center"/>
      <protection locked="0"/>
    </xf>
    <xf numFmtId="171" fontId="14" fillId="0" borderId="0" xfId="0" applyNumberFormat="1" applyFont="1"/>
    <xf numFmtId="172" fontId="14" fillId="0" borderId="0" xfId="0" applyNumberFormat="1" applyFont="1"/>
    <xf numFmtId="168" fontId="14" fillId="0" borderId="0" xfId="1" applyNumberFormat="1" applyFont="1"/>
    <xf numFmtId="173" fontId="14" fillId="0" borderId="0" xfId="0" applyNumberFormat="1" applyFont="1"/>
    <xf numFmtId="0" fontId="14" fillId="10" borderId="0" xfId="0" applyFont="1" applyFill="1"/>
    <xf numFmtId="0" fontId="20" fillId="0" borderId="0" xfId="3"/>
    <xf numFmtId="0" fontId="21" fillId="0" borderId="0" xfId="3" applyFont="1" applyProtection="1">
      <protection hidden="1"/>
    </xf>
    <xf numFmtId="0" fontId="23" fillId="0" borderId="0" xfId="3" applyFont="1" applyProtection="1">
      <protection hidden="1"/>
    </xf>
    <xf numFmtId="0" fontId="26" fillId="0" borderId="0" xfId="3" applyFont="1" applyProtection="1">
      <protection hidden="1"/>
    </xf>
    <xf numFmtId="0" fontId="21" fillId="0" borderId="0" xfId="3" applyFont="1" applyAlignment="1" applyProtection="1">
      <alignment horizontal="center"/>
      <protection hidden="1"/>
    </xf>
    <xf numFmtId="0" fontId="23" fillId="0" borderId="0" xfId="3" applyFont="1" applyAlignment="1" applyProtection="1">
      <alignment horizontal="center"/>
      <protection hidden="1"/>
    </xf>
    <xf numFmtId="0" fontId="26" fillId="0" borderId="0" xfId="3" applyFont="1" applyAlignment="1" applyProtection="1">
      <alignment horizontal="center"/>
      <protection hidden="1"/>
    </xf>
    <xf numFmtId="0" fontId="23" fillId="0" borderId="30" xfId="3" applyFont="1" applyBorder="1" applyProtection="1">
      <protection hidden="1"/>
    </xf>
    <xf numFmtId="0" fontId="23" fillId="0" borderId="30" xfId="3" applyFont="1" applyBorder="1" applyAlignment="1" applyProtection="1">
      <alignment horizontal="center"/>
      <protection hidden="1"/>
    </xf>
    <xf numFmtId="0" fontId="26" fillId="0" borderId="30" xfId="3" applyFont="1" applyBorder="1" applyProtection="1">
      <protection hidden="1"/>
    </xf>
    <xf numFmtId="0" fontId="26" fillId="0" borderId="30" xfId="3" applyFont="1" applyBorder="1" applyAlignment="1" applyProtection="1">
      <alignment horizontal="center"/>
      <protection hidden="1"/>
    </xf>
    <xf numFmtId="2" fontId="28" fillId="0" borderId="30" xfId="3" applyNumberFormat="1" applyFont="1" applyBorder="1" applyAlignment="1" applyProtection="1">
      <alignment horizontal="center"/>
      <protection hidden="1"/>
    </xf>
    <xf numFmtId="174" fontId="28" fillId="0" borderId="30" xfId="3" applyNumberFormat="1" applyFont="1" applyBorder="1" applyAlignment="1" applyProtection="1">
      <alignment horizontal="center"/>
      <protection hidden="1"/>
    </xf>
    <xf numFmtId="2" fontId="21" fillId="0" borderId="30" xfId="3" applyNumberFormat="1" applyFont="1" applyBorder="1" applyAlignment="1" applyProtection="1">
      <alignment horizontal="center"/>
      <protection hidden="1"/>
    </xf>
    <xf numFmtId="174" fontId="21" fillId="0" borderId="30" xfId="3" applyNumberFormat="1" applyFont="1" applyBorder="1" applyAlignment="1" applyProtection="1">
      <alignment horizontal="center"/>
      <protection hidden="1"/>
    </xf>
    <xf numFmtId="0" fontId="21" fillId="0" borderId="0" xfId="3" applyFont="1" applyBorder="1" applyProtection="1">
      <protection hidden="1"/>
    </xf>
    <xf numFmtId="0" fontId="21" fillId="0" borderId="30" xfId="3" applyFont="1" applyBorder="1" applyAlignment="1" applyProtection="1">
      <alignment horizontal="center"/>
      <protection hidden="1"/>
    </xf>
    <xf numFmtId="175" fontId="21" fillId="0" borderId="30" xfId="3" applyNumberFormat="1" applyFont="1" applyBorder="1" applyAlignment="1" applyProtection="1">
      <alignment horizontal="center"/>
      <protection hidden="1"/>
    </xf>
    <xf numFmtId="175" fontId="21" fillId="0" borderId="0" xfId="3" applyNumberFormat="1" applyFont="1" applyAlignment="1" applyProtection="1">
      <alignment horizontal="center"/>
      <protection hidden="1"/>
    </xf>
    <xf numFmtId="0" fontId="38" fillId="0" borderId="30" xfId="3" applyFont="1" applyFill="1" applyBorder="1" applyAlignment="1" applyProtection="1">
      <alignment horizontal="center" vertical="center" wrapText="1"/>
      <protection hidden="1"/>
    </xf>
    <xf numFmtId="0" fontId="21" fillId="0" borderId="30" xfId="3" applyFont="1" applyBorder="1" applyProtection="1">
      <protection hidden="1"/>
    </xf>
    <xf numFmtId="0" fontId="20" fillId="0" borderId="0" xfId="3"/>
    <xf numFmtId="0" fontId="29" fillId="0" borderId="0" xfId="3" applyFont="1" applyProtection="1">
      <protection locked="0"/>
    </xf>
    <xf numFmtId="0" fontId="29" fillId="0" borderId="0" xfId="3" applyFont="1" applyBorder="1" applyProtection="1">
      <protection locked="0"/>
    </xf>
    <xf numFmtId="0" fontId="46" fillId="0" borderId="0" xfId="3" applyFont="1" applyProtection="1">
      <protection locked="0"/>
    </xf>
    <xf numFmtId="0" fontId="38" fillId="0" borderId="0" xfId="3" applyFont="1" applyAlignment="1" applyProtection="1">
      <alignment horizontal="center" vertical="center"/>
      <protection locked="0"/>
    </xf>
    <xf numFmtId="0" fontId="38" fillId="0" borderId="0" xfId="3" applyFont="1" applyAlignment="1" applyProtection="1">
      <alignment horizontal="center"/>
      <protection locked="0"/>
    </xf>
    <xf numFmtId="0" fontId="29" fillId="0" borderId="0" xfId="3" applyFont="1" applyAlignment="1" applyProtection="1">
      <alignment horizontal="center"/>
      <protection locked="0"/>
    </xf>
    <xf numFmtId="0" fontId="19" fillId="0" borderId="0" xfId="3" applyFont="1" applyBorder="1" applyProtection="1">
      <protection locked="0"/>
    </xf>
    <xf numFmtId="1" fontId="19" fillId="0" borderId="0" xfId="3" applyNumberFormat="1" applyFont="1" applyBorder="1" applyProtection="1">
      <protection locked="0"/>
    </xf>
    <xf numFmtId="0" fontId="38" fillId="0" borderId="0" xfId="3" applyFont="1" applyFill="1" applyBorder="1" applyAlignment="1" applyProtection="1">
      <alignment horizontal="center" vertical="top" wrapText="1"/>
      <protection locked="0"/>
    </xf>
    <xf numFmtId="0" fontId="29" fillId="0" borderId="0" xfId="3" applyFont="1" applyFill="1" applyProtection="1">
      <protection locked="0"/>
    </xf>
    <xf numFmtId="0" fontId="29" fillId="0" borderId="0" xfId="3" applyFont="1" applyFill="1" applyBorder="1" applyAlignment="1" applyProtection="1">
      <alignment horizontal="center" vertical="top" wrapText="1"/>
      <protection locked="0"/>
    </xf>
    <xf numFmtId="0" fontId="19" fillId="0" borderId="0" xfId="3" applyFont="1" applyAlignment="1" applyProtection="1">
      <alignment vertical="center"/>
      <protection locked="0"/>
    </xf>
    <xf numFmtId="0" fontId="19" fillId="0" borderId="0" xfId="3" applyFont="1" applyAlignment="1" applyProtection="1">
      <alignment horizontal="center" vertical="center"/>
      <protection locked="0"/>
    </xf>
    <xf numFmtId="0" fontId="29" fillId="0" borderId="0" xfId="3" applyFont="1" applyAlignment="1" applyProtection="1">
      <alignment vertical="center"/>
      <protection locked="0"/>
    </xf>
    <xf numFmtId="0" fontId="29" fillId="0" borderId="0" xfId="3" applyFont="1" applyFill="1" applyBorder="1" applyProtection="1">
      <protection locked="0"/>
    </xf>
    <xf numFmtId="0" fontId="26" fillId="11" borderId="30" xfId="3" applyFont="1" applyFill="1" applyBorder="1" applyAlignment="1" applyProtection="1">
      <alignment horizontal="center"/>
      <protection locked="0"/>
    </xf>
    <xf numFmtId="0" fontId="26" fillId="11" borderId="30" xfId="3" applyFont="1" applyFill="1" applyBorder="1" applyAlignment="1" applyProtection="1">
      <alignment horizontal="center"/>
    </xf>
    <xf numFmtId="0" fontId="38" fillId="9" borderId="38" xfId="3" applyFont="1" applyFill="1" applyBorder="1" applyAlignment="1" applyProtection="1">
      <alignment horizontal="center" vertical="center"/>
    </xf>
    <xf numFmtId="0" fontId="38" fillId="9" borderId="38" xfId="3" applyFont="1" applyFill="1" applyBorder="1" applyAlignment="1" applyProtection="1">
      <alignment horizontal="center" vertical="center" wrapText="1"/>
    </xf>
    <xf numFmtId="0" fontId="38" fillId="9" borderId="34" xfId="3" applyFont="1" applyFill="1" applyBorder="1" applyAlignment="1" applyProtection="1">
      <alignment horizontal="center" vertical="center" wrapText="1"/>
    </xf>
    <xf numFmtId="0" fontId="38" fillId="9" borderId="35" xfId="3" applyFont="1" applyFill="1" applyBorder="1" applyAlignment="1" applyProtection="1">
      <alignment vertical="center" wrapText="1"/>
    </xf>
    <xf numFmtId="0" fontId="23" fillId="9" borderId="34" xfId="3" applyFont="1" applyFill="1" applyBorder="1" applyAlignment="1" applyProtection="1">
      <alignment horizontal="center" vertical="center" wrapText="1"/>
    </xf>
    <xf numFmtId="0" fontId="38" fillId="9" borderId="36" xfId="3" applyFont="1" applyFill="1" applyBorder="1" applyAlignment="1" applyProtection="1">
      <alignment horizontal="center" vertical="center"/>
    </xf>
    <xf numFmtId="0" fontId="38" fillId="9" borderId="36" xfId="3" applyFont="1" applyFill="1" applyBorder="1" applyAlignment="1" applyProtection="1">
      <alignment horizontal="center" vertical="center" wrapText="1"/>
    </xf>
    <xf numFmtId="0" fontId="38" fillId="9" borderId="40" xfId="3" applyFont="1" applyFill="1" applyBorder="1" applyAlignment="1" applyProtection="1">
      <alignment horizontal="center" vertical="top" wrapText="1"/>
    </xf>
    <xf numFmtId="0" fontId="38" fillId="9" borderId="28" xfId="3" applyFont="1" applyFill="1" applyBorder="1" applyAlignment="1" applyProtection="1">
      <alignment horizontal="center" vertical="center" wrapText="1"/>
    </xf>
    <xf numFmtId="0" fontId="36" fillId="9" borderId="0" xfId="3" applyFont="1" applyFill="1" applyBorder="1" applyAlignment="1" applyProtection="1"/>
    <xf numFmtId="0" fontId="38" fillId="9" borderId="40" xfId="3" applyFont="1" applyFill="1" applyBorder="1" applyAlignment="1" applyProtection="1">
      <alignment horizontal="center" vertical="center" wrapText="1"/>
    </xf>
    <xf numFmtId="0" fontId="23" fillId="9" borderId="28" xfId="3" applyFont="1" applyFill="1" applyBorder="1" applyAlignment="1" applyProtection="1">
      <alignment horizontal="center" vertical="center" wrapText="1"/>
    </xf>
    <xf numFmtId="0" fontId="38" fillId="9" borderId="32" xfId="3" applyFont="1" applyFill="1" applyBorder="1" applyAlignment="1" applyProtection="1">
      <alignment horizontal="center" vertical="top" wrapText="1"/>
    </xf>
    <xf numFmtId="0" fontId="38" fillId="9" borderId="32" xfId="3" applyFont="1" applyFill="1" applyBorder="1" applyAlignment="1" applyProtection="1">
      <alignment horizontal="center" vertical="center" wrapText="1"/>
    </xf>
    <xf numFmtId="0" fontId="36" fillId="9" borderId="32" xfId="3" applyFont="1" applyFill="1" applyBorder="1" applyAlignment="1" applyProtection="1">
      <alignment vertical="top" wrapText="1"/>
    </xf>
    <xf numFmtId="0" fontId="47" fillId="9" borderId="40" xfId="3" applyFont="1" applyFill="1" applyBorder="1" applyAlignment="1" applyProtection="1">
      <alignment horizontal="center" vertical="top" wrapText="1"/>
    </xf>
    <xf numFmtId="0" fontId="47" fillId="9" borderId="28" xfId="3" applyFont="1" applyFill="1" applyBorder="1" applyAlignment="1" applyProtection="1">
      <alignment horizontal="center" vertical="top" wrapText="1"/>
    </xf>
    <xf numFmtId="0" fontId="47" fillId="9" borderId="28" xfId="3" applyFont="1" applyFill="1" applyBorder="1" applyAlignment="1" applyProtection="1">
      <alignment horizontal="center" vertical="center" wrapText="1"/>
    </xf>
    <xf numFmtId="0" fontId="38" fillId="9" borderId="37" xfId="3" applyFont="1" applyFill="1" applyBorder="1" applyAlignment="1" applyProtection="1">
      <alignment horizontal="center" vertical="top" wrapText="1"/>
    </xf>
    <xf numFmtId="0" fontId="47" fillId="9" borderId="37" xfId="3" applyFont="1" applyFill="1" applyBorder="1" applyAlignment="1" applyProtection="1">
      <alignment horizontal="center" vertical="top" wrapText="1"/>
    </xf>
    <xf numFmtId="0" fontId="47" fillId="9" borderId="29" xfId="3" applyFont="1" applyFill="1" applyBorder="1" applyAlignment="1" applyProtection="1">
      <alignment horizontal="center" vertical="top" wrapText="1"/>
    </xf>
    <xf numFmtId="0" fontId="36" fillId="9" borderId="31" xfId="3" applyFont="1" applyFill="1" applyBorder="1" applyAlignment="1" applyProtection="1"/>
    <xf numFmtId="0" fontId="36" fillId="9" borderId="37" xfId="3" applyFont="1" applyFill="1" applyBorder="1" applyAlignment="1" applyProtection="1">
      <alignment vertical="top" wrapText="1"/>
    </xf>
    <xf numFmtId="0" fontId="47" fillId="9" borderId="29" xfId="3" applyFont="1" applyFill="1" applyBorder="1" applyAlignment="1" applyProtection="1">
      <alignment horizontal="center" vertical="center" wrapText="1"/>
    </xf>
    <xf numFmtId="0" fontId="36" fillId="9" borderId="33" xfId="3" applyFont="1" applyFill="1" applyBorder="1" applyAlignment="1" applyProtection="1">
      <alignment vertical="top" wrapText="1"/>
    </xf>
    <xf numFmtId="0" fontId="47" fillId="9" borderId="33" xfId="3" applyFont="1" applyFill="1" applyBorder="1" applyAlignment="1" applyProtection="1">
      <alignment horizontal="center" vertical="center" wrapText="1"/>
    </xf>
    <xf numFmtId="0" fontId="38" fillId="6" borderId="29" xfId="3" applyFont="1" applyFill="1" applyBorder="1" applyAlignment="1" applyProtection="1">
      <alignment horizontal="center" vertical="top" wrapText="1"/>
    </xf>
    <xf numFmtId="0" fontId="38" fillId="6" borderId="33" xfId="3" applyFont="1" applyFill="1" applyBorder="1" applyAlignment="1" applyProtection="1">
      <alignment horizontal="center" vertical="top" wrapText="1"/>
    </xf>
    <xf numFmtId="0" fontId="38" fillId="6" borderId="32" xfId="3" applyFont="1" applyFill="1" applyBorder="1" applyAlignment="1" applyProtection="1">
      <alignment horizontal="center" vertical="top" wrapText="1"/>
    </xf>
    <xf numFmtId="43" fontId="14" fillId="0" borderId="0" xfId="1" applyFont="1"/>
    <xf numFmtId="176" fontId="14" fillId="0" borderId="0" xfId="1" applyNumberFormat="1" applyFont="1"/>
    <xf numFmtId="169" fontId="14" fillId="0" borderId="0" xfId="1" applyNumberFormat="1" applyFont="1"/>
    <xf numFmtId="0" fontId="26" fillId="11" borderId="0" xfId="3" applyFont="1" applyFill="1" applyBorder="1" applyAlignment="1" applyProtection="1">
      <alignment horizontal="center"/>
      <protection locked="0"/>
    </xf>
    <xf numFmtId="0" fontId="20" fillId="0" borderId="0" xfId="3"/>
    <xf numFmtId="0" fontId="33" fillId="0" borderId="0" xfId="3" applyFont="1" applyProtection="1">
      <protection locked="0"/>
    </xf>
    <xf numFmtId="0" fontId="29" fillId="0" borderId="0" xfId="3" applyFont="1" applyProtection="1">
      <protection locked="0"/>
    </xf>
    <xf numFmtId="0" fontId="19" fillId="0" borderId="0" xfId="3" applyFont="1" applyProtection="1">
      <protection locked="0"/>
    </xf>
    <xf numFmtId="0" fontId="33" fillId="0" borderId="0" xfId="3" applyFont="1" applyAlignment="1" applyProtection="1">
      <alignment horizontal="center"/>
      <protection locked="0"/>
    </xf>
    <xf numFmtId="0" fontId="29" fillId="0" borderId="0" xfId="3" applyFont="1" applyAlignment="1" applyProtection="1">
      <alignment horizontal="center"/>
      <protection locked="0"/>
    </xf>
    <xf numFmtId="0" fontId="38" fillId="7" borderId="30" xfId="3" applyFont="1" applyFill="1" applyBorder="1" applyAlignment="1" applyProtection="1">
      <alignment horizontal="center"/>
      <protection locked="0"/>
    </xf>
    <xf numFmtId="0" fontId="38" fillId="9" borderId="29" xfId="3" applyFont="1" applyFill="1" applyBorder="1" applyAlignment="1" applyProtection="1">
      <alignment horizontal="center" vertical="center"/>
      <protection locked="0"/>
    </xf>
    <xf numFmtId="0" fontId="38" fillId="9" borderId="34" xfId="3" applyFont="1" applyFill="1" applyBorder="1" applyAlignment="1" applyProtection="1">
      <alignment horizontal="center" vertical="center"/>
      <protection locked="0"/>
    </xf>
    <xf numFmtId="0" fontId="29" fillId="0" borderId="0" xfId="3" applyFont="1" applyFill="1" applyProtection="1">
      <protection locked="0"/>
    </xf>
    <xf numFmtId="2" fontId="29" fillId="0" borderId="30" xfId="3" applyNumberFormat="1" applyFont="1" applyFill="1" applyBorder="1" applyAlignment="1" applyProtection="1">
      <alignment horizontal="center"/>
      <protection locked="0"/>
    </xf>
    <xf numFmtId="0" fontId="19" fillId="0" borderId="0" xfId="3" applyFont="1" applyAlignment="1" applyProtection="1">
      <alignment vertical="center"/>
      <protection locked="0"/>
    </xf>
    <xf numFmtId="170" fontId="33" fillId="0" borderId="0" xfId="3" applyNumberFormat="1" applyFont="1" applyProtection="1">
      <protection locked="0"/>
    </xf>
    <xf numFmtId="170" fontId="19" fillId="0" borderId="0" xfId="3" applyNumberFormat="1" applyFont="1" applyProtection="1">
      <protection locked="0"/>
    </xf>
    <xf numFmtId="170" fontId="38" fillId="9" borderId="34" xfId="3" applyNumberFormat="1" applyFont="1" applyFill="1" applyBorder="1" applyAlignment="1" applyProtection="1">
      <alignment horizontal="center" vertical="center"/>
      <protection locked="0"/>
    </xf>
    <xf numFmtId="0" fontId="42" fillId="9" borderId="34" xfId="3" applyFont="1" applyFill="1" applyBorder="1" applyAlignment="1" applyProtection="1">
      <alignment horizontal="center" vertical="center"/>
      <protection locked="0"/>
    </xf>
    <xf numFmtId="170" fontId="38" fillId="9" borderId="29" xfId="3" applyNumberFormat="1" applyFont="1" applyFill="1" applyBorder="1" applyAlignment="1" applyProtection="1">
      <alignment horizontal="center" vertical="center"/>
      <protection locked="0"/>
    </xf>
    <xf numFmtId="170" fontId="29" fillId="0" borderId="30" xfId="3" applyNumberFormat="1" applyFont="1" applyFill="1" applyBorder="1" applyAlignment="1" applyProtection="1">
      <alignment horizontal="center"/>
      <protection locked="0"/>
    </xf>
    <xf numFmtId="170" fontId="29" fillId="0" borderId="0" xfId="3" applyNumberFormat="1" applyFont="1" applyProtection="1">
      <protection locked="0"/>
    </xf>
    <xf numFmtId="0" fontId="29" fillId="0" borderId="0" xfId="3" applyFont="1" applyFill="1" applyAlignment="1" applyProtection="1">
      <alignment horizontal="center"/>
      <protection locked="0"/>
    </xf>
    <xf numFmtId="0" fontId="19" fillId="0" borderId="0" xfId="3" applyFont="1" applyFill="1" applyProtection="1">
      <protection locked="0"/>
    </xf>
    <xf numFmtId="170" fontId="29" fillId="0" borderId="0" xfId="3" applyNumberFormat="1" applyFont="1" applyFill="1" applyProtection="1">
      <protection locked="0"/>
    </xf>
    <xf numFmtId="0" fontId="21" fillId="9" borderId="34" xfId="3" applyFont="1" applyFill="1" applyBorder="1" applyAlignment="1" applyProtection="1">
      <alignment horizontal="center" vertical="center"/>
      <protection locked="0"/>
    </xf>
    <xf numFmtId="0" fontId="21" fillId="9" borderId="35" xfId="3" applyFont="1" applyFill="1" applyBorder="1" applyAlignment="1" applyProtection="1">
      <alignment horizontal="center" vertical="center"/>
      <protection locked="0"/>
    </xf>
    <xf numFmtId="0" fontId="34" fillId="9" borderId="34" xfId="3" applyFont="1" applyFill="1" applyBorder="1" applyAlignment="1" applyProtection="1">
      <alignment horizontal="center" vertical="center"/>
      <protection locked="0"/>
    </xf>
    <xf numFmtId="0" fontId="21" fillId="9" borderId="38" xfId="3" applyFont="1" applyFill="1" applyBorder="1" applyAlignment="1" applyProtection="1">
      <alignment horizontal="center" vertical="center"/>
      <protection locked="0"/>
    </xf>
    <xf numFmtId="0" fontId="21" fillId="9" borderId="36" xfId="3" applyFont="1" applyFill="1" applyBorder="1" applyAlignment="1" applyProtection="1">
      <alignment horizontal="center" vertical="center"/>
      <protection locked="0"/>
    </xf>
    <xf numFmtId="0" fontId="21" fillId="9" borderId="29" xfId="3" applyFont="1" applyFill="1" applyBorder="1" applyAlignment="1" applyProtection="1">
      <alignment horizontal="center" vertical="center"/>
      <protection locked="0"/>
    </xf>
    <xf numFmtId="0" fontId="40" fillId="9" borderId="31" xfId="3" applyFont="1" applyFill="1" applyBorder="1" applyAlignment="1" applyProtection="1">
      <alignment horizontal="center" vertical="center"/>
      <protection locked="0"/>
    </xf>
    <xf numFmtId="0" fontId="40" fillId="9" borderId="29" xfId="3" applyFont="1" applyFill="1" applyBorder="1" applyAlignment="1" applyProtection="1">
      <alignment horizontal="center" vertical="center"/>
      <protection locked="0"/>
    </xf>
    <xf numFmtId="0" fontId="45" fillId="9" borderId="30" xfId="3" applyFont="1" applyFill="1" applyBorder="1" applyAlignment="1" applyProtection="1">
      <alignment horizontal="center" vertical="center"/>
      <protection locked="0"/>
    </xf>
    <xf numFmtId="0" fontId="40" fillId="9" borderId="30" xfId="3" applyFont="1" applyFill="1" applyBorder="1" applyAlignment="1" applyProtection="1">
      <alignment horizontal="center" vertical="center"/>
      <protection locked="0"/>
    </xf>
    <xf numFmtId="0" fontId="21" fillId="9" borderId="33" xfId="3" applyFont="1" applyFill="1" applyBorder="1" applyAlignment="1" applyProtection="1">
      <alignment horizontal="center" vertical="center"/>
      <protection locked="0"/>
    </xf>
    <xf numFmtId="0" fontId="23" fillId="6" borderId="28" xfId="3" applyFont="1" applyFill="1" applyBorder="1" applyAlignment="1" applyProtection="1">
      <alignment horizontal="center"/>
      <protection locked="0"/>
    </xf>
    <xf numFmtId="0" fontId="23" fillId="6" borderId="29" xfId="3" applyFont="1" applyFill="1" applyBorder="1" applyAlignment="1" applyProtection="1">
      <alignment horizontal="center"/>
      <protection locked="0"/>
    </xf>
    <xf numFmtId="0" fontId="23" fillId="6" borderId="30" xfId="3" applyFont="1" applyFill="1" applyBorder="1" applyAlignment="1" applyProtection="1">
      <alignment horizontal="center"/>
      <protection locked="0"/>
    </xf>
    <xf numFmtId="0" fontId="38" fillId="9" borderId="38" xfId="3" applyFont="1" applyFill="1" applyBorder="1" applyAlignment="1" applyProtection="1">
      <alignment horizontal="center" vertical="center"/>
    </xf>
    <xf numFmtId="0" fontId="38" fillId="9" borderId="40" xfId="3" applyFont="1" applyFill="1" applyBorder="1" applyAlignment="1" applyProtection="1">
      <alignment horizontal="center" vertical="top" wrapText="1"/>
    </xf>
    <xf numFmtId="0" fontId="38" fillId="9" borderId="37" xfId="3" applyFont="1" applyFill="1" applyBorder="1" applyAlignment="1" applyProtection="1">
      <alignment horizontal="center" vertical="top" wrapText="1"/>
    </xf>
    <xf numFmtId="0" fontId="38" fillId="6" borderId="33" xfId="3" applyFont="1" applyFill="1" applyBorder="1" applyAlignment="1" applyProtection="1">
      <alignment horizontal="center" vertical="top" wrapText="1"/>
    </xf>
    <xf numFmtId="0" fontId="38" fillId="12" borderId="0" xfId="3" applyFont="1" applyFill="1" applyAlignment="1" applyProtection="1">
      <alignment horizontal="center" wrapText="1"/>
    </xf>
    <xf numFmtId="0" fontId="33" fillId="0" borderId="0" xfId="3" applyFont="1" applyFill="1" applyProtection="1">
      <protection locked="0"/>
    </xf>
    <xf numFmtId="1" fontId="37" fillId="0" borderId="30" xfId="3" applyNumberFormat="1" applyFont="1" applyFill="1" applyBorder="1" applyAlignment="1" applyProtection="1">
      <alignment horizontal="center"/>
      <protection locked="0"/>
    </xf>
    <xf numFmtId="0" fontId="0" fillId="0" borderId="0" xfId="0" applyFill="1"/>
    <xf numFmtId="169" fontId="14" fillId="0" borderId="0" xfId="0" applyNumberFormat="1" applyFont="1"/>
    <xf numFmtId="2" fontId="14" fillId="0" borderId="0" xfId="0" applyNumberFormat="1" applyFont="1"/>
    <xf numFmtId="165" fontId="14" fillId="0" borderId="0" xfId="0" applyNumberFormat="1" applyFont="1" applyAlignment="1">
      <alignment horizontal="right"/>
    </xf>
    <xf numFmtId="1" fontId="14" fillId="0" borderId="0" xfId="0" applyNumberFormat="1" applyFont="1"/>
    <xf numFmtId="1" fontId="21" fillId="13" borderId="34" xfId="3" applyNumberFormat="1" applyFont="1" applyFill="1" applyBorder="1" applyAlignment="1" applyProtection="1">
      <alignment horizontal="center" vertical="top" wrapText="1"/>
      <protection hidden="1"/>
    </xf>
    <xf numFmtId="0" fontId="21" fillId="13" borderId="39" xfId="3" applyFont="1" applyFill="1" applyBorder="1" applyAlignment="1" applyProtection="1">
      <alignment horizontal="center"/>
      <protection hidden="1"/>
    </xf>
    <xf numFmtId="169" fontId="21" fillId="13" borderId="30" xfId="1" applyNumberFormat="1" applyFont="1" applyFill="1" applyBorder="1" applyAlignment="1" applyProtection="1">
      <alignment horizontal="center"/>
      <protection locked="0"/>
    </xf>
    <xf numFmtId="166" fontId="21" fillId="13" borderId="30" xfId="3" applyNumberFormat="1" applyFont="1" applyFill="1" applyBorder="1" applyAlignment="1" applyProtection="1">
      <alignment horizontal="center"/>
      <protection locked="0"/>
    </xf>
    <xf numFmtId="1" fontId="21" fillId="13" borderId="30" xfId="3" applyNumberFormat="1" applyFont="1" applyFill="1" applyBorder="1" applyAlignment="1" applyProtection="1">
      <alignment horizontal="center"/>
      <protection hidden="1"/>
    </xf>
    <xf numFmtId="166" fontId="21" fillId="13" borderId="30" xfId="3" applyNumberFormat="1" applyFont="1" applyFill="1" applyBorder="1" applyAlignment="1" applyProtection="1">
      <alignment horizontal="center"/>
      <protection hidden="1"/>
    </xf>
    <xf numFmtId="1" fontId="21" fillId="13" borderId="30" xfId="3" applyNumberFormat="1" applyFont="1" applyFill="1" applyBorder="1" applyAlignment="1" applyProtection="1">
      <alignment horizontal="center"/>
      <protection locked="0"/>
    </xf>
    <xf numFmtId="167" fontId="21" fillId="13" borderId="30" xfId="3" applyNumberFormat="1" applyFont="1" applyFill="1" applyBorder="1" applyAlignment="1" applyProtection="1">
      <alignment horizontal="center"/>
      <protection hidden="1"/>
    </xf>
    <xf numFmtId="167" fontId="21" fillId="13" borderId="30" xfId="3" applyNumberFormat="1" applyFont="1" applyFill="1" applyBorder="1" applyProtection="1">
      <protection hidden="1"/>
    </xf>
    <xf numFmtId="2" fontId="28" fillId="13" borderId="30" xfId="3" applyNumberFormat="1" applyFont="1" applyFill="1" applyBorder="1" applyAlignment="1" applyProtection="1">
      <alignment horizontal="center"/>
      <protection hidden="1"/>
    </xf>
    <xf numFmtId="2" fontId="21" fillId="13" borderId="30" xfId="3" applyNumberFormat="1" applyFont="1" applyFill="1" applyBorder="1" applyAlignment="1" applyProtection="1">
      <alignment horizontal="center"/>
      <protection hidden="1"/>
    </xf>
    <xf numFmtId="1" fontId="50" fillId="13" borderId="28" xfId="3" applyNumberFormat="1" applyFont="1" applyFill="1" applyBorder="1" applyAlignment="1" applyProtection="1">
      <alignment horizontal="center"/>
      <protection hidden="1"/>
    </xf>
    <xf numFmtId="1" fontId="50" fillId="13" borderId="29" xfId="3" applyNumberFormat="1" applyFont="1" applyFill="1" applyBorder="1" applyAlignment="1" applyProtection="1">
      <alignment horizontal="center"/>
      <protection hidden="1"/>
    </xf>
    <xf numFmtId="0" fontId="33" fillId="13" borderId="0" xfId="3" applyFont="1" applyFill="1" applyProtection="1">
      <protection locked="0"/>
    </xf>
    <xf numFmtId="0" fontId="22" fillId="13" borderId="0" xfId="3" applyFont="1" applyFill="1" applyProtection="1">
      <protection locked="0"/>
    </xf>
    <xf numFmtId="0" fontId="33" fillId="13" borderId="0" xfId="3" applyFont="1" applyFill="1" applyAlignment="1" applyProtection="1">
      <alignment horizontal="center"/>
      <protection locked="0"/>
    </xf>
    <xf numFmtId="0" fontId="20" fillId="13" borderId="0" xfId="3" applyFill="1"/>
    <xf numFmtId="0" fontId="41" fillId="13" borderId="0" xfId="3" applyFont="1" applyFill="1" applyProtection="1">
      <protection locked="0"/>
    </xf>
    <xf numFmtId="0" fontId="21" fillId="13" borderId="0" xfId="3" applyFont="1" applyFill="1" applyProtection="1">
      <protection locked="0"/>
    </xf>
    <xf numFmtId="0" fontId="29" fillId="13" borderId="0" xfId="3" applyFont="1" applyFill="1" applyBorder="1" applyAlignment="1" applyProtection="1">
      <alignment horizontal="center" vertical="top" wrapText="1"/>
      <protection locked="0"/>
    </xf>
    <xf numFmtId="166" fontId="29" fillId="13" borderId="0" xfId="3" applyNumberFormat="1" applyFont="1" applyFill="1" applyBorder="1" applyProtection="1">
      <protection locked="0"/>
    </xf>
    <xf numFmtId="0" fontId="29" fillId="13" borderId="0" xfId="3" applyFont="1" applyFill="1" applyProtection="1">
      <protection locked="0"/>
    </xf>
    <xf numFmtId="0" fontId="29" fillId="13" borderId="0" xfId="3" applyFont="1" applyFill="1" applyAlignment="1" applyProtection="1">
      <alignment horizontal="center"/>
      <protection locked="0"/>
    </xf>
    <xf numFmtId="0" fontId="19" fillId="13" borderId="0" xfId="3" applyFont="1" applyFill="1" applyProtection="1">
      <protection locked="0"/>
    </xf>
    <xf numFmtId="0" fontId="21" fillId="13" borderId="0" xfId="3" applyFont="1" applyFill="1" applyAlignment="1" applyProtection="1">
      <alignment vertical="center"/>
      <protection locked="0"/>
    </xf>
    <xf numFmtId="0" fontId="26" fillId="13" borderId="0" xfId="3" applyFont="1" applyFill="1" applyAlignment="1" applyProtection="1">
      <alignment horizontal="left" vertical="center"/>
      <protection locked="0"/>
    </xf>
    <xf numFmtId="0" fontId="21" fillId="13" borderId="0" xfId="3" applyFont="1" applyFill="1" applyAlignment="1" applyProtection="1">
      <alignment horizontal="right"/>
      <protection locked="0"/>
    </xf>
    <xf numFmtId="166" fontId="21" fillId="13" borderId="0" xfId="3" applyNumberFormat="1" applyFont="1" applyFill="1" applyBorder="1" applyAlignment="1" applyProtection="1">
      <alignment horizontal="center" vertical="center"/>
      <protection hidden="1"/>
    </xf>
    <xf numFmtId="0" fontId="21" fillId="13" borderId="0" xfId="3" applyFont="1" applyFill="1" applyAlignment="1" applyProtection="1">
      <alignment horizontal="left"/>
      <protection locked="0"/>
    </xf>
    <xf numFmtId="0" fontId="26" fillId="13" borderId="0" xfId="3" applyFont="1" applyFill="1" applyAlignment="1" applyProtection="1">
      <alignment horizontal="left"/>
      <protection locked="0"/>
    </xf>
    <xf numFmtId="0" fontId="29" fillId="13" borderId="28" xfId="3" applyFont="1" applyFill="1" applyBorder="1" applyAlignment="1" applyProtection="1">
      <alignment horizontal="center" vertical="top" wrapText="1"/>
      <protection locked="0"/>
    </xf>
    <xf numFmtId="0" fontId="29" fillId="13" borderId="32" xfId="3" applyFont="1" applyFill="1" applyBorder="1" applyAlignment="1" applyProtection="1">
      <alignment horizontal="center" vertical="top" wrapText="1"/>
      <protection locked="0"/>
    </xf>
    <xf numFmtId="166" fontId="29" fillId="13" borderId="32" xfId="3" applyNumberFormat="1" applyFont="1" applyFill="1" applyBorder="1" applyAlignment="1" applyProtection="1">
      <alignment horizontal="center" vertical="top" wrapText="1"/>
      <protection locked="0"/>
    </xf>
    <xf numFmtId="2" fontId="29" fillId="13" borderId="32" xfId="3" applyNumberFormat="1" applyFont="1" applyFill="1" applyBorder="1" applyAlignment="1" applyProtection="1">
      <alignment horizontal="center" vertical="top" wrapText="1"/>
    </xf>
    <xf numFmtId="174" fontId="29" fillId="13" borderId="32" xfId="3" applyNumberFormat="1" applyFont="1" applyFill="1" applyBorder="1" applyAlignment="1" applyProtection="1">
      <alignment horizontal="center" vertical="top" wrapText="1"/>
    </xf>
    <xf numFmtId="1" fontId="29" fillId="13" borderId="0" xfId="3" applyNumberFormat="1" applyFont="1" applyFill="1" applyBorder="1" applyAlignment="1" applyProtection="1">
      <alignment horizontal="center" vertical="top" wrapText="1"/>
    </xf>
    <xf numFmtId="1" fontId="29" fillId="13" borderId="34" xfId="3" applyNumberFormat="1" applyFont="1" applyFill="1" applyBorder="1" applyAlignment="1" applyProtection="1">
      <alignment horizontal="center" vertical="top" wrapText="1"/>
    </xf>
    <xf numFmtId="0" fontId="51" fillId="13" borderId="28" xfId="3" applyFont="1" applyFill="1" applyBorder="1" applyAlignment="1" applyProtection="1">
      <alignment horizontal="center" vertical="top" wrapText="1"/>
      <protection locked="0"/>
    </xf>
    <xf numFmtId="0" fontId="19" fillId="13" borderId="32" xfId="3" applyFont="1" applyFill="1" applyBorder="1" applyAlignment="1" applyProtection="1">
      <alignment horizontal="center" vertical="top" wrapText="1"/>
      <protection locked="0"/>
    </xf>
    <xf numFmtId="166" fontId="29" fillId="13" borderId="32" xfId="3" quotePrefix="1" applyNumberFormat="1" applyFont="1" applyFill="1" applyBorder="1" applyAlignment="1" applyProtection="1">
      <alignment horizontal="center" vertical="top" wrapText="1"/>
      <protection locked="0"/>
    </xf>
    <xf numFmtId="1" fontId="29" fillId="13" borderId="28" xfId="3" applyNumberFormat="1" applyFont="1" applyFill="1" applyBorder="1" applyAlignment="1" applyProtection="1">
      <alignment horizontal="center" vertical="top" wrapText="1"/>
    </xf>
    <xf numFmtId="0" fontId="19" fillId="13" borderId="32" xfId="3" applyFont="1" applyFill="1" applyBorder="1" applyAlignment="1" applyProtection="1">
      <alignment vertical="top" wrapText="1"/>
      <protection locked="0"/>
    </xf>
    <xf numFmtId="0" fontId="52" fillId="13" borderId="29" xfId="3" applyFont="1" applyFill="1" applyBorder="1" applyAlignment="1" applyProtection="1">
      <alignment vertical="top" wrapText="1"/>
      <protection locked="0"/>
    </xf>
    <xf numFmtId="0" fontId="19" fillId="13" borderId="33" xfId="3" applyFont="1" applyFill="1" applyBorder="1" applyAlignment="1" applyProtection="1">
      <alignment horizontal="center" vertical="top" wrapText="1"/>
      <protection locked="0"/>
    </xf>
    <xf numFmtId="166" fontId="19" fillId="13" borderId="33" xfId="3" applyNumberFormat="1" applyFont="1" applyFill="1" applyBorder="1" applyAlignment="1" applyProtection="1">
      <alignment vertical="top" wrapText="1"/>
      <protection locked="0"/>
    </xf>
    <xf numFmtId="166" fontId="19" fillId="13" borderId="33" xfId="3" applyNumberFormat="1" applyFont="1" applyFill="1" applyBorder="1" applyAlignment="1" applyProtection="1">
      <alignment horizontal="center" vertical="top" wrapText="1"/>
      <protection locked="0"/>
    </xf>
    <xf numFmtId="2" fontId="29" fillId="13" borderId="29" xfId="3" applyNumberFormat="1" applyFont="1" applyFill="1" applyBorder="1" applyAlignment="1" applyProtection="1">
      <alignment horizontal="center" vertical="top" wrapText="1"/>
    </xf>
    <xf numFmtId="174" fontId="29" fillId="13" borderId="29" xfId="3" applyNumberFormat="1" applyFont="1" applyFill="1" applyBorder="1" applyAlignment="1" applyProtection="1">
      <alignment horizontal="center" vertical="top" wrapText="1"/>
    </xf>
    <xf numFmtId="0" fontId="19" fillId="13" borderId="33" xfId="3" applyFont="1" applyFill="1" applyBorder="1" applyAlignment="1" applyProtection="1">
      <alignment vertical="top" wrapText="1"/>
      <protection locked="0"/>
    </xf>
    <xf numFmtId="1" fontId="29" fillId="13" borderId="38" xfId="3" applyNumberFormat="1" applyFont="1" applyFill="1" applyBorder="1" applyAlignment="1" applyProtection="1">
      <alignment horizontal="center" vertical="top" wrapText="1"/>
    </xf>
    <xf numFmtId="1" fontId="29" fillId="13" borderId="40" xfId="3" applyNumberFormat="1" applyFont="1" applyFill="1" applyBorder="1" applyAlignment="1" applyProtection="1">
      <alignment horizontal="center" vertical="top" wrapText="1"/>
    </xf>
    <xf numFmtId="1" fontId="29" fillId="13" borderId="37" xfId="3" applyNumberFormat="1" applyFont="1" applyFill="1" applyBorder="1" applyAlignment="1" applyProtection="1">
      <alignment horizontal="center" vertical="top" wrapText="1"/>
    </xf>
    <xf numFmtId="1" fontId="29" fillId="13" borderId="31" xfId="3" applyNumberFormat="1" applyFont="1" applyFill="1" applyBorder="1" applyAlignment="1" applyProtection="1">
      <alignment horizontal="center" vertical="top" wrapText="1"/>
    </xf>
    <xf numFmtId="0" fontId="29" fillId="13" borderId="28" xfId="3" quotePrefix="1" applyFont="1" applyFill="1" applyBorder="1" applyAlignment="1" applyProtection="1">
      <alignment horizontal="center" vertical="top" wrapText="1"/>
      <protection locked="0"/>
    </xf>
    <xf numFmtId="1" fontId="29" fillId="13" borderId="29" xfId="3" applyNumberFormat="1" applyFont="1" applyFill="1" applyBorder="1" applyAlignment="1" applyProtection="1">
      <alignment horizontal="center" vertical="top" wrapText="1"/>
    </xf>
    <xf numFmtId="0" fontId="8" fillId="0" borderId="27" xfId="2" applyFont="1" applyBorder="1" applyAlignment="1">
      <alignment horizontal="center" vertical="center" wrapText="1"/>
    </xf>
    <xf numFmtId="1" fontId="21" fillId="13" borderId="30" xfId="3" applyNumberFormat="1" applyFont="1" applyFill="1" applyBorder="1" applyAlignment="1" applyProtection="1">
      <alignment horizontal="center" vertical="top" wrapText="1"/>
      <protection hidden="1"/>
    </xf>
    <xf numFmtId="0" fontId="53" fillId="0" borderId="0" xfId="0" applyFont="1"/>
    <xf numFmtId="167" fontId="14" fillId="0" borderId="0" xfId="0" applyNumberFormat="1" applyFont="1"/>
    <xf numFmtId="177" fontId="14" fillId="0" borderId="0" xfId="0" applyNumberFormat="1" applyFont="1"/>
    <xf numFmtId="178" fontId="14" fillId="0" borderId="0" xfId="0" applyNumberFormat="1" applyFont="1"/>
    <xf numFmtId="179" fontId="14" fillId="0" borderId="0" xfId="0" applyNumberFormat="1" applyFont="1"/>
    <xf numFmtId="0" fontId="3" fillId="0" borderId="5" xfId="0" applyFont="1" applyBorder="1" applyAlignment="1">
      <alignment horizontal="justify" vertical="center"/>
    </xf>
    <xf numFmtId="0" fontId="8" fillId="14" borderId="4" xfId="0" applyFont="1" applyFill="1" applyBorder="1" applyAlignment="1">
      <alignment horizontal="center" vertical="center" wrapText="1"/>
    </xf>
    <xf numFmtId="0" fontId="8" fillId="14" borderId="42" xfId="0" applyFont="1" applyFill="1" applyBorder="1" applyAlignment="1">
      <alignment horizontal="center" vertical="center" wrapText="1"/>
    </xf>
    <xf numFmtId="0" fontId="0" fillId="14" borderId="5" xfId="0" applyFill="1" applyBorder="1" applyAlignment="1">
      <alignment horizontal="center" vertical="center" wrapText="1"/>
    </xf>
    <xf numFmtId="0" fontId="8" fillId="14" borderId="5" xfId="0" applyFont="1" applyFill="1" applyBorder="1" applyAlignment="1">
      <alignment horizontal="center" vertical="center" wrapText="1"/>
    </xf>
    <xf numFmtId="0" fontId="3" fillId="0" borderId="5" xfId="0" applyFont="1" applyBorder="1" applyAlignment="1">
      <alignment horizontal="left" vertical="center"/>
    </xf>
    <xf numFmtId="164" fontId="14" fillId="0" borderId="0" xfId="1" applyNumberFormat="1" applyFont="1"/>
    <xf numFmtId="43" fontId="14" fillId="0" borderId="0" xfId="1" applyNumberFormat="1" applyFont="1"/>
    <xf numFmtId="0" fontId="15" fillId="10" borderId="0" xfId="0" applyFont="1" applyFill="1"/>
    <xf numFmtId="180" fontId="14" fillId="0" borderId="0" xfId="1" applyNumberFormat="1" applyFont="1"/>
    <xf numFmtId="164" fontId="14" fillId="0" borderId="0" xfId="0" applyNumberFormat="1" applyFont="1"/>
    <xf numFmtId="181" fontId="14" fillId="0" borderId="0" xfId="0" applyNumberFormat="1" applyFont="1"/>
    <xf numFmtId="181" fontId="15" fillId="0" borderId="0" xfId="0" applyNumberFormat="1" applyFont="1"/>
    <xf numFmtId="173" fontId="15" fillId="0" borderId="0" xfId="0" applyNumberFormat="1" applyFont="1"/>
    <xf numFmtId="182" fontId="14" fillId="0" borderId="0" xfId="0" applyNumberFormat="1" applyFont="1"/>
    <xf numFmtId="183" fontId="14" fillId="0" borderId="0" xfId="0" applyNumberFormat="1" applyFont="1"/>
    <xf numFmtId="184" fontId="14" fillId="0" borderId="0" xfId="0" applyNumberFormat="1" applyFont="1"/>
    <xf numFmtId="185" fontId="14" fillId="0" borderId="0" xfId="0" applyNumberFormat="1" applyFont="1"/>
    <xf numFmtId="167" fontId="28" fillId="13" borderId="30" xfId="3" applyNumberFormat="1" applyFont="1" applyFill="1" applyBorder="1" applyAlignment="1" applyProtection="1">
      <alignment horizontal="center"/>
      <protection hidden="1"/>
    </xf>
    <xf numFmtId="0" fontId="19" fillId="0" borderId="0" xfId="2"/>
    <xf numFmtId="0" fontId="21" fillId="0" borderId="19" xfId="2" applyFont="1" applyFill="1" applyBorder="1" applyAlignment="1">
      <alignment horizontal="center" wrapText="1"/>
    </xf>
    <xf numFmtId="166" fontId="21" fillId="0" borderId="19" xfId="2" applyNumberFormat="1" applyFont="1" applyFill="1" applyBorder="1" applyAlignment="1">
      <alignment horizontal="center" wrapText="1"/>
    </xf>
    <xf numFmtId="0" fontId="23" fillId="4" borderId="19" xfId="2" applyFont="1" applyFill="1" applyBorder="1" applyAlignment="1">
      <alignment horizontal="center" vertical="center" wrapText="1"/>
    </xf>
    <xf numFmtId="0" fontId="21" fillId="4" borderId="19" xfId="2" applyFont="1" applyFill="1" applyBorder="1" applyAlignment="1">
      <alignment horizontal="center" wrapText="1"/>
    </xf>
    <xf numFmtId="1" fontId="21" fillId="0" borderId="19" xfId="2" applyNumberFormat="1" applyFont="1" applyFill="1" applyBorder="1" applyAlignment="1">
      <alignment horizontal="center" wrapText="1"/>
    </xf>
    <xf numFmtId="0" fontId="28" fillId="0" borderId="19" xfId="2" applyFont="1" applyFill="1" applyBorder="1" applyAlignment="1">
      <alignment horizontal="center" wrapText="1"/>
    </xf>
    <xf numFmtId="1" fontId="28" fillId="0" borderId="44" xfId="2" applyNumberFormat="1" applyFont="1" applyFill="1" applyBorder="1" applyAlignment="1">
      <alignment horizontal="center" wrapText="1"/>
    </xf>
    <xf numFmtId="1" fontId="21" fillId="0" borderId="44" xfId="2" applyNumberFormat="1" applyFont="1" applyFill="1" applyBorder="1" applyAlignment="1">
      <alignment horizontal="center" wrapText="1"/>
    </xf>
    <xf numFmtId="1" fontId="21" fillId="0" borderId="45" xfId="2" applyNumberFormat="1" applyFont="1" applyFill="1" applyBorder="1" applyAlignment="1">
      <alignment horizontal="center" wrapText="1"/>
    </xf>
    <xf numFmtId="1" fontId="28" fillId="0" borderId="19" xfId="2" applyNumberFormat="1" applyFont="1" applyFill="1" applyBorder="1" applyAlignment="1">
      <alignment horizontal="right" wrapText="1"/>
    </xf>
    <xf numFmtId="1" fontId="55" fillId="0" borderId="19" xfId="2" applyNumberFormat="1" applyFont="1" applyFill="1" applyBorder="1" applyAlignment="1">
      <alignment horizontal="right" wrapText="1"/>
    </xf>
    <xf numFmtId="0" fontId="21" fillId="0" borderId="0" xfId="2" applyFont="1" applyAlignment="1">
      <alignment horizontal="justify"/>
    </xf>
    <xf numFmtId="0" fontId="23" fillId="0" borderId="0" xfId="2" applyFont="1" applyAlignment="1">
      <alignment horizontal="justify"/>
    </xf>
    <xf numFmtId="1" fontId="21" fillId="0" borderId="47" xfId="2" applyNumberFormat="1" applyFont="1" applyFill="1" applyBorder="1" applyAlignment="1">
      <alignment horizontal="center" wrapText="1"/>
    </xf>
    <xf numFmtId="166" fontId="21" fillId="0" borderId="47" xfId="2" applyNumberFormat="1" applyFont="1" applyFill="1" applyBorder="1" applyAlignment="1">
      <alignment horizontal="center" wrapText="1"/>
    </xf>
    <xf numFmtId="0" fontId="21" fillId="0" borderId="47" xfId="2" applyFont="1" applyFill="1" applyBorder="1" applyAlignment="1">
      <alignment horizontal="center" wrapText="1"/>
    </xf>
    <xf numFmtId="1" fontId="21" fillId="0" borderId="48" xfId="2" applyNumberFormat="1" applyFont="1" applyFill="1" applyBorder="1" applyAlignment="1">
      <alignment horizontal="center" wrapText="1"/>
    </xf>
    <xf numFmtId="1" fontId="21" fillId="0" borderId="49" xfId="2" applyNumberFormat="1" applyFont="1" applyFill="1" applyBorder="1" applyAlignment="1">
      <alignment horizontal="center" wrapText="1"/>
    </xf>
    <xf numFmtId="0" fontId="19" fillId="0" borderId="0" xfId="2"/>
    <xf numFmtId="0" fontId="23" fillId="7" borderId="30" xfId="2" applyFont="1" applyFill="1" applyBorder="1" applyAlignment="1">
      <alignment horizontal="center" vertical="center" wrapText="1"/>
    </xf>
    <xf numFmtId="0" fontId="21" fillId="7" borderId="30" xfId="2" applyFont="1" applyFill="1" applyBorder="1" applyAlignment="1">
      <alignment horizontal="center" wrapText="1"/>
    </xf>
    <xf numFmtId="1" fontId="28" fillId="0" borderId="30" xfId="2" applyNumberFormat="1" applyFont="1" applyFill="1" applyBorder="1" applyAlignment="1">
      <alignment horizontal="right" wrapText="1"/>
    </xf>
    <xf numFmtId="0" fontId="23" fillId="7" borderId="34" xfId="2" applyFont="1" applyFill="1" applyBorder="1" applyAlignment="1">
      <alignment horizontal="center" vertical="center" wrapText="1"/>
    </xf>
    <xf numFmtId="0" fontId="21" fillId="0" borderId="30" xfId="2" applyFont="1" applyFill="1" applyBorder="1" applyAlignment="1">
      <alignment horizontal="center" vertical="center" wrapText="1"/>
    </xf>
    <xf numFmtId="0" fontId="28" fillId="0" borderId="30" xfId="2" applyFont="1" applyFill="1" applyBorder="1" applyAlignment="1">
      <alignment horizontal="center" vertical="center" wrapText="1"/>
    </xf>
    <xf numFmtId="0" fontId="59" fillId="7" borderId="30" xfId="2" applyFont="1" applyFill="1" applyBorder="1" applyAlignment="1">
      <alignment horizontal="center" wrapText="1"/>
    </xf>
    <xf numFmtId="1" fontId="29" fillId="0" borderId="50" xfId="2" applyNumberFormat="1" applyFont="1" applyFill="1" applyBorder="1" applyAlignment="1">
      <alignment horizontal="center" wrapText="1"/>
    </xf>
    <xf numFmtId="1" fontId="29" fillId="0" borderId="39" xfId="2" applyNumberFormat="1" applyFont="1" applyFill="1" applyBorder="1" applyAlignment="1">
      <alignment horizontal="center" wrapText="1"/>
    </xf>
    <xf numFmtId="1" fontId="55" fillId="0" borderId="30" xfId="2" applyNumberFormat="1" applyFont="1" applyFill="1" applyBorder="1" applyAlignment="1">
      <alignment horizontal="right" wrapText="1"/>
    </xf>
    <xf numFmtId="0" fontId="19" fillId="0" borderId="0" xfId="2"/>
    <xf numFmtId="0" fontId="23" fillId="7" borderId="30" xfId="2" applyFont="1" applyFill="1" applyBorder="1" applyAlignment="1">
      <alignment horizontal="center" vertical="center" wrapText="1"/>
    </xf>
    <xf numFmtId="0" fontId="21" fillId="7" borderId="30" xfId="2" applyFont="1" applyFill="1" applyBorder="1" applyAlignment="1">
      <alignment horizontal="center" wrapText="1"/>
    </xf>
    <xf numFmtId="1" fontId="28" fillId="0" borderId="30" xfId="2" applyNumberFormat="1" applyFont="1" applyFill="1" applyBorder="1" applyAlignment="1">
      <alignment horizontal="right" wrapText="1"/>
    </xf>
    <xf numFmtId="0" fontId="23" fillId="7" borderId="34" xfId="2" applyFont="1" applyFill="1" applyBorder="1" applyAlignment="1">
      <alignment horizontal="center" vertical="center" wrapText="1"/>
    </xf>
    <xf numFmtId="0" fontId="21" fillId="0" borderId="30" xfId="2" applyFont="1" applyFill="1" applyBorder="1" applyAlignment="1">
      <alignment horizontal="center" vertical="center" wrapText="1"/>
    </xf>
    <xf numFmtId="0" fontId="28" fillId="0" borderId="30" xfId="2" applyFont="1" applyFill="1" applyBorder="1" applyAlignment="1">
      <alignment horizontal="center" vertical="center" wrapText="1"/>
    </xf>
    <xf numFmtId="0" fontId="59" fillId="7" borderId="30" xfId="2" applyFont="1" applyFill="1" applyBorder="1" applyAlignment="1">
      <alignment horizontal="center" wrapText="1"/>
    </xf>
    <xf numFmtId="1" fontId="29" fillId="0" borderId="50" xfId="2" applyNumberFormat="1" applyFont="1" applyFill="1" applyBorder="1" applyAlignment="1">
      <alignment horizontal="center" wrapText="1"/>
    </xf>
    <xf numFmtId="1" fontId="29" fillId="0" borderId="39" xfId="2" applyNumberFormat="1" applyFont="1" applyFill="1" applyBorder="1" applyAlignment="1">
      <alignment horizontal="center" wrapText="1"/>
    </xf>
    <xf numFmtId="0" fontId="59" fillId="7" borderId="29" xfId="2" applyFont="1" applyFill="1" applyBorder="1" applyAlignment="1">
      <alignment horizontal="center" vertical="center" wrapText="1"/>
    </xf>
    <xf numFmtId="0" fontId="21" fillId="0" borderId="50" xfId="2" applyFont="1" applyFill="1" applyBorder="1" applyAlignment="1">
      <alignment horizontal="center" vertical="center" wrapText="1"/>
    </xf>
    <xf numFmtId="0" fontId="21" fillId="0" borderId="39" xfId="2" applyFont="1" applyFill="1" applyBorder="1" applyAlignment="1">
      <alignment horizontal="center" vertical="center" wrapText="1"/>
    </xf>
    <xf numFmtId="1" fontId="62" fillId="0" borderId="39" xfId="2" applyNumberFormat="1" applyFont="1" applyFill="1" applyBorder="1" applyAlignment="1">
      <alignment horizontal="center" vertical="center" wrapText="1"/>
    </xf>
    <xf numFmtId="1" fontId="21" fillId="0" borderId="50" xfId="2" applyNumberFormat="1" applyFont="1" applyFill="1" applyBorder="1" applyAlignment="1">
      <alignment horizontal="center" vertical="center" wrapText="1"/>
    </xf>
    <xf numFmtId="0" fontId="58" fillId="0" borderId="0" xfId="2" applyNumberFormat="1" applyFont="1" applyAlignment="1">
      <alignment vertical="center" wrapText="1"/>
    </xf>
    <xf numFmtId="1" fontId="28" fillId="0" borderId="30" xfId="2" applyNumberFormat="1" applyFont="1" applyFill="1" applyBorder="1" applyAlignment="1">
      <alignment horizontal="center" vertical="center" wrapText="1"/>
    </xf>
    <xf numFmtId="1" fontId="55" fillId="0" borderId="30" xfId="2" applyNumberFormat="1" applyFont="1" applyFill="1" applyBorder="1" applyAlignment="1">
      <alignment horizontal="right" wrapText="1"/>
    </xf>
    <xf numFmtId="1" fontId="57" fillId="0" borderId="30" xfId="2" applyNumberFormat="1" applyFont="1" applyFill="1" applyBorder="1" applyAlignment="1">
      <alignment horizontal="right" wrapText="1"/>
    </xf>
    <xf numFmtId="0" fontId="19" fillId="0" borderId="0" xfId="2"/>
    <xf numFmtId="0" fontId="21" fillId="7" borderId="30" xfId="2" applyFont="1" applyFill="1" applyBorder="1" applyAlignment="1">
      <alignment horizontal="center" wrapText="1"/>
    </xf>
    <xf numFmtId="1" fontId="28" fillId="0" borderId="30" xfId="2" applyNumberFormat="1" applyFont="1" applyFill="1" applyBorder="1" applyAlignment="1">
      <alignment horizontal="right" wrapText="1"/>
    </xf>
    <xf numFmtId="0" fontId="23" fillId="7" borderId="34" xfId="2" applyFont="1" applyFill="1" applyBorder="1" applyAlignment="1">
      <alignment horizontal="center" vertical="center" wrapText="1"/>
    </xf>
    <xf numFmtId="0" fontId="21" fillId="0" borderId="30" xfId="2" applyFont="1" applyFill="1" applyBorder="1" applyAlignment="1">
      <alignment horizontal="center" vertical="center" wrapText="1"/>
    </xf>
    <xf numFmtId="0" fontId="28" fillId="0" borderId="30" xfId="2" applyFont="1" applyFill="1" applyBorder="1" applyAlignment="1">
      <alignment horizontal="center" vertical="center" wrapText="1"/>
    </xf>
    <xf numFmtId="0" fontId="59" fillId="7" borderId="30" xfId="2" applyFont="1" applyFill="1" applyBorder="1" applyAlignment="1">
      <alignment horizontal="center" wrapText="1"/>
    </xf>
    <xf numFmtId="1" fontId="29" fillId="0" borderId="50" xfId="2" applyNumberFormat="1" applyFont="1" applyFill="1" applyBorder="1" applyAlignment="1">
      <alignment horizontal="center" wrapText="1"/>
    </xf>
    <xf numFmtId="1" fontId="29" fillId="0" borderId="39" xfId="2" applyNumberFormat="1" applyFont="1" applyFill="1" applyBorder="1" applyAlignment="1">
      <alignment horizontal="center" wrapText="1"/>
    </xf>
    <xf numFmtId="0" fontId="59" fillId="7" borderId="29" xfId="2" applyFont="1" applyFill="1" applyBorder="1" applyAlignment="1">
      <alignment horizontal="center" vertical="center" wrapText="1"/>
    </xf>
    <xf numFmtId="0" fontId="21" fillId="0" borderId="50" xfId="2" applyFont="1" applyFill="1" applyBorder="1" applyAlignment="1">
      <alignment horizontal="center" vertical="center" wrapText="1"/>
    </xf>
    <xf numFmtId="0" fontId="21" fillId="0" borderId="39" xfId="2" applyFont="1" applyFill="1" applyBorder="1" applyAlignment="1">
      <alignment horizontal="center" vertical="center" wrapText="1"/>
    </xf>
    <xf numFmtId="1" fontId="62" fillId="0" borderId="39" xfId="2" applyNumberFormat="1" applyFont="1" applyFill="1" applyBorder="1" applyAlignment="1">
      <alignment horizontal="center" vertical="center" wrapText="1"/>
    </xf>
    <xf numFmtId="1" fontId="21" fillId="0" borderId="50" xfId="2" applyNumberFormat="1" applyFont="1" applyFill="1" applyBorder="1" applyAlignment="1">
      <alignment horizontal="center" vertical="center" wrapText="1"/>
    </xf>
    <xf numFmtId="1" fontId="21" fillId="0" borderId="34" xfId="2" applyNumberFormat="1" applyFont="1" applyFill="1" applyBorder="1" applyAlignment="1">
      <alignment horizontal="center" vertical="center" wrapText="1"/>
    </xf>
    <xf numFmtId="1" fontId="21" fillId="0" borderId="29" xfId="2" applyNumberFormat="1" applyFont="1" applyFill="1" applyBorder="1" applyAlignment="1">
      <alignment horizontal="center" vertical="center" wrapText="1"/>
    </xf>
    <xf numFmtId="0" fontId="19" fillId="0" borderId="0" xfId="2" applyNumberFormat="1"/>
    <xf numFmtId="1" fontId="28" fillId="0" borderId="30" xfId="2" applyNumberFormat="1" applyFont="1" applyFill="1" applyBorder="1" applyAlignment="1">
      <alignment horizontal="center" vertical="center" wrapText="1"/>
    </xf>
    <xf numFmtId="1" fontId="55" fillId="0" borderId="50" xfId="2" applyNumberFormat="1" applyFont="1" applyFill="1" applyBorder="1" applyAlignment="1">
      <alignment horizontal="right" wrapText="1"/>
    </xf>
    <xf numFmtId="1" fontId="57" fillId="0" borderId="30" xfId="2" applyNumberFormat="1" applyFont="1" applyFill="1" applyBorder="1" applyAlignment="1">
      <alignment horizontal="right" wrapText="1"/>
    </xf>
    <xf numFmtId="16" fontId="21" fillId="0" borderId="30" xfId="2" quotePrefix="1" applyNumberFormat="1" applyFont="1" applyFill="1" applyBorder="1" applyAlignment="1">
      <alignment horizontal="center" vertical="center" wrapText="1"/>
    </xf>
    <xf numFmtId="0" fontId="21" fillId="0" borderId="30" xfId="2" quotePrefix="1" applyFont="1" applyFill="1" applyBorder="1" applyAlignment="1">
      <alignment horizontal="center" vertical="center" wrapText="1"/>
    </xf>
    <xf numFmtId="0" fontId="19" fillId="0" borderId="0" xfId="2" quotePrefix="1"/>
    <xf numFmtId="0" fontId="8" fillId="16" borderId="2" xfId="0" applyFont="1" applyFill="1" applyBorder="1" applyAlignment="1">
      <alignment horizontal="justify" vertical="center"/>
    </xf>
    <xf numFmtId="0" fontId="3" fillId="0" borderId="2" xfId="0" applyFont="1" applyBorder="1" applyAlignment="1">
      <alignment horizontal="center" vertical="center"/>
    </xf>
    <xf numFmtId="0" fontId="3" fillId="0" borderId="30" xfId="0" applyFont="1" applyBorder="1" applyAlignment="1">
      <alignment horizontal="center" vertical="center"/>
    </xf>
    <xf numFmtId="0" fontId="3" fillId="0" borderId="30" xfId="0" applyFont="1" applyBorder="1" applyAlignment="1">
      <alignment horizontal="justify" vertical="center"/>
    </xf>
    <xf numFmtId="0" fontId="8" fillId="16" borderId="30" xfId="0" applyFont="1" applyFill="1" applyBorder="1" applyAlignment="1">
      <alignment horizontal="center" vertical="center" wrapText="1"/>
    </xf>
    <xf numFmtId="0" fontId="8" fillId="16" borderId="30" xfId="0" applyFont="1" applyFill="1" applyBorder="1" applyAlignment="1">
      <alignment horizontal="center" vertical="center"/>
    </xf>
    <xf numFmtId="0" fontId="8" fillId="14" borderId="4" xfId="0" applyFont="1" applyFill="1" applyBorder="1" applyAlignment="1">
      <alignment horizontal="justify" vertical="center" wrapText="1"/>
    </xf>
    <xf numFmtId="0" fontId="8" fillId="14" borderId="5" xfId="0" applyFont="1" applyFill="1" applyBorder="1" applyAlignment="1">
      <alignment horizontal="justify" vertical="center" wrapText="1"/>
    </xf>
    <xf numFmtId="0" fontId="5" fillId="14" borderId="4" xfId="0" applyFont="1" applyFill="1" applyBorder="1" applyAlignment="1">
      <alignment horizontal="justify" vertical="center" wrapText="1"/>
    </xf>
    <xf numFmtId="0" fontId="5" fillId="14" borderId="5" xfId="0" applyFont="1" applyFill="1" applyBorder="1" applyAlignment="1">
      <alignment horizontal="justify" vertical="center" wrapText="1"/>
    </xf>
    <xf numFmtId="0" fontId="8" fillId="16" borderId="54" xfId="0" applyFont="1" applyFill="1" applyBorder="1" applyAlignment="1">
      <alignment horizontal="justify" vertical="center"/>
    </xf>
    <xf numFmtId="0" fontId="65" fillId="16" borderId="54" xfId="0" applyFont="1" applyFill="1" applyBorder="1" applyAlignment="1">
      <alignment vertical="center"/>
    </xf>
    <xf numFmtId="0" fontId="8" fillId="16" borderId="5" xfId="0" applyFont="1" applyFill="1" applyBorder="1" applyAlignment="1">
      <alignment horizontal="justify" vertical="center"/>
    </xf>
    <xf numFmtId="0" fontId="3" fillId="16" borderId="52" xfId="0" applyFont="1" applyFill="1" applyBorder="1" applyAlignment="1">
      <alignment horizontal="justify" vertical="center" wrapText="1"/>
    </xf>
    <xf numFmtId="0" fontId="3" fillId="0" borderId="2" xfId="0" applyFont="1" applyBorder="1" applyAlignment="1">
      <alignment horizontal="center" vertical="center" wrapText="1"/>
    </xf>
    <xf numFmtId="166" fontId="3" fillId="0" borderId="5" xfId="0" applyNumberFormat="1" applyFont="1" applyBorder="1" applyAlignment="1">
      <alignment horizontal="center" vertical="center"/>
    </xf>
    <xf numFmtId="0" fontId="3" fillId="0" borderId="54" xfId="0" applyFont="1" applyBorder="1" applyAlignment="1">
      <alignment horizontal="center" vertical="center"/>
    </xf>
    <xf numFmtId="0" fontId="3" fillId="0" borderId="6" xfId="0" applyFont="1" applyBorder="1" applyAlignment="1">
      <alignment horizontal="left" vertical="center" wrapText="1"/>
    </xf>
    <xf numFmtId="0" fontId="3" fillId="0" borderId="54" xfId="0" applyFont="1" applyBorder="1" applyAlignment="1">
      <alignment horizontal="left" vertical="center"/>
    </xf>
    <xf numFmtId="0" fontId="3" fillId="0" borderId="52" xfId="0" applyFont="1" applyBorder="1" applyAlignment="1">
      <alignment horizontal="left" vertical="center"/>
    </xf>
    <xf numFmtId="43" fontId="3" fillId="0" borderId="5" xfId="1" applyFont="1" applyBorder="1" applyAlignment="1">
      <alignment horizontal="center" vertical="center"/>
    </xf>
    <xf numFmtId="169" fontId="3" fillId="0" borderId="5" xfId="1" applyNumberFormat="1" applyFont="1" applyBorder="1" applyAlignment="1">
      <alignment horizontal="center" vertical="center"/>
    </xf>
    <xf numFmtId="173" fontId="3" fillId="0" borderId="5" xfId="0" applyNumberFormat="1" applyFont="1" applyBorder="1" applyAlignment="1">
      <alignment horizontal="center" vertical="center"/>
    </xf>
    <xf numFmtId="0" fontId="5" fillId="0" borderId="0" xfId="0" applyFont="1" applyAlignment="1">
      <alignment horizontal="justify" vertical="center"/>
    </xf>
    <xf numFmtId="166" fontId="14" fillId="0" borderId="0" xfId="0" applyNumberFormat="1" applyFont="1"/>
    <xf numFmtId="174" fontId="14" fillId="0" borderId="0" xfId="0" applyNumberFormat="1" applyFont="1"/>
    <xf numFmtId="43" fontId="15" fillId="0" borderId="0" xfId="1" applyFont="1"/>
    <xf numFmtId="43" fontId="21" fillId="13" borderId="30" xfId="1" applyFont="1" applyFill="1" applyBorder="1" applyAlignment="1" applyProtection="1">
      <alignment horizontal="center"/>
      <protection locked="0"/>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9" fillId="0" borderId="0" xfId="0" applyFont="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8" fillId="2" borderId="6" xfId="0" applyFont="1" applyFill="1" applyBorder="1" applyAlignment="1">
      <alignment horizontal="justify" vertical="center" wrapText="1"/>
    </xf>
    <xf numFmtId="0" fontId="8" fillId="2" borderId="7"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3" fillId="14" borderId="1" xfId="0" applyFont="1" applyFill="1" applyBorder="1" applyAlignment="1">
      <alignment horizontal="center" vertical="center"/>
    </xf>
    <xf numFmtId="0" fontId="3" fillId="14" borderId="41" xfId="0" applyFont="1" applyFill="1" applyBorder="1" applyAlignment="1">
      <alignment horizontal="center" vertical="center"/>
    </xf>
    <xf numFmtId="0" fontId="3" fillId="14" borderId="2" xfId="0" applyFont="1" applyFill="1" applyBorder="1" applyAlignment="1">
      <alignment horizontal="center" vertical="center"/>
    </xf>
    <xf numFmtId="0" fontId="8" fillId="14" borderId="1" xfId="0" applyFont="1" applyFill="1" applyBorder="1" applyAlignment="1">
      <alignment horizontal="center" vertical="center"/>
    </xf>
    <xf numFmtId="0" fontId="8" fillId="14" borderId="41" xfId="0" applyFont="1" applyFill="1" applyBorder="1" applyAlignment="1">
      <alignment horizontal="center" vertical="center"/>
    </xf>
    <xf numFmtId="0" fontId="8" fillId="14" borderId="2" xfId="0" applyFont="1" applyFill="1" applyBorder="1" applyAlignment="1">
      <alignment horizontal="center" vertical="center"/>
    </xf>
    <xf numFmtId="0" fontId="8" fillId="2" borderId="1" xfId="0" applyFont="1" applyFill="1" applyBorder="1" applyAlignment="1">
      <alignment horizontal="justify" vertical="center"/>
    </xf>
    <xf numFmtId="0" fontId="8" fillId="2" borderId="41" xfId="0" applyFont="1" applyFill="1" applyBorder="1" applyAlignment="1">
      <alignment horizontal="justify" vertical="center"/>
    </xf>
    <xf numFmtId="0" fontId="8" fillId="2" borderId="2" xfId="0" applyFont="1" applyFill="1" applyBorder="1" applyAlignment="1">
      <alignment horizontal="justify" vertical="center"/>
    </xf>
    <xf numFmtId="0" fontId="3" fillId="0" borderId="6" xfId="0" applyFont="1" applyBorder="1" applyAlignment="1">
      <alignment horizontal="justify" vertical="center"/>
    </xf>
    <xf numFmtId="0" fontId="3" fillId="0" borderId="7" xfId="0" applyFont="1" applyBorder="1" applyAlignment="1">
      <alignment horizontal="justify" vertical="center"/>
    </xf>
    <xf numFmtId="0" fontId="3" fillId="0" borderId="43" xfId="0" applyFont="1" applyBorder="1" applyAlignment="1">
      <alignment horizontal="justify" vertical="center"/>
    </xf>
    <xf numFmtId="0" fontId="8" fillId="16" borderId="34" xfId="0" applyFont="1" applyFill="1" applyBorder="1" applyAlignment="1">
      <alignment horizontal="center" vertical="center" wrapText="1"/>
    </xf>
    <xf numFmtId="0" fontId="8" fillId="16" borderId="28" xfId="0" applyFont="1" applyFill="1" applyBorder="1" applyAlignment="1">
      <alignment horizontal="center" vertical="center" wrapText="1"/>
    </xf>
    <xf numFmtId="0" fontId="3" fillId="16" borderId="30" xfId="0" applyFont="1" applyFill="1" applyBorder="1" applyAlignment="1">
      <alignment horizontal="center" vertical="center" wrapText="1"/>
    </xf>
    <xf numFmtId="0" fontId="8" fillId="16" borderId="30" xfId="0" applyFont="1" applyFill="1" applyBorder="1" applyAlignment="1">
      <alignment horizontal="center" vertical="center" wrapText="1"/>
    </xf>
    <xf numFmtId="0" fontId="8" fillId="16" borderId="30" xfId="0" applyFont="1" applyFill="1" applyBorder="1" applyAlignment="1">
      <alignment horizontal="center" vertical="center"/>
    </xf>
    <xf numFmtId="0" fontId="8" fillId="14" borderId="1" xfId="0" applyFont="1" applyFill="1" applyBorder="1" applyAlignment="1">
      <alignment horizontal="justify" vertical="center" wrapText="1"/>
    </xf>
    <xf numFmtId="0" fontId="8" fillId="14" borderId="2" xfId="0" applyFont="1" applyFill="1" applyBorder="1" applyAlignment="1">
      <alignment horizontal="justify" vertical="center" wrapText="1"/>
    </xf>
    <xf numFmtId="0" fontId="3" fillId="14" borderId="1" xfId="0" applyFont="1" applyFill="1" applyBorder="1" applyAlignment="1">
      <alignment horizontal="justify" vertical="center" wrapText="1"/>
    </xf>
    <xf numFmtId="0" fontId="3" fillId="14" borderId="2" xfId="0" applyFont="1" applyFill="1" applyBorder="1" applyAlignment="1">
      <alignment horizontal="justify" vertical="center" wrapText="1"/>
    </xf>
    <xf numFmtId="0" fontId="8" fillId="14" borderId="53" xfId="0" applyFont="1" applyFill="1" applyBorder="1" applyAlignment="1">
      <alignment horizontal="justify" vertical="center" wrapText="1"/>
    </xf>
    <xf numFmtId="0" fontId="8" fillId="14" borderId="54" xfId="0" applyFont="1" applyFill="1" applyBorder="1" applyAlignment="1">
      <alignment horizontal="justify" vertical="center" wrapText="1"/>
    </xf>
    <xf numFmtId="0" fontId="22" fillId="0" borderId="20" xfId="2" applyFont="1" applyBorder="1" applyAlignment="1">
      <alignment horizontal="center"/>
    </xf>
    <xf numFmtId="0" fontId="23" fillId="4" borderId="21" xfId="2" applyFont="1" applyFill="1" applyBorder="1" applyAlignment="1">
      <alignment horizontal="center" vertical="center" wrapText="1"/>
    </xf>
    <xf numFmtId="169" fontId="23" fillId="4" borderId="21" xfId="1" applyNumberFormat="1" applyFont="1" applyFill="1" applyBorder="1" applyAlignment="1">
      <alignment horizontal="center" vertical="center" wrapText="1"/>
    </xf>
    <xf numFmtId="0" fontId="21" fillId="4" borderId="19" xfId="2" applyFont="1" applyFill="1" applyBorder="1" applyAlignment="1">
      <alignment horizontal="center" vertical="center" wrapText="1"/>
    </xf>
    <xf numFmtId="0" fontId="23" fillId="4" borderId="46" xfId="2" applyFont="1" applyFill="1" applyBorder="1" applyAlignment="1">
      <alignment horizontal="center" vertical="center" wrapText="1"/>
    </xf>
    <xf numFmtId="0" fontId="21" fillId="0" borderId="34" xfId="2" applyFont="1" applyFill="1" applyBorder="1" applyAlignment="1">
      <alignment horizontal="center" vertical="center" wrapText="1"/>
    </xf>
    <xf numFmtId="0" fontId="21" fillId="0" borderId="29" xfId="2" applyFont="1" applyFill="1" applyBorder="1" applyAlignment="1">
      <alignment horizontal="center" vertical="center" wrapText="1"/>
    </xf>
    <xf numFmtId="166" fontId="21" fillId="0" borderId="34" xfId="2" applyNumberFormat="1" applyFont="1" applyFill="1" applyBorder="1" applyAlignment="1">
      <alignment horizontal="center" vertical="center" wrapText="1"/>
    </xf>
    <xf numFmtId="166" fontId="21" fillId="0" borderId="29" xfId="2" applyNumberFormat="1" applyFont="1" applyFill="1" applyBorder="1" applyAlignment="1">
      <alignment horizontal="center" vertical="center" wrapText="1"/>
    </xf>
    <xf numFmtId="1" fontId="63" fillId="15" borderId="34" xfId="2" applyNumberFormat="1" applyFont="1" applyFill="1" applyBorder="1" applyAlignment="1">
      <alignment horizontal="center" vertical="center" wrapText="1"/>
    </xf>
    <xf numFmtId="1" fontId="63" fillId="15" borderId="29" xfId="2" applyNumberFormat="1" applyFont="1" applyFill="1" applyBorder="1" applyAlignment="1">
      <alignment horizontal="center" vertical="center" wrapText="1"/>
    </xf>
    <xf numFmtId="0" fontId="28" fillId="0" borderId="34" xfId="2" applyFont="1" applyFill="1" applyBorder="1" applyAlignment="1">
      <alignment horizontal="center" vertical="center" wrapText="1"/>
    </xf>
    <xf numFmtId="0" fontId="28" fillId="0" borderId="29" xfId="2" applyFont="1" applyFill="1" applyBorder="1" applyAlignment="1">
      <alignment horizontal="center" vertical="center" wrapText="1"/>
    </xf>
    <xf numFmtId="1" fontId="21" fillId="0" borderId="34" xfId="2" applyNumberFormat="1" applyFont="1" applyFill="1" applyBorder="1" applyAlignment="1">
      <alignment horizontal="center" vertical="center" wrapText="1"/>
    </xf>
    <xf numFmtId="1" fontId="21" fillId="0" borderId="29" xfId="2" applyNumberFormat="1" applyFont="1" applyFill="1" applyBorder="1" applyAlignment="1">
      <alignment horizontal="center" vertical="center" wrapText="1"/>
    </xf>
    <xf numFmtId="1" fontId="55" fillId="0" borderId="34" xfId="2" applyNumberFormat="1" applyFont="1" applyFill="1" applyBorder="1" applyAlignment="1">
      <alignment horizontal="center" vertical="center" wrapText="1"/>
    </xf>
    <xf numFmtId="1" fontId="55" fillId="0" borderId="29" xfId="2" applyNumberFormat="1" applyFont="1" applyFill="1" applyBorder="1" applyAlignment="1">
      <alignment horizontal="center" vertical="center" wrapText="1"/>
    </xf>
    <xf numFmtId="0" fontId="23" fillId="7" borderId="40" xfId="2" applyFont="1" applyFill="1" applyBorder="1" applyAlignment="1">
      <alignment horizontal="center" vertical="center" wrapText="1"/>
    </xf>
    <xf numFmtId="0" fontId="23" fillId="7" borderId="0" xfId="2" applyFont="1" applyFill="1" applyBorder="1" applyAlignment="1">
      <alignment horizontal="center" vertical="center" wrapText="1"/>
    </xf>
    <xf numFmtId="0" fontId="23" fillId="7" borderId="32" xfId="2" applyFont="1" applyFill="1" applyBorder="1" applyAlignment="1">
      <alignment horizontal="center" vertical="center" wrapText="1"/>
    </xf>
    <xf numFmtId="0" fontId="21" fillId="7" borderId="30" xfId="2" applyFont="1" applyFill="1" applyBorder="1" applyAlignment="1">
      <alignment horizontal="center" vertical="center" wrapText="1"/>
    </xf>
    <xf numFmtId="0" fontId="61" fillId="0" borderId="6" xfId="2" applyFont="1" applyBorder="1" applyAlignment="1">
      <alignment horizontal="center"/>
    </xf>
    <xf numFmtId="0" fontId="61" fillId="0" borderId="7" xfId="2" applyFont="1" applyBorder="1" applyAlignment="1">
      <alignment horizontal="center"/>
    </xf>
    <xf numFmtId="0" fontId="61" fillId="0" borderId="3" xfId="2" applyFont="1" applyBorder="1" applyAlignment="1">
      <alignment horizontal="center"/>
    </xf>
    <xf numFmtId="0" fontId="23" fillId="7" borderId="51" xfId="2" applyFont="1" applyFill="1" applyBorder="1" applyAlignment="1">
      <alignment horizontal="center" vertical="center" textRotation="90" wrapText="1"/>
    </xf>
    <xf numFmtId="0" fontId="23" fillId="7" borderId="28" xfId="2" applyFont="1" applyFill="1" applyBorder="1" applyAlignment="1">
      <alignment horizontal="center" vertical="center" textRotation="90" wrapText="1"/>
    </xf>
    <xf numFmtId="0" fontId="23" fillId="7" borderId="29" xfId="2" applyFont="1" applyFill="1" applyBorder="1" applyAlignment="1">
      <alignment horizontal="center" vertical="center" textRotation="90" wrapText="1"/>
    </xf>
    <xf numFmtId="0" fontId="23" fillId="7" borderId="28" xfId="2" applyFont="1" applyFill="1" applyBorder="1" applyAlignment="1">
      <alignment horizontal="center" vertical="center" wrapText="1"/>
    </xf>
    <xf numFmtId="0" fontId="23" fillId="7" borderId="29" xfId="2" applyFont="1" applyFill="1" applyBorder="1" applyAlignment="1">
      <alignment horizontal="center" vertical="center" wrapText="1"/>
    </xf>
    <xf numFmtId="0" fontId="23" fillId="7" borderId="31" xfId="2" applyFont="1" applyFill="1" applyBorder="1" applyAlignment="1">
      <alignment horizontal="center" vertical="center" wrapText="1"/>
    </xf>
    <xf numFmtId="0" fontId="23" fillId="7" borderId="33" xfId="2" applyFont="1" applyFill="1" applyBorder="1" applyAlignment="1">
      <alignment horizontal="center" vertical="center" wrapText="1"/>
    </xf>
    <xf numFmtId="0" fontId="21" fillId="7" borderId="34" xfId="2" applyFont="1" applyFill="1" applyBorder="1" applyAlignment="1">
      <alignment horizontal="center" vertical="center" wrapText="1"/>
    </xf>
    <xf numFmtId="0" fontId="21" fillId="7" borderId="29" xfId="2" applyFont="1" applyFill="1" applyBorder="1" applyAlignment="1">
      <alignment horizontal="center" vertical="center" wrapText="1"/>
    </xf>
    <xf numFmtId="0" fontId="23" fillId="7" borderId="37" xfId="2" applyFont="1" applyFill="1" applyBorder="1" applyAlignment="1">
      <alignment horizontal="center" vertical="center" wrapText="1"/>
    </xf>
    <xf numFmtId="0" fontId="21" fillId="7" borderId="38" xfId="2" applyFont="1" applyFill="1" applyBorder="1" applyAlignment="1">
      <alignment horizontal="center" vertical="center" wrapText="1"/>
    </xf>
    <xf numFmtId="0" fontId="21" fillId="7" borderId="37" xfId="2" applyFont="1" applyFill="1" applyBorder="1" applyAlignment="1">
      <alignment horizontal="center" vertical="center" wrapText="1"/>
    </xf>
    <xf numFmtId="0" fontId="23" fillId="7" borderId="34" xfId="2" applyFont="1" applyFill="1" applyBorder="1" applyAlignment="1">
      <alignment horizontal="center" vertical="center" wrapText="1"/>
    </xf>
    <xf numFmtId="1" fontId="55" fillId="0" borderId="36" xfId="2" applyNumberFormat="1" applyFont="1" applyFill="1" applyBorder="1" applyAlignment="1">
      <alignment horizontal="center" vertical="center" wrapText="1"/>
    </xf>
    <xf numFmtId="1" fontId="55" fillId="0" borderId="33" xfId="2" applyNumberFormat="1" applyFont="1" applyFill="1" applyBorder="1" applyAlignment="1">
      <alignment horizontal="center" vertical="center" wrapText="1"/>
    </xf>
    <xf numFmtId="0" fontId="21" fillId="7" borderId="40" xfId="2" applyFont="1" applyFill="1" applyBorder="1" applyAlignment="1">
      <alignment horizontal="center" vertical="center" wrapText="1"/>
    </xf>
    <xf numFmtId="0" fontId="21" fillId="7" borderId="28" xfId="2" applyFont="1" applyFill="1" applyBorder="1" applyAlignment="1">
      <alignment horizontal="center" vertical="center" wrapText="1"/>
    </xf>
    <xf numFmtId="0" fontId="23" fillId="7" borderId="51" xfId="2" applyFont="1" applyFill="1" applyBorder="1" applyAlignment="1">
      <alignment horizontal="center" vertical="center" wrapText="1"/>
    </xf>
    <xf numFmtId="1" fontId="64" fillId="0" borderId="38" xfId="2" applyNumberFormat="1" applyFont="1" applyFill="1" applyBorder="1" applyAlignment="1">
      <alignment horizontal="center" vertical="center" wrapText="1"/>
    </xf>
    <xf numFmtId="0" fontId="64" fillId="0" borderId="36" xfId="2" applyFont="1" applyFill="1" applyBorder="1" applyAlignment="1">
      <alignment horizontal="center" vertical="center" wrapText="1"/>
    </xf>
    <xf numFmtId="0" fontId="64" fillId="0" borderId="37" xfId="2" applyFont="1" applyFill="1" applyBorder="1" applyAlignment="1">
      <alignment horizontal="center" vertical="center" wrapText="1"/>
    </xf>
    <xf numFmtId="0" fontId="64" fillId="0" borderId="33" xfId="2" applyFont="1" applyFill="1" applyBorder="1" applyAlignment="1">
      <alignment horizontal="center" vertical="center" wrapText="1"/>
    </xf>
    <xf numFmtId="1" fontId="62" fillId="0" borderId="38" xfId="2" applyNumberFormat="1" applyFont="1" applyFill="1" applyBorder="1" applyAlignment="1">
      <alignment horizontal="center" vertical="center" wrapText="1"/>
    </xf>
    <xf numFmtId="1" fontId="62" fillId="0" borderId="36" xfId="2" applyNumberFormat="1" applyFont="1" applyFill="1" applyBorder="1" applyAlignment="1">
      <alignment horizontal="center" vertical="center" wrapText="1"/>
    </xf>
    <xf numFmtId="0" fontId="60" fillId="7" borderId="40" xfId="2" applyFont="1" applyFill="1" applyBorder="1" applyAlignment="1">
      <alignment horizontal="center" vertical="center" wrapText="1"/>
    </xf>
    <xf numFmtId="0" fontId="60" fillId="7" borderId="32" xfId="2" applyFont="1" applyFill="1" applyBorder="1" applyAlignment="1">
      <alignment horizontal="center" vertical="center" wrapText="1"/>
    </xf>
    <xf numFmtId="0" fontId="59" fillId="7" borderId="37" xfId="2" applyFont="1" applyFill="1" applyBorder="1" applyAlignment="1">
      <alignment horizontal="center" vertical="center" wrapText="1"/>
    </xf>
    <xf numFmtId="0" fontId="59" fillId="7" borderId="33" xfId="2" applyFont="1" applyFill="1" applyBorder="1" applyAlignment="1">
      <alignment horizontal="center" vertical="center" wrapText="1"/>
    </xf>
    <xf numFmtId="1" fontId="62" fillId="0" borderId="30" xfId="2" applyNumberFormat="1" applyFont="1" applyFill="1" applyBorder="1" applyAlignment="1">
      <alignment horizontal="center" vertical="center" wrapText="1"/>
    </xf>
    <xf numFmtId="0" fontId="60" fillId="7" borderId="28" xfId="2" applyFont="1" applyFill="1" applyBorder="1" applyAlignment="1">
      <alignment horizontal="center" vertical="center" wrapText="1"/>
    </xf>
    <xf numFmtId="0" fontId="23" fillId="7" borderId="30" xfId="2" applyFont="1" applyFill="1" applyBorder="1" applyAlignment="1">
      <alignment horizontal="center" vertical="center" wrapText="1"/>
    </xf>
    <xf numFmtId="43" fontId="64" fillId="0" borderId="38" xfId="1" applyFont="1" applyFill="1" applyBorder="1" applyAlignment="1">
      <alignment horizontal="center" vertical="center" wrapText="1"/>
    </xf>
    <xf numFmtId="43" fontId="64" fillId="0" borderId="36" xfId="1" applyFont="1" applyFill="1" applyBorder="1" applyAlignment="1">
      <alignment horizontal="center" vertical="center" wrapText="1"/>
    </xf>
    <xf numFmtId="43" fontId="64" fillId="0" borderId="37" xfId="1" applyFont="1" applyFill="1" applyBorder="1" applyAlignment="1">
      <alignment horizontal="center" vertical="center" wrapText="1"/>
    </xf>
    <xf numFmtId="43" fontId="64" fillId="0" borderId="33" xfId="1" applyFont="1" applyFill="1" applyBorder="1" applyAlignment="1">
      <alignment horizontal="center" vertical="center" wrapText="1"/>
    </xf>
    <xf numFmtId="0" fontId="8" fillId="0" borderId="25" xfId="2" applyFont="1" applyBorder="1" applyAlignment="1">
      <alignment horizontal="center" vertical="center" wrapText="1"/>
    </xf>
    <xf numFmtId="0" fontId="8" fillId="0" borderId="27" xfId="2" applyFont="1" applyBorder="1" applyAlignment="1">
      <alignment horizontal="center" vertical="center" wrapText="1"/>
    </xf>
    <xf numFmtId="0" fontId="32" fillId="5" borderId="25" xfId="2" applyFont="1" applyFill="1" applyBorder="1" applyAlignment="1">
      <alignment horizontal="center" vertical="center" wrapText="1"/>
    </xf>
    <xf numFmtId="0" fontId="32" fillId="5" borderId="26" xfId="2" applyFont="1" applyFill="1" applyBorder="1" applyAlignment="1">
      <alignment horizontal="center" vertical="center" wrapText="1"/>
    </xf>
    <xf numFmtId="0" fontId="32" fillId="5" borderId="27" xfId="2" applyFont="1" applyFill="1" applyBorder="1" applyAlignment="1">
      <alignment horizontal="center" vertical="center" wrapText="1"/>
    </xf>
    <xf numFmtId="1" fontId="21" fillId="13" borderId="34" xfId="3" applyNumberFormat="1" applyFont="1" applyFill="1" applyBorder="1" applyAlignment="1" applyProtection="1">
      <alignment horizontal="center" vertical="center" wrapText="1"/>
      <protection hidden="1"/>
    </xf>
    <xf numFmtId="1" fontId="21" fillId="13" borderId="29" xfId="3" applyNumberFormat="1" applyFont="1" applyFill="1" applyBorder="1" applyAlignment="1" applyProtection="1">
      <alignment horizontal="center" vertical="center" wrapText="1"/>
      <protection hidden="1"/>
    </xf>
    <xf numFmtId="0" fontId="38" fillId="12" borderId="0" xfId="3" applyFont="1" applyFill="1" applyAlignment="1" applyProtection="1">
      <alignment horizontal="center" wrapText="1"/>
    </xf>
    <xf numFmtId="0" fontId="19" fillId="6" borderId="38" xfId="3" applyFont="1" applyFill="1" applyBorder="1" applyAlignment="1" applyProtection="1">
      <alignment horizontal="center"/>
    </xf>
    <xf numFmtId="0" fontId="19" fillId="6" borderId="36" xfId="3" applyFont="1" applyFill="1" applyBorder="1" applyAlignment="1" applyProtection="1">
      <alignment horizontal="center"/>
    </xf>
    <xf numFmtId="186" fontId="14" fillId="0" borderId="0" xfId="0" applyNumberFormat="1" applyFont="1"/>
  </cellXfs>
  <cellStyles count="6">
    <cellStyle name="Comma" xfId="1" builtinId="3"/>
    <cellStyle name="Normal" xfId="0" builtinId="0"/>
    <cellStyle name="Normal 2" xfId="2" xr:uid="{7D72EE55-FE70-42DE-8D6E-70835A993102}"/>
    <cellStyle name="Normal 2 2" xfId="5" xr:uid="{98A71363-7F19-4EE5-9B5C-854194F894E2}"/>
    <cellStyle name="Normal 3" xfId="3" xr:uid="{130023C1-48F6-4F49-90FE-26620669C057}"/>
    <cellStyle name="Normal 4" xfId="4" xr:uid="{204A41E3-AF79-4239-8055-633B9FDF77DC}"/>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A4468EC9-1BB2-4494-9B33-AF00D7637D7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EC3716B4-28B6-4512-BBFC-3A61583D163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AE8C0D25-3D7A-46B2-B004-008712553E0A}"/>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69B91D7B-53DE-4427-9C98-D13B123EB5A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668BF543-BAA7-49B5-ABD2-B56D3769681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17E20F00-59AB-4162-BEA4-C242CCA0E42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7C3F4DB7-B0AF-4186-86DB-074EE3153C3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701E6FF8-F449-4FBD-9016-812FC81E4F19}"/>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A20B0A36-5E95-4A9A-B841-7B7B6127200A}"/>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7E0853A1-B52F-420F-A889-99FE2167012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2687A001-D140-4502-932B-6EED425D57BC}"/>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73A500FD-A237-440E-9836-6630722CF8A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2AB2AFF9-8268-4CC1-A371-67ADD29B05C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7745CA79-6CA2-4809-A5BE-BED5D775A33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2A08188B-0D27-431E-A355-FF52F2A23031}"/>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7D17F2A5-DE76-4C8A-B663-9BDE7DB14DE8}"/>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ECAED113-F2EE-447E-932C-9574C6937B88}"/>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50E8B5BD-835D-426E-95C3-2180E63A9E0D}"/>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8AE80E9C-2E13-4B2D-AF07-8B73F5D55ACE}"/>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9E7505C-0BFE-4722-A44F-36A02CF5E3DF}"/>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D9CBF1DD-AF32-48C3-879B-F0E68D34B4C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AB75BD0C-6FE5-462C-A36D-EF4BE49EF3D8}"/>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142875</xdr:colOff>
      <xdr:row>6</xdr:row>
      <xdr:rowOff>28575</xdr:rowOff>
    </xdr:from>
    <xdr:to>
      <xdr:col>6</xdr:col>
      <xdr:colOff>438150</xdr:colOff>
      <xdr:row>9</xdr:row>
      <xdr:rowOff>160052</xdr:rowOff>
    </xdr:to>
    <xdr:sp macro="" textlink="">
      <xdr:nvSpPr>
        <xdr:cNvPr id="2" name="Text Box 2">
          <a:extLst>
            <a:ext uri="{FF2B5EF4-FFF2-40B4-BE49-F238E27FC236}">
              <a16:creationId xmlns:a16="http://schemas.microsoft.com/office/drawing/2014/main" id="{938ADFE0-BF5A-47D2-AF24-16A725517C35}"/>
            </a:ext>
          </a:extLst>
        </xdr:cNvPr>
        <xdr:cNvSpPr txBox="1">
          <a:spLocks noChangeArrowheads="1"/>
        </xdr:cNvSpPr>
      </xdr:nvSpPr>
      <xdr:spPr bwMode="auto">
        <a:xfrm>
          <a:off x="3190875" y="1219200"/>
          <a:ext cx="295275" cy="807752"/>
        </a:xfrm>
        <a:prstGeom prst="rect">
          <a:avLst/>
        </a:prstGeom>
        <a:solidFill>
          <a:srgbClr val="99CCFF"/>
        </a:solidFill>
        <a:ln w="9525">
          <a:noFill/>
          <a:miter lim="800000"/>
          <a:headEnd/>
          <a:tailEnd/>
        </a:ln>
      </xdr:spPr>
      <xdr:txBody>
        <a:bodyPr vertOverflow="clip" vert="vert270" wrap="square" lIns="36576" tIns="27432" rIns="0" bIns="0" anchor="t" upright="1"/>
        <a:lstStyle/>
        <a:p>
          <a:pPr algn="r" rtl="0">
            <a:defRPr sz="1000"/>
          </a:pPr>
          <a:r>
            <a:rPr lang="en-US" sz="1200" b="0" i="0" strike="noStrike">
              <a:solidFill>
                <a:srgbClr val="000000"/>
              </a:solidFill>
              <a:latin typeface="Symbol"/>
            </a:rPr>
            <a:t>a</a:t>
          </a:r>
          <a:r>
            <a:rPr lang="en-US" sz="1100" b="0" i="0" strike="noStrike">
              <a:solidFill>
                <a:srgbClr val="000000"/>
              </a:solidFill>
              <a:latin typeface="VNtimes new roman"/>
            </a:rPr>
            <a:t> = L</a:t>
          </a:r>
          <a:r>
            <a:rPr lang="en-US" sz="900" b="0" i="0" strike="noStrike">
              <a:solidFill>
                <a:srgbClr val="000000"/>
              </a:solidFill>
              <a:latin typeface="VNtimes new roman"/>
            </a:rPr>
            <a:t>2</a:t>
          </a:r>
          <a:r>
            <a:rPr lang="en-US" sz="1400" b="0" i="0" strike="noStrike">
              <a:solidFill>
                <a:srgbClr val="000000"/>
              </a:solidFill>
              <a:latin typeface="VNtimes new roman"/>
            </a:rPr>
            <a:t>/</a:t>
          </a:r>
          <a:r>
            <a:rPr lang="en-US" sz="1100" b="0" i="0" strike="noStrike">
              <a:solidFill>
                <a:srgbClr val="000000"/>
              </a:solidFill>
              <a:latin typeface="VNtimes new roman"/>
            </a:rPr>
            <a:t>L</a:t>
          </a:r>
          <a:r>
            <a:rPr lang="en-US" sz="900" b="0" i="0" strike="noStrike">
              <a:solidFill>
                <a:srgbClr val="000000"/>
              </a:solidFill>
              <a:latin typeface="VNtimes new roman"/>
            </a:rPr>
            <a:t>1</a:t>
          </a:r>
        </a:p>
      </xdr:txBody>
    </xdr:sp>
    <xdr:clientData/>
  </xdr:twoCellAnchor>
  <xdr:twoCellAnchor editAs="oneCell">
    <xdr:from>
      <xdr:col>10</xdr:col>
      <xdr:colOff>171450</xdr:colOff>
      <xdr:row>5</xdr:row>
      <xdr:rowOff>19050</xdr:rowOff>
    </xdr:from>
    <xdr:to>
      <xdr:col>10</xdr:col>
      <xdr:colOff>491490</xdr:colOff>
      <xdr:row>9</xdr:row>
      <xdr:rowOff>209550</xdr:rowOff>
    </xdr:to>
    <xdr:sp macro="" textlink="">
      <xdr:nvSpPr>
        <xdr:cNvPr id="5" name="Text Box 1">
          <a:extLst>
            <a:ext uri="{FF2B5EF4-FFF2-40B4-BE49-F238E27FC236}">
              <a16:creationId xmlns:a16="http://schemas.microsoft.com/office/drawing/2014/main" id="{C10DEED0-D444-4AA8-904A-DD76F831F1BE}"/>
            </a:ext>
          </a:extLst>
        </xdr:cNvPr>
        <xdr:cNvSpPr txBox="1">
          <a:spLocks noChangeArrowheads="1"/>
        </xdr:cNvSpPr>
      </xdr:nvSpPr>
      <xdr:spPr bwMode="auto">
        <a:xfrm>
          <a:off x="5657850" y="990600"/>
          <a:ext cx="320040" cy="1085850"/>
        </a:xfrm>
        <a:prstGeom prst="rect">
          <a:avLst/>
        </a:prstGeom>
        <a:solidFill>
          <a:srgbClr val="99CCFF"/>
        </a:solidFill>
        <a:ln w="9525">
          <a:noFill/>
          <a:miter lim="800000"/>
          <a:headEnd/>
          <a:tailEnd/>
        </a:ln>
      </xdr:spPr>
      <xdr:txBody>
        <a:bodyPr vertOverflow="clip" vert="vert270" wrap="square" lIns="36576" tIns="36576" rIns="0" bIns="36576" anchor="t" upright="1"/>
        <a:lstStyle/>
        <a:p>
          <a:pPr algn="ctr" rtl="0">
            <a:defRPr sz="1000"/>
          </a:pPr>
          <a:r>
            <a:rPr lang="en-US" sz="1100" b="0" i="0" strike="noStrike">
              <a:solidFill>
                <a:srgbClr val="000000"/>
              </a:solidFill>
              <a:latin typeface="VNtimes new roman"/>
            </a:rPr>
            <a:t>P=(p</a:t>
          </a:r>
          <a:r>
            <a:rPr lang="en-US" sz="900" b="0" i="0" strike="noStrike">
              <a:solidFill>
                <a:srgbClr val="000000"/>
              </a:solidFill>
              <a:latin typeface="VNtimes new roman"/>
            </a:rPr>
            <a:t>tt</a:t>
          </a:r>
          <a:r>
            <a:rPr lang="en-US" sz="1100" b="0" i="0" strike="noStrike">
              <a:solidFill>
                <a:srgbClr val="000000"/>
              </a:solidFill>
              <a:latin typeface="VNtimes new roman"/>
            </a:rPr>
            <a:t>+g</a:t>
          </a:r>
          <a:r>
            <a:rPr lang="en-US" sz="900" b="0" i="0" strike="noStrike">
              <a:solidFill>
                <a:srgbClr val="000000"/>
              </a:solidFill>
              <a:latin typeface="VNtimes new roman"/>
            </a:rPr>
            <a:t>tt</a:t>
          </a:r>
          <a:r>
            <a:rPr lang="en-US" sz="1100" b="0" i="0" strike="noStrike">
              <a:solidFill>
                <a:srgbClr val="000000"/>
              </a:solidFill>
              <a:latin typeface="VNtimes new roman"/>
            </a:rPr>
            <a:t>).L</a:t>
          </a:r>
          <a:r>
            <a:rPr lang="en-US" sz="900" b="0" i="0" strike="noStrike">
              <a:solidFill>
                <a:srgbClr val="000000"/>
              </a:solidFill>
              <a:latin typeface="VNtimes new roman"/>
            </a:rPr>
            <a:t>1</a:t>
          </a:r>
          <a:r>
            <a:rPr lang="en-US" sz="1100" b="0" i="0" strike="noStrike">
              <a:solidFill>
                <a:srgbClr val="000000"/>
              </a:solidFill>
              <a:latin typeface="VNtimes new roman"/>
            </a:rPr>
            <a:t>.L</a:t>
          </a:r>
          <a:r>
            <a:rPr lang="en-US" sz="900" b="0" i="0" strike="noStrike">
              <a:solidFill>
                <a:srgbClr val="000000"/>
              </a:solidFill>
              <a:latin typeface="VNtimes new roman"/>
            </a:rPr>
            <a:t>2</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s>
    <sheetDataSet>
      <sheetData sheetId="0" refreshError="1"/>
      <sheetData sheetId="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row r="10">
          <cell r="J10">
            <v>100</v>
          </cell>
          <cell r="K10">
            <v>150</v>
          </cell>
          <cell r="L10">
            <v>150</v>
          </cell>
          <cell r="M10">
            <v>200</v>
          </cell>
          <cell r="N10">
            <v>250</v>
          </cell>
          <cell r="O10">
            <v>300</v>
          </cell>
          <cell r="P10">
            <v>350</v>
          </cell>
          <cell r="Q10">
            <v>400</v>
          </cell>
          <cell r="R10">
            <v>450</v>
          </cell>
          <cell r="S10">
            <v>500</v>
          </cell>
          <cell r="T10">
            <v>600</v>
          </cell>
        </row>
        <row r="11">
          <cell r="J11">
            <v>4.5</v>
          </cell>
          <cell r="K11">
            <v>6</v>
          </cell>
          <cell r="L11">
            <v>7.5</v>
          </cell>
          <cell r="M11">
            <v>8.5</v>
          </cell>
          <cell r="N11">
            <v>11.5</v>
          </cell>
          <cell r="O11">
            <v>13</v>
          </cell>
          <cell r="P11">
            <v>14.5</v>
          </cell>
          <cell r="Q11">
            <v>17</v>
          </cell>
          <cell r="R11">
            <v>19.5</v>
          </cell>
          <cell r="S11">
            <v>22</v>
          </cell>
          <cell r="T11">
            <v>25</v>
          </cell>
        </row>
        <row r="12">
          <cell r="J12">
            <v>0.48</v>
          </cell>
          <cell r="K12">
            <v>0.56999999999999995</v>
          </cell>
          <cell r="L12">
            <v>0.66</v>
          </cell>
          <cell r="M12">
            <v>0.75</v>
          </cell>
          <cell r="N12">
            <v>0.9</v>
          </cell>
          <cell r="O12">
            <v>1</v>
          </cell>
          <cell r="P12">
            <v>1.05</v>
          </cell>
          <cell r="Q12">
            <v>1.2</v>
          </cell>
          <cell r="R12">
            <v>1.3</v>
          </cell>
          <cell r="S12">
            <v>1.4</v>
          </cell>
          <cell r="T12">
            <v>1.5</v>
          </cell>
        </row>
        <row r="13">
          <cell r="J13">
            <v>16000</v>
          </cell>
          <cell r="K13">
            <v>18000</v>
          </cell>
          <cell r="L13">
            <v>21000</v>
          </cell>
          <cell r="M13">
            <v>23000</v>
          </cell>
          <cell r="N13">
            <v>27000</v>
          </cell>
          <cell r="O13">
            <v>29000</v>
          </cell>
          <cell r="P13">
            <v>30000</v>
          </cell>
          <cell r="Q13">
            <v>32500</v>
          </cell>
          <cell r="R13">
            <v>34500</v>
          </cell>
          <cell r="S13">
            <v>36000</v>
          </cell>
          <cell r="T13">
            <v>375000</v>
          </cell>
        </row>
        <row r="17">
          <cell r="J17" t="str">
            <v>AI</v>
          </cell>
          <cell r="K17" t="str">
            <v>AII</v>
          </cell>
          <cell r="L17" t="str">
            <v>AIII</v>
          </cell>
          <cell r="M17" t="str">
            <v>AIV</v>
          </cell>
          <cell r="N17" t="str">
            <v>AV</v>
          </cell>
          <cell r="O17" t="str">
            <v>AVI</v>
          </cell>
          <cell r="P17" t="str">
            <v>AVII</v>
          </cell>
        </row>
        <row r="18">
          <cell r="J18" t="str">
            <v>CI</v>
          </cell>
          <cell r="K18" t="str">
            <v>CII</v>
          </cell>
          <cell r="L18" t="str">
            <v>CIII</v>
          </cell>
          <cell r="M18" t="str">
            <v>CIV</v>
          </cell>
        </row>
        <row r="19">
          <cell r="J19">
            <v>225</v>
          </cell>
          <cell r="K19">
            <v>280</v>
          </cell>
          <cell r="L19">
            <v>365</v>
          </cell>
          <cell r="M19">
            <v>510</v>
          </cell>
          <cell r="N19">
            <v>680</v>
          </cell>
          <cell r="O19">
            <v>815</v>
          </cell>
          <cell r="P19">
            <v>980</v>
          </cell>
        </row>
        <row r="20">
          <cell r="J20">
            <v>175</v>
          </cell>
          <cell r="K20">
            <v>225</v>
          </cell>
          <cell r="L20">
            <v>290</v>
          </cell>
          <cell r="M20">
            <v>405</v>
          </cell>
          <cell r="N20">
            <v>545</v>
          </cell>
          <cell r="O20">
            <v>650</v>
          </cell>
          <cell r="P20">
            <v>785</v>
          </cell>
        </row>
        <row r="21">
          <cell r="J21">
            <v>225</v>
          </cell>
          <cell r="K21">
            <v>280</v>
          </cell>
          <cell r="L21">
            <v>365</v>
          </cell>
          <cell r="M21">
            <v>450</v>
          </cell>
          <cell r="N21">
            <v>500</v>
          </cell>
          <cell r="O21">
            <v>500</v>
          </cell>
          <cell r="P21">
            <v>500</v>
          </cell>
        </row>
        <row r="22">
          <cell r="J22">
            <v>210000</v>
          </cell>
          <cell r="K22">
            <v>210000</v>
          </cell>
          <cell r="L22">
            <v>200000</v>
          </cell>
          <cell r="M22">
            <v>190000</v>
          </cell>
          <cell r="N22">
            <v>190000</v>
          </cell>
          <cell r="O22">
            <v>190000</v>
          </cell>
          <cell r="P22">
            <v>190000</v>
          </cell>
        </row>
      </sheetData>
      <sheetData sheetId="2" refreshError="1"/>
      <sheetData sheetId="3">
        <row r="17">
          <cell r="J17">
            <v>1</v>
          </cell>
        </row>
      </sheetData>
      <sheetData sheetId="4" refreshError="1"/>
      <sheetData sheetId="5">
        <row r="2">
          <cell r="BF2" t="str">
            <v>ALL</v>
          </cell>
        </row>
      </sheetData>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abSelected="1" topLeftCell="A61" workbookViewId="0">
      <selection activeCell="F67" sqref="F67"/>
    </sheetView>
  </sheetViews>
  <sheetFormatPr defaultRowHeight="15"/>
  <cols>
    <col min="1" max="1" width="41.140625" style="36" bestFit="1" customWidth="1"/>
    <col min="2" max="2" width="17.42578125" style="36" customWidth="1"/>
    <col min="3" max="3" width="9.140625" style="36"/>
    <col min="4" max="4" width="12.5703125" style="36" bestFit="1" customWidth="1"/>
    <col min="5" max="5" width="9.42578125" style="36" bestFit="1" customWidth="1"/>
    <col min="6" max="6" width="11.42578125" style="36" bestFit="1" customWidth="1"/>
    <col min="7" max="7" width="11.42578125" style="237" bestFit="1" customWidth="1"/>
    <col min="8" max="8" width="13.28515625" style="36" bestFit="1" customWidth="1"/>
    <col min="9" max="9" width="9.140625" style="36"/>
    <col min="10" max="10" width="12.140625" style="36" bestFit="1" customWidth="1"/>
    <col min="11" max="16384" width="9.140625" style="36"/>
  </cols>
  <sheetData>
    <row r="1" spans="1:3" ht="16.5">
      <c r="A1" s="36" t="s">
        <v>78</v>
      </c>
      <c r="B1" s="38" t="s">
        <v>79</v>
      </c>
    </row>
    <row r="2" spans="1:3">
      <c r="A2" s="36" t="s">
        <v>0</v>
      </c>
      <c r="B2" s="37" t="s">
        <v>339</v>
      </c>
    </row>
    <row r="3" spans="1:3" ht="16.5">
      <c r="A3" s="36" t="s">
        <v>80</v>
      </c>
      <c r="B3" s="40" t="s">
        <v>81</v>
      </c>
    </row>
    <row r="4" spans="1:3" ht="16.5">
      <c r="A4" s="36" t="s">
        <v>82</v>
      </c>
      <c r="B4" s="40" t="s">
        <v>83</v>
      </c>
    </row>
    <row r="5" spans="1:3" ht="21">
      <c r="A5" s="36" t="s">
        <v>84</v>
      </c>
      <c r="B5" s="38" t="s">
        <v>85</v>
      </c>
    </row>
    <row r="6" spans="1:3">
      <c r="A6" s="36" t="s">
        <v>1</v>
      </c>
      <c r="B6" s="36">
        <v>3</v>
      </c>
      <c r="C6" s="36" t="s">
        <v>4</v>
      </c>
    </row>
    <row r="7" spans="1:3">
      <c r="A7" s="36" t="s">
        <v>2</v>
      </c>
      <c r="B7" s="36">
        <v>435.7</v>
      </c>
      <c r="C7" s="36" t="s">
        <v>3</v>
      </c>
    </row>
    <row r="8" spans="1:3" ht="16.5">
      <c r="A8" s="40" t="s">
        <v>86</v>
      </c>
      <c r="B8" s="36">
        <v>814.3</v>
      </c>
      <c r="C8" s="36" t="s">
        <v>3</v>
      </c>
    </row>
    <row r="9" spans="1:3" ht="16.5">
      <c r="A9" s="40" t="s">
        <v>87</v>
      </c>
      <c r="B9" s="40" t="s">
        <v>88</v>
      </c>
    </row>
    <row r="10" spans="1:3" ht="16.5">
      <c r="A10" s="40" t="s">
        <v>89</v>
      </c>
      <c r="B10" s="40"/>
    </row>
    <row r="11" spans="1:3">
      <c r="A11" s="37" t="s">
        <v>5</v>
      </c>
    </row>
    <row r="12" spans="1:3">
      <c r="A12" s="36" t="s">
        <v>9</v>
      </c>
      <c r="B12" s="36">
        <v>2.85</v>
      </c>
      <c r="C12" s="36" t="s">
        <v>6</v>
      </c>
    </row>
    <row r="13" spans="1:3">
      <c r="A13" s="36" t="s">
        <v>8</v>
      </c>
      <c r="B13" s="36">
        <v>3.6</v>
      </c>
      <c r="C13" s="36" t="s">
        <v>6</v>
      </c>
    </row>
    <row r="14" spans="1:3">
      <c r="A14" s="36" t="s">
        <v>7</v>
      </c>
      <c r="B14" s="36">
        <v>6.45</v>
      </c>
      <c r="C14" s="36" t="s">
        <v>6</v>
      </c>
    </row>
    <row r="15" spans="1:3">
      <c r="A15" s="36" t="s">
        <v>10</v>
      </c>
      <c r="B15" s="36">
        <v>13.35</v>
      </c>
      <c r="C15" s="36" t="s">
        <v>6</v>
      </c>
    </row>
    <row r="16" spans="1:3">
      <c r="A16" s="36" t="s">
        <v>11</v>
      </c>
      <c r="B16" s="36">
        <f>B15</f>
        <v>13.35</v>
      </c>
      <c r="C16" s="36" t="s">
        <v>6</v>
      </c>
    </row>
    <row r="17" spans="1:7">
      <c r="A17" s="36" t="s">
        <v>90</v>
      </c>
      <c r="B17" s="36">
        <v>3.6</v>
      </c>
      <c r="C17" s="36" t="s">
        <v>6</v>
      </c>
    </row>
    <row r="18" spans="1:7">
      <c r="A18" s="36" t="s">
        <v>91</v>
      </c>
      <c r="B18" s="36">
        <v>3.6</v>
      </c>
      <c r="C18" s="36" t="s">
        <v>6</v>
      </c>
    </row>
    <row r="19" spans="1:7">
      <c r="A19" s="36" t="s">
        <v>92</v>
      </c>
      <c r="B19" s="36">
        <v>3.3</v>
      </c>
      <c r="C19" s="36" t="s">
        <v>6</v>
      </c>
    </row>
    <row r="20" spans="1:7">
      <c r="A20" s="37" t="s">
        <v>93</v>
      </c>
    </row>
    <row r="21" spans="1:7">
      <c r="A21" s="36" t="s">
        <v>94</v>
      </c>
      <c r="B21" s="36" t="s">
        <v>95</v>
      </c>
      <c r="C21" s="36">
        <v>25</v>
      </c>
    </row>
    <row r="22" spans="1:7" ht="16.5">
      <c r="A22" s="40" t="s">
        <v>96</v>
      </c>
      <c r="B22" s="36">
        <v>14.5</v>
      </c>
      <c r="C22" s="36" t="s">
        <v>104</v>
      </c>
      <c r="D22" s="36">
        <f>B22*10</f>
        <v>145</v>
      </c>
    </row>
    <row r="23" spans="1:7" ht="16.5">
      <c r="A23" s="40" t="s">
        <v>97</v>
      </c>
      <c r="B23" s="36">
        <v>1.05</v>
      </c>
      <c r="C23" s="36" t="s">
        <v>104</v>
      </c>
      <c r="D23" s="36">
        <f>B23*10</f>
        <v>10.5</v>
      </c>
    </row>
    <row r="24" spans="1:7" ht="16.5">
      <c r="A24" s="40" t="s">
        <v>98</v>
      </c>
      <c r="B24" s="36">
        <v>30000</v>
      </c>
      <c r="C24" s="36" t="s">
        <v>104</v>
      </c>
    </row>
    <row r="25" spans="1:7">
      <c r="A25" s="37" t="s">
        <v>99</v>
      </c>
    </row>
    <row r="26" spans="1:7">
      <c r="A26" s="36" t="s">
        <v>100</v>
      </c>
      <c r="B26" s="36" t="s">
        <v>198</v>
      </c>
      <c r="F26" s="36" t="s">
        <v>101</v>
      </c>
    </row>
    <row r="27" spans="1:7" ht="16.5">
      <c r="A27" s="40" t="s">
        <v>102</v>
      </c>
      <c r="B27" s="36">
        <v>225</v>
      </c>
      <c r="C27" s="36" t="s">
        <v>104</v>
      </c>
      <c r="D27" s="36">
        <f>B27*10</f>
        <v>2250</v>
      </c>
      <c r="F27" s="36">
        <v>260</v>
      </c>
      <c r="G27" s="237" t="s">
        <v>104</v>
      </c>
    </row>
    <row r="28" spans="1:7" ht="16.5">
      <c r="A28" s="40" t="s">
        <v>103</v>
      </c>
      <c r="B28" s="36">
        <v>175</v>
      </c>
      <c r="C28" s="36" t="s">
        <v>104</v>
      </c>
      <c r="D28" s="36">
        <f>B28*10</f>
        <v>1750</v>
      </c>
      <c r="F28" s="36">
        <v>210</v>
      </c>
      <c r="G28" s="237" t="s">
        <v>104</v>
      </c>
    </row>
    <row r="29" spans="1:7" ht="16.5">
      <c r="A29" s="40" t="s">
        <v>98</v>
      </c>
      <c r="B29" s="36">
        <v>210000</v>
      </c>
      <c r="C29" s="36" t="s">
        <v>104</v>
      </c>
      <c r="F29" s="36">
        <v>200000</v>
      </c>
      <c r="G29" s="237" t="s">
        <v>104</v>
      </c>
    </row>
    <row r="30" spans="1:7">
      <c r="A30" s="36" t="s">
        <v>100</v>
      </c>
      <c r="B30" s="36" t="s">
        <v>199</v>
      </c>
      <c r="F30" s="36" t="s">
        <v>105</v>
      </c>
    </row>
    <row r="31" spans="1:7" ht="16.5">
      <c r="A31" s="40" t="s">
        <v>102</v>
      </c>
      <c r="B31" s="36">
        <v>280</v>
      </c>
      <c r="C31" s="36" t="s">
        <v>104</v>
      </c>
      <c r="D31" s="36">
        <f>B31*10</f>
        <v>2800</v>
      </c>
      <c r="F31" s="36">
        <v>260</v>
      </c>
      <c r="G31" s="237" t="s">
        <v>104</v>
      </c>
    </row>
    <row r="32" spans="1:7" ht="16.5">
      <c r="A32" s="40" t="s">
        <v>103</v>
      </c>
      <c r="B32" s="36">
        <v>225</v>
      </c>
      <c r="C32" s="36" t="s">
        <v>104</v>
      </c>
      <c r="F32" s="36">
        <v>210</v>
      </c>
      <c r="G32" s="237" t="s">
        <v>104</v>
      </c>
    </row>
    <row r="33" spans="1:9" ht="16.5">
      <c r="A33" s="40" t="s">
        <v>98</v>
      </c>
      <c r="B33" s="36">
        <v>210000</v>
      </c>
      <c r="C33" s="36" t="s">
        <v>104</v>
      </c>
      <c r="F33" s="36">
        <v>200000</v>
      </c>
      <c r="G33" s="237" t="s">
        <v>104</v>
      </c>
    </row>
    <row r="34" spans="1:9">
      <c r="A34" s="36" t="s">
        <v>100</v>
      </c>
      <c r="B34" s="36" t="s">
        <v>200</v>
      </c>
      <c r="F34" s="36" t="s">
        <v>106</v>
      </c>
    </row>
    <row r="35" spans="1:9" ht="16.5">
      <c r="A35" s="40" t="s">
        <v>102</v>
      </c>
      <c r="B35" s="36">
        <v>365</v>
      </c>
      <c r="C35" s="36" t="s">
        <v>104</v>
      </c>
      <c r="F35" s="36">
        <v>350</v>
      </c>
      <c r="G35" s="237" t="s">
        <v>104</v>
      </c>
    </row>
    <row r="36" spans="1:9" ht="16.5">
      <c r="A36" s="40" t="s">
        <v>103</v>
      </c>
      <c r="B36" s="36">
        <v>290</v>
      </c>
      <c r="C36" s="36" t="s">
        <v>104</v>
      </c>
      <c r="F36" s="36">
        <v>280</v>
      </c>
      <c r="G36" s="237" t="s">
        <v>104</v>
      </c>
    </row>
    <row r="37" spans="1:9" ht="16.5">
      <c r="A37" s="40" t="s">
        <v>98</v>
      </c>
      <c r="B37" s="36">
        <v>210000</v>
      </c>
      <c r="C37" s="36" t="s">
        <v>104</v>
      </c>
      <c r="F37" s="36">
        <v>200000</v>
      </c>
      <c r="G37" s="237" t="s">
        <v>104</v>
      </c>
    </row>
    <row r="38" spans="1:9">
      <c r="A38" s="37" t="s">
        <v>127</v>
      </c>
    </row>
    <row r="39" spans="1:9">
      <c r="A39" s="37" t="s">
        <v>128</v>
      </c>
    </row>
    <row r="40" spans="1:9">
      <c r="A40" s="36" t="s">
        <v>130</v>
      </c>
      <c r="B40" s="36">
        <v>4000</v>
      </c>
    </row>
    <row r="41" spans="1:9">
      <c r="A41" s="36" t="s">
        <v>131</v>
      </c>
      <c r="B41" s="36">
        <v>6000</v>
      </c>
    </row>
    <row r="42" spans="1:9">
      <c r="A42" s="36" t="s">
        <v>129</v>
      </c>
      <c r="B42" s="168" t="str">
        <f>B40/1000 &amp; "m x " &amp;B41/1000&amp;"m"</f>
        <v>4m x 6m</v>
      </c>
    </row>
    <row r="43" spans="1:9">
      <c r="A43" s="36" t="s">
        <v>170</v>
      </c>
      <c r="B43" s="36">
        <v>1.2</v>
      </c>
    </row>
    <row r="44" spans="1:9">
      <c r="A44" s="36" t="s">
        <v>6</v>
      </c>
      <c r="B44" s="36">
        <v>45</v>
      </c>
    </row>
    <row r="45" spans="1:9">
      <c r="A45" s="36" t="s">
        <v>171</v>
      </c>
      <c r="B45" s="36">
        <f>ROUNDUP(B43/B44*B40,0)</f>
        <v>107</v>
      </c>
      <c r="C45" s="36" t="s">
        <v>172</v>
      </c>
      <c r="D45" s="37" t="s">
        <v>184</v>
      </c>
      <c r="E45" s="359">
        <v>100</v>
      </c>
      <c r="F45" s="37" t="s">
        <v>185</v>
      </c>
      <c r="G45" s="468">
        <v>20</v>
      </c>
      <c r="H45" s="37" t="s">
        <v>186</v>
      </c>
      <c r="I45" s="37">
        <f>E45-G45</f>
        <v>80</v>
      </c>
    </row>
    <row r="46" spans="1:9" ht="16.5">
      <c r="A46" s="54" t="s">
        <v>173</v>
      </c>
      <c r="E46" s="36">
        <f>E45/10</f>
        <v>10</v>
      </c>
      <c r="G46" s="237">
        <f>G45/10</f>
        <v>2</v>
      </c>
      <c r="I46" s="36">
        <f>I45/10</f>
        <v>8</v>
      </c>
    </row>
    <row r="47" spans="1:9" ht="16.5">
      <c r="A47" s="55" t="s">
        <v>174</v>
      </c>
      <c r="E47" s="36">
        <f>E45/1000</f>
        <v>0.1</v>
      </c>
    </row>
    <row r="48" spans="1:9">
      <c r="A48" s="36" t="s">
        <v>175</v>
      </c>
      <c r="B48" s="36">
        <f>ROUNDUP($B$41/D48,0)</f>
        <v>600</v>
      </c>
      <c r="C48" s="36" t="s">
        <v>172</v>
      </c>
      <c r="D48" s="36">
        <v>10</v>
      </c>
    </row>
    <row r="49" spans="1:4">
      <c r="A49" s="36" t="s">
        <v>176</v>
      </c>
      <c r="B49" s="36">
        <f>ROUNDUP($B$41/D49,0)</f>
        <v>400</v>
      </c>
      <c r="C49" s="36" t="s">
        <v>172</v>
      </c>
      <c r="D49" s="36">
        <v>15</v>
      </c>
    </row>
    <row r="50" spans="1:4">
      <c r="A50" s="36" t="s">
        <v>177</v>
      </c>
      <c r="B50" s="37">
        <v>350</v>
      </c>
      <c r="C50" s="36" t="s">
        <v>172</v>
      </c>
      <c r="D50" s="36" t="s">
        <v>655</v>
      </c>
    </row>
    <row r="51" spans="1:4">
      <c r="A51" s="36" t="s">
        <v>178</v>
      </c>
      <c r="B51" s="36">
        <f>ROUNDUP($B$50/D51,0)</f>
        <v>175</v>
      </c>
      <c r="C51" s="36" t="s">
        <v>172</v>
      </c>
      <c r="D51" s="36">
        <v>2</v>
      </c>
    </row>
    <row r="52" spans="1:4">
      <c r="A52" s="36" t="s">
        <v>179</v>
      </c>
      <c r="B52" s="36">
        <f>ROUNDUP($B$50/D52,0)</f>
        <v>117</v>
      </c>
      <c r="C52" s="36" t="s">
        <v>172</v>
      </c>
      <c r="D52" s="36">
        <v>3</v>
      </c>
    </row>
    <row r="53" spans="1:4">
      <c r="A53" s="36" t="s">
        <v>180</v>
      </c>
      <c r="B53" s="37">
        <v>200</v>
      </c>
      <c r="C53" s="36" t="s">
        <v>172</v>
      </c>
    </row>
    <row r="54" spans="1:4">
      <c r="A54" s="36" t="s">
        <v>181</v>
      </c>
      <c r="B54" s="168" t="str">
        <f>B53/1000 &amp; "m x " &amp;B50/1000&amp;"m"</f>
        <v>0,2m x 0,35m</v>
      </c>
    </row>
    <row r="55" spans="1:4" ht="16.5">
      <c r="A55" s="55" t="s">
        <v>182</v>
      </c>
    </row>
    <row r="56" spans="1:4">
      <c r="A56" s="36" t="s">
        <v>175</v>
      </c>
      <c r="B56" s="36">
        <f>ROUNDUP($B$41/D56,0)</f>
        <v>400</v>
      </c>
      <c r="C56" s="36" t="s">
        <v>172</v>
      </c>
      <c r="D56" s="36">
        <v>15</v>
      </c>
    </row>
    <row r="57" spans="1:4">
      <c r="A57" s="36" t="s">
        <v>176</v>
      </c>
      <c r="B57" s="36">
        <f>ROUNDUP($B$41/D57,0)</f>
        <v>300</v>
      </c>
      <c r="C57" s="36" t="s">
        <v>172</v>
      </c>
      <c r="D57" s="36">
        <v>20</v>
      </c>
    </row>
    <row r="58" spans="1:4">
      <c r="A58" s="36" t="s">
        <v>177</v>
      </c>
      <c r="B58" s="37">
        <v>350</v>
      </c>
      <c r="C58" s="36" t="s">
        <v>172</v>
      </c>
      <c r="D58" s="36">
        <v>0</v>
      </c>
    </row>
    <row r="59" spans="1:4">
      <c r="A59" s="36" t="s">
        <v>178</v>
      </c>
      <c r="B59" s="36">
        <f>ROUNDUP($B$50/D59,0)</f>
        <v>175</v>
      </c>
      <c r="C59" s="36" t="s">
        <v>172</v>
      </c>
      <c r="D59" s="36">
        <v>2</v>
      </c>
    </row>
    <row r="60" spans="1:4">
      <c r="A60" s="36" t="s">
        <v>179</v>
      </c>
      <c r="B60" s="36">
        <f>ROUNDUP($B$50/D60,0)</f>
        <v>117</v>
      </c>
      <c r="C60" s="36" t="s">
        <v>172</v>
      </c>
      <c r="D60" s="36">
        <v>3</v>
      </c>
    </row>
    <row r="61" spans="1:4">
      <c r="A61" s="36" t="s">
        <v>180</v>
      </c>
      <c r="B61" s="37">
        <v>200</v>
      </c>
      <c r="C61" s="36" t="s">
        <v>172</v>
      </c>
    </row>
    <row r="62" spans="1:4">
      <c r="A62" s="36" t="s">
        <v>183</v>
      </c>
      <c r="B62" s="168" t="str">
        <f>B61/1000 &amp; "m x " &amp;B58/1000&amp;"m"</f>
        <v>0,2m x 0,35m</v>
      </c>
    </row>
    <row r="63" spans="1:4" ht="16.5">
      <c r="A63" s="55" t="s">
        <v>187</v>
      </c>
    </row>
    <row r="64" spans="1:4">
      <c r="A64" s="37" t="s">
        <v>188</v>
      </c>
    </row>
    <row r="65" spans="1:5">
      <c r="A65" s="36" t="s">
        <v>192</v>
      </c>
      <c r="B65" s="36" t="str">
        <f>'TINH TOAN'!T2</f>
        <v>S11</v>
      </c>
    </row>
    <row r="66" spans="1:5">
      <c r="A66" s="36" t="s">
        <v>190</v>
      </c>
      <c r="B66" s="36">
        <f>'TINH TOAN'!R2</f>
        <v>700</v>
      </c>
      <c r="C66" s="36" t="s">
        <v>172</v>
      </c>
      <c r="D66" s="36">
        <f>B66/1000</f>
        <v>0.7</v>
      </c>
    </row>
    <row r="67" spans="1:5">
      <c r="A67" s="36" t="s">
        <v>189</v>
      </c>
      <c r="B67" s="36">
        <f>'TINH TOAN'!S2</f>
        <v>4200</v>
      </c>
      <c r="C67" s="36" t="s">
        <v>172</v>
      </c>
      <c r="D67" s="36">
        <f>B67/1000</f>
        <v>4.2</v>
      </c>
    </row>
    <row r="68" spans="1:5">
      <c r="A68" s="36" t="s">
        <v>191</v>
      </c>
      <c r="B68" s="56">
        <f>'TINH TOAN'!Q2</f>
        <v>6</v>
      </c>
    </row>
    <row r="69" spans="1:5">
      <c r="A69" s="36" t="s">
        <v>326</v>
      </c>
      <c r="B69" s="239">
        <f>VLOOKUP(TH!B65,'tải sàn'!$B$5:$D$18,3,0)</f>
        <v>476</v>
      </c>
    </row>
    <row r="70" spans="1:5">
      <c r="A70" s="36" t="s">
        <v>327</v>
      </c>
      <c r="B70" s="239">
        <f>VLOOKUP(TH!B65,'tải sàn'!$B$5:$D$18,2,0)</f>
        <v>359.99999999999994</v>
      </c>
    </row>
    <row r="71" spans="1:5">
      <c r="A71" s="36" t="s">
        <v>328</v>
      </c>
      <c r="B71" s="165">
        <f>(B69+B70)*D66^2/24</f>
        <v>17.068333333333332</v>
      </c>
      <c r="C71" s="36" t="s">
        <v>329</v>
      </c>
    </row>
    <row r="72" spans="1:5">
      <c r="A72" s="36" t="s">
        <v>330</v>
      </c>
      <c r="B72" s="165">
        <f>(B69+B70)*D66^2/12</f>
        <v>34.136666666666663</v>
      </c>
      <c r="C72" s="36" t="s">
        <v>329</v>
      </c>
      <c r="E72" s="37" t="s">
        <v>336</v>
      </c>
    </row>
    <row r="73" spans="1:5">
      <c r="A73" s="36" t="s">
        <v>331</v>
      </c>
      <c r="B73" s="572">
        <f>B72/(B22*1*(I45/100)^2)/10</f>
        <v>0.36785201149425278</v>
      </c>
    </row>
    <row r="74" spans="1:5">
      <c r="A74" s="36" t="s">
        <v>332</v>
      </c>
      <c r="B74" s="164">
        <f>(1-SQRT(1-2*B73))</f>
        <v>0.48590275529672944</v>
      </c>
      <c r="C74" s="36" t="s">
        <v>333</v>
      </c>
      <c r="D74" s="166">
        <f>B73/B74</f>
        <v>0.75704862235163528</v>
      </c>
    </row>
    <row r="75" spans="1:5">
      <c r="A75" s="36" t="s">
        <v>281</v>
      </c>
      <c r="B75" s="287">
        <f>B74*D74*$B$22*100*$E$100/$B$27</f>
        <v>18.964814814814808</v>
      </c>
      <c r="C75" s="36" t="s">
        <v>476</v>
      </c>
      <c r="D75" s="286">
        <f>'thepsan 1p'!N11</f>
        <v>5.2333333333333334</v>
      </c>
      <c r="E75" s="288" t="str">
        <f>'thepsan 1p'!P11</f>
        <v>Ø10a150</v>
      </c>
    </row>
    <row r="76" spans="1:5">
      <c r="A76" s="36" t="s">
        <v>335</v>
      </c>
      <c r="B76" s="167">
        <f>'thepsan 1p'!M12</f>
        <v>150</v>
      </c>
      <c r="C76" s="36" t="s">
        <v>477</v>
      </c>
      <c r="D76" s="126">
        <f>D75/(100*E100)*100</f>
        <v>0.65416666666666667</v>
      </c>
    </row>
    <row r="77" spans="1:5">
      <c r="A77" s="36" t="s">
        <v>334</v>
      </c>
      <c r="B77" s="167">
        <f>B67/B76+1</f>
        <v>29</v>
      </c>
    </row>
    <row r="78" spans="1:5">
      <c r="A78" s="37" t="s">
        <v>337</v>
      </c>
    </row>
    <row r="79" spans="1:5">
      <c r="A79" s="36" t="s">
        <v>328</v>
      </c>
      <c r="B79" s="165">
        <f>(B69+B70)*D66^2/24</f>
        <v>17.068333333333332</v>
      </c>
      <c r="C79" s="36" t="s">
        <v>329</v>
      </c>
    </row>
    <row r="80" spans="1:5">
      <c r="A80" s="36" t="s">
        <v>330</v>
      </c>
      <c r="B80" s="165">
        <f>(B69+B70)*D66^2/12</f>
        <v>34.136666666666663</v>
      </c>
      <c r="C80" s="36" t="s">
        <v>329</v>
      </c>
    </row>
    <row r="81" spans="1:9">
      <c r="A81" s="36" t="s">
        <v>331</v>
      </c>
      <c r="B81" s="164">
        <f>B71/(B22*1*(I45/100)^2)/10</f>
        <v>0.18392600574712639</v>
      </c>
    </row>
    <row r="82" spans="1:9">
      <c r="A82" s="36" t="s">
        <v>332</v>
      </c>
      <c r="B82" s="164">
        <f>(1-SQRT(1-2*B81))</f>
        <v>0.20492265250118757</v>
      </c>
      <c r="C82" s="36" t="s">
        <v>333</v>
      </c>
      <c r="D82" s="166">
        <f>B81/B82</f>
        <v>0.89753867374940643</v>
      </c>
    </row>
    <row r="83" spans="1:9">
      <c r="A83" s="36" t="s">
        <v>281</v>
      </c>
      <c r="B83" s="287">
        <f>B82*D82*$B$22*100*$E$100/$B$27</f>
        <v>9.4824074074074041</v>
      </c>
      <c r="C83" s="36" t="s">
        <v>476</v>
      </c>
      <c r="D83" s="286">
        <f>'thepsan 1p'!N12</f>
        <v>5.2333333333333334</v>
      </c>
      <c r="E83" s="286" t="str">
        <f>'thepsan 1p'!P12</f>
        <v>Ø10a150</v>
      </c>
      <c r="F83" s="286"/>
      <c r="H83" s="286"/>
      <c r="I83" s="286"/>
    </row>
    <row r="84" spans="1:9">
      <c r="A84" s="36" t="s">
        <v>335</v>
      </c>
      <c r="B84" s="167">
        <f>'thepsan 1p'!M11</f>
        <v>150</v>
      </c>
      <c r="C84" s="36" t="s">
        <v>477</v>
      </c>
      <c r="D84" s="126">
        <f>D83/(100*$E$100)*100</f>
        <v>0.65416666666666667</v>
      </c>
    </row>
    <row r="85" spans="1:9">
      <c r="A85" s="36" t="s">
        <v>338</v>
      </c>
      <c r="B85" s="167">
        <f>B67/B84+1</f>
        <v>29</v>
      </c>
    </row>
    <row r="86" spans="1:9">
      <c r="A86" s="37" t="s">
        <v>469</v>
      </c>
    </row>
    <row r="87" spans="1:9">
      <c r="A87" s="36" t="s">
        <v>192</v>
      </c>
      <c r="B87" s="36" t="s">
        <v>122</v>
      </c>
    </row>
    <row r="88" spans="1:9">
      <c r="A88" s="36" t="s">
        <v>190</v>
      </c>
      <c r="B88" s="36">
        <f>VLOOKUP(B87,'tải sàn'!$B$5:$H$16,4,0)*1000</f>
        <v>3800</v>
      </c>
      <c r="C88" s="36" t="s">
        <v>172</v>
      </c>
      <c r="D88" s="36">
        <f>B88/1000</f>
        <v>3.8</v>
      </c>
    </row>
    <row r="89" spans="1:9">
      <c r="A89" s="36" t="s">
        <v>189</v>
      </c>
      <c r="B89" s="36">
        <f>VLOOKUP(B87,'tải sàn'!$B$5:$H$16,5,0)*1000</f>
        <v>3800</v>
      </c>
      <c r="C89" s="36" t="s">
        <v>172</v>
      </c>
      <c r="D89" s="36">
        <f>B89/1000</f>
        <v>3.8</v>
      </c>
    </row>
    <row r="90" spans="1:9">
      <c r="A90" s="36" t="s">
        <v>191</v>
      </c>
      <c r="B90" s="56">
        <f>ROUND(B89/B88,2)</f>
        <v>1</v>
      </c>
    </row>
    <row r="91" spans="1:9">
      <c r="A91" s="36" t="s">
        <v>326</v>
      </c>
      <c r="B91" s="36">
        <f>VLOOKUP(B87,'tải sàn'!$B$5:$H$16,3,0)</f>
        <v>476</v>
      </c>
      <c r="C91" s="36">
        <f>B91/100</f>
        <v>4.76</v>
      </c>
    </row>
    <row r="92" spans="1:9">
      <c r="A92" s="36" t="s">
        <v>327</v>
      </c>
      <c r="B92" s="36">
        <f>VLOOKUP(B87,'tải sàn'!$B$5:$H$16,2,0)</f>
        <v>359.99999999999994</v>
      </c>
      <c r="C92" s="36">
        <f>B92/100</f>
        <v>3.5999999999999996</v>
      </c>
    </row>
    <row r="93" spans="1:9">
      <c r="A93" s="36" t="s">
        <v>241</v>
      </c>
      <c r="B93" s="36">
        <f>B91+B92</f>
        <v>836</v>
      </c>
      <c r="C93" s="36">
        <f>B93/100</f>
        <v>8.36</v>
      </c>
    </row>
    <row r="94" spans="1:9">
      <c r="A94" s="36" t="s">
        <v>474</v>
      </c>
      <c r="B94" s="237">
        <f>C93*D89*D88</f>
        <v>120.71839999999999</v>
      </c>
    </row>
    <row r="95" spans="1:9">
      <c r="A95" s="36" t="s">
        <v>456</v>
      </c>
      <c r="B95" s="237">
        <f>momensan!C2</f>
        <v>9</v>
      </c>
    </row>
    <row r="96" spans="1:9">
      <c r="A96" s="36" t="s">
        <v>384</v>
      </c>
      <c r="B96" s="238">
        <f>VLOOKUP($B$90,'du lieu'!$D$18:$BF$118,HLOOKUP($B$95,'du lieu'!$D$130:$BF$131,2))</f>
        <v>1.7899999999999999E-2</v>
      </c>
    </row>
    <row r="97" spans="1:5">
      <c r="A97" s="36" t="s">
        <v>385</v>
      </c>
      <c r="B97" s="238">
        <f>VLOOKUP($B$90,'du lieu'!$D$18:$BF$118,HLOOKUP($B$95,'du lieu'!$D$133:$BF$134,2))</f>
        <v>1.7899999999999999E-2</v>
      </c>
    </row>
    <row r="98" spans="1:5">
      <c r="A98" s="36" t="s">
        <v>386</v>
      </c>
      <c r="B98" s="238">
        <f>VLOOKUP($B$90,'du lieu'!$D$18:$BF$118,HLOOKUP($B$95,'du lieu'!$D$136:$BF$137,2))</f>
        <v>4.1700000000000001E-2</v>
      </c>
    </row>
    <row r="99" spans="1:5">
      <c r="A99" s="36" t="s">
        <v>387</v>
      </c>
      <c r="B99" s="238">
        <f>VLOOKUP($B$90,'du lieu'!$D$18:$BF$118,HLOOKUP($B$95,'du lieu'!$D$139:$BF$140,2))</f>
        <v>4.1700000000000001E-2</v>
      </c>
    </row>
    <row r="100" spans="1:5">
      <c r="A100" s="36" t="s">
        <v>470</v>
      </c>
      <c r="B100" s="239">
        <f>B96*$B$94*100</f>
        <v>216.085936</v>
      </c>
      <c r="C100" s="285">
        <f>B100*100</f>
        <v>21608.5936</v>
      </c>
      <c r="D100" s="36">
        <f>B22*10</f>
        <v>145</v>
      </c>
      <c r="E100" s="36">
        <f>I45/10</f>
        <v>8</v>
      </c>
    </row>
    <row r="101" spans="1:5">
      <c r="A101" s="36" t="s">
        <v>471</v>
      </c>
      <c r="B101" s="239">
        <f>B97*$B$94*100</f>
        <v>216.085936</v>
      </c>
    </row>
    <row r="102" spans="1:5">
      <c r="A102" s="36" t="s">
        <v>472</v>
      </c>
      <c r="B102" s="239">
        <f>B98*$B$94*100</f>
        <v>503.39572799999991</v>
      </c>
      <c r="C102" s="285">
        <f>B102*100</f>
        <v>50339.572799999987</v>
      </c>
    </row>
    <row r="103" spans="1:5">
      <c r="A103" s="36" t="s">
        <v>473</v>
      </c>
      <c r="B103" s="239">
        <f>B99*$B$94*100</f>
        <v>503.39572799999991</v>
      </c>
      <c r="C103" s="36" t="s">
        <v>329</v>
      </c>
      <c r="E103" s="346" t="s">
        <v>336</v>
      </c>
    </row>
    <row r="104" spans="1:5">
      <c r="A104" s="36" t="s">
        <v>331</v>
      </c>
      <c r="B104" s="164">
        <f>C100/(D100*100*E100*E100)</f>
        <v>2.3285122413793102E-2</v>
      </c>
    </row>
    <row r="105" spans="1:5">
      <c r="A105" s="36" t="s">
        <v>332</v>
      </c>
      <c r="B105" s="164">
        <f>(1-SQRT(1-2*B104))</f>
        <v>2.3562723380342376E-2</v>
      </c>
      <c r="C105" s="36" t="s">
        <v>333</v>
      </c>
      <c r="D105" s="166">
        <f>B104/B105</f>
        <v>0.98821863830982848</v>
      </c>
    </row>
    <row r="106" spans="1:5">
      <c r="A106" s="36" t="s">
        <v>281</v>
      </c>
      <c r="B106" s="287">
        <f>B105*D105*$B$22*100*$E$100/$B$27</f>
        <v>1.2004774222222221</v>
      </c>
      <c r="C106" s="36" t="s">
        <v>476</v>
      </c>
      <c r="D106" s="286">
        <f>thepsan!N35</f>
        <v>2.5150000000000001</v>
      </c>
      <c r="E106" s="286" t="str">
        <f>thepsan!P35</f>
        <v>Ø8a200</v>
      </c>
    </row>
    <row r="107" spans="1:5">
      <c r="A107" s="36" t="s">
        <v>335</v>
      </c>
      <c r="B107" s="167">
        <f>thepsan!M35</f>
        <v>200</v>
      </c>
      <c r="C107" s="36" t="s">
        <v>477</v>
      </c>
      <c r="D107" s="126">
        <f>D106/(100*$E$100)*100</f>
        <v>0.31437500000000002</v>
      </c>
    </row>
    <row r="108" spans="1:5">
      <c r="A108" s="36" t="s">
        <v>334</v>
      </c>
      <c r="B108" s="167">
        <f>B88/B107+1</f>
        <v>20</v>
      </c>
      <c r="C108" s="36" t="s">
        <v>475</v>
      </c>
      <c r="D108" s="36">
        <f>B27</f>
        <v>225</v>
      </c>
    </row>
    <row r="109" spans="1:5">
      <c r="A109" s="37" t="s">
        <v>337</v>
      </c>
    </row>
    <row r="110" spans="1:5">
      <c r="A110" s="36" t="s">
        <v>331</v>
      </c>
      <c r="B110" s="164">
        <f>C102/($D$100*100*$E$100*$E$100)</f>
        <v>5.4245229310344811E-2</v>
      </c>
    </row>
    <row r="111" spans="1:5">
      <c r="A111" s="36" t="s">
        <v>332</v>
      </c>
      <c r="B111" s="164">
        <f>(1-SQRT(1-2*B110))</f>
        <v>5.5802170422262432E-2</v>
      </c>
      <c r="C111" s="36" t="s">
        <v>333</v>
      </c>
      <c r="D111" s="166">
        <f>B110/B111</f>
        <v>0.97209891478886856</v>
      </c>
    </row>
    <row r="112" spans="1:5">
      <c r="A112" s="36" t="s">
        <v>281</v>
      </c>
      <c r="B112" s="287">
        <f>B111*D111*$B$22*100*$E$100/$B$27</f>
        <v>2.7966429333333327</v>
      </c>
      <c r="C112" s="36" t="s">
        <v>476</v>
      </c>
      <c r="D112" s="286">
        <f>thepsan!N41</f>
        <v>3.9249999999999998</v>
      </c>
      <c r="E112" s="286" t="str">
        <f>thepsan!P41</f>
        <v>Ø10a200</v>
      </c>
    </row>
    <row r="113" spans="1:8">
      <c r="A113" s="36" t="s">
        <v>335</v>
      </c>
      <c r="B113" s="167">
        <f>thepsan!M41</f>
        <v>200</v>
      </c>
      <c r="C113" s="36" t="s">
        <v>477</v>
      </c>
      <c r="D113" s="126">
        <f>D112/(100*$E$100)*100</f>
        <v>0.49062499999999998</v>
      </c>
    </row>
    <row r="114" spans="1:8">
      <c r="A114" s="36" t="s">
        <v>334</v>
      </c>
      <c r="B114" s="167">
        <f>$B$88/B113+1</f>
        <v>20</v>
      </c>
      <c r="C114" s="36" t="s">
        <v>475</v>
      </c>
      <c r="D114" s="36">
        <f>B33</f>
        <v>210000</v>
      </c>
    </row>
    <row r="115" spans="1:8">
      <c r="A115" s="37" t="s">
        <v>484</v>
      </c>
    </row>
    <row r="116" spans="1:8">
      <c r="A116" s="36" t="s">
        <v>485</v>
      </c>
      <c r="B116" s="36">
        <v>23</v>
      </c>
    </row>
    <row r="117" spans="1:8">
      <c r="A117" s="36" t="s">
        <v>486</v>
      </c>
      <c r="B117" s="36">
        <f>B18</f>
        <v>3.6</v>
      </c>
    </row>
    <row r="118" spans="1:8">
      <c r="A118" s="36" t="s">
        <v>487</v>
      </c>
      <c r="B118" s="288">
        <f>B117*1000/B116</f>
        <v>156.52173913043478</v>
      </c>
      <c r="C118" s="36" t="s">
        <v>275</v>
      </c>
      <c r="D118" s="36">
        <v>150</v>
      </c>
    </row>
    <row r="119" spans="1:8">
      <c r="A119" s="36" t="s">
        <v>488</v>
      </c>
      <c r="B119" s="36">
        <v>300</v>
      </c>
    </row>
    <row r="120" spans="1:8">
      <c r="A120" s="36" t="s">
        <v>489</v>
      </c>
      <c r="B120" s="237">
        <f>B118/B119</f>
        <v>0.52173913043478259</v>
      </c>
      <c r="C120" s="36" t="s">
        <v>490</v>
      </c>
      <c r="D120" s="348">
        <f>ATAN(B120)*180/PI()</f>
        <v>27.552811576717797</v>
      </c>
      <c r="F120" s="349">
        <f>TAN(D120*PI()/180)</f>
        <v>0.52173913043478259</v>
      </c>
    </row>
    <row r="121" spans="1:8">
      <c r="A121" s="36" t="s">
        <v>491</v>
      </c>
      <c r="B121" s="36">
        <v>100</v>
      </c>
      <c r="C121" s="36" t="s">
        <v>172</v>
      </c>
      <c r="D121" s="36">
        <f>B121/10</f>
        <v>10</v>
      </c>
      <c r="E121" s="36" t="s">
        <v>543</v>
      </c>
      <c r="F121" s="36">
        <v>1.5</v>
      </c>
      <c r="G121" s="237" t="s">
        <v>544</v>
      </c>
      <c r="H121" s="36">
        <f>+D121-F121</f>
        <v>8.5</v>
      </c>
    </row>
    <row r="122" spans="1:8">
      <c r="A122" s="36" t="s">
        <v>492</v>
      </c>
      <c r="B122" s="357">
        <f>B123+B124</f>
        <v>3.9</v>
      </c>
      <c r="C122" s="36" t="s">
        <v>172</v>
      </c>
    </row>
    <row r="123" spans="1:8">
      <c r="A123" s="36" t="s">
        <v>113</v>
      </c>
      <c r="B123" s="357">
        <v>1.4</v>
      </c>
    </row>
    <row r="124" spans="1:8">
      <c r="A124" s="36" t="s">
        <v>114</v>
      </c>
      <c r="B124" s="357">
        <v>2.5</v>
      </c>
    </row>
    <row r="125" spans="1:8">
      <c r="A125" s="36" t="s">
        <v>493</v>
      </c>
      <c r="B125" s="357">
        <v>3.8</v>
      </c>
    </row>
    <row r="126" spans="1:8">
      <c r="A126" s="36" t="s">
        <v>494</v>
      </c>
      <c r="B126" s="357">
        <v>1.2</v>
      </c>
    </row>
    <row r="127" spans="1:8">
      <c r="A127" s="36" t="s">
        <v>495</v>
      </c>
      <c r="B127" s="36">
        <f>B122/10</f>
        <v>0.39</v>
      </c>
      <c r="C127" s="239">
        <f>+B122*1000/13</f>
        <v>300</v>
      </c>
    </row>
    <row r="128" spans="1:8">
      <c r="A128" s="36" t="s">
        <v>496</v>
      </c>
      <c r="B128" s="36">
        <v>300</v>
      </c>
      <c r="C128" s="286">
        <f>B128/1000</f>
        <v>0.3</v>
      </c>
    </row>
    <row r="129" spans="1:8">
      <c r="A129" s="36" t="s">
        <v>497</v>
      </c>
      <c r="B129" s="36">
        <f>+B128/2</f>
        <v>150</v>
      </c>
      <c r="C129" s="36">
        <f>+B128/3</f>
        <v>100</v>
      </c>
      <c r="D129" s="36" t="s">
        <v>275</v>
      </c>
      <c r="E129" s="36">
        <v>200</v>
      </c>
      <c r="F129" s="358">
        <f>E129/1000</f>
        <v>0.2</v>
      </c>
    </row>
    <row r="130" spans="1:8">
      <c r="A130" s="36" t="s">
        <v>498</v>
      </c>
      <c r="B130" s="347">
        <f>+($D$118+$B$119)/1000*C130*$F$130/0.3</f>
        <v>2.6597545384963641E-2</v>
      </c>
      <c r="C130" s="36">
        <v>0.02</v>
      </c>
      <c r="E130" s="37" t="s">
        <v>503</v>
      </c>
      <c r="F130" s="350">
        <f>COS(D120*PI()/180)</f>
        <v>0.88658484616545463</v>
      </c>
      <c r="G130" s="237">
        <f>tinhtai_san!F59</f>
        <v>2400</v>
      </c>
      <c r="H130" s="36">
        <f>tinhtai_san!G59</f>
        <v>1.2</v>
      </c>
    </row>
    <row r="131" spans="1:8">
      <c r="A131" s="36" t="s">
        <v>499</v>
      </c>
      <c r="B131" s="347">
        <f>+($D$118+$B$119)/1000*C131*$F$130/0.3</f>
        <v>1.994815903872273E-2</v>
      </c>
      <c r="C131" s="36">
        <v>1.4999999999999999E-2</v>
      </c>
      <c r="G131" s="237">
        <f>tinhtai_san!F63</f>
        <v>1800</v>
      </c>
      <c r="H131" s="36">
        <f>tinhtai_san!G60</f>
        <v>1.3</v>
      </c>
    </row>
    <row r="132" spans="1:8">
      <c r="A132" s="36" t="s">
        <v>500</v>
      </c>
      <c r="B132" s="347">
        <f>+($D$118+$B$119)/1000*C132*$F$130/0.3</f>
        <v>2.6597545384963641E-2</v>
      </c>
      <c r="C132" s="36">
        <v>0.02</v>
      </c>
    </row>
    <row r="133" spans="1:8">
      <c r="A133" s="36" t="s">
        <v>501</v>
      </c>
      <c r="B133" s="347">
        <f>+($D$118+$B$119)/1000*C133*$F$130/0.3</f>
        <v>0.13298772692481819</v>
      </c>
      <c r="C133" s="36">
        <f>B121/1000</f>
        <v>0.1</v>
      </c>
      <c r="G133" s="237">
        <f>tinhtai_san!F62</f>
        <v>2500</v>
      </c>
      <c r="H133" s="36">
        <f>tinhtai_san!G62</f>
        <v>1.1000000000000001</v>
      </c>
    </row>
    <row r="134" spans="1:8">
      <c r="A134" s="36" t="s">
        <v>502</v>
      </c>
      <c r="B134" s="347">
        <f>C134*$F$130/2</f>
        <v>6.6493863462409097E-2</v>
      </c>
      <c r="C134" s="36">
        <f>D118/1000</f>
        <v>0.15</v>
      </c>
      <c r="G134" s="237">
        <f>tinhtai_san!F61</f>
        <v>1800</v>
      </c>
      <c r="H134" s="36">
        <f>tinhtai_san!G61</f>
        <v>1.2</v>
      </c>
    </row>
    <row r="135" spans="1:8">
      <c r="A135" s="36" t="s">
        <v>504</v>
      </c>
      <c r="B135" s="239">
        <f>B130*G130*H130+(B131+B132)*G131*H131+B133*G133*H133+B134*G134*H134</f>
        <v>694.86087318217506</v>
      </c>
      <c r="C135" s="36" t="s">
        <v>507</v>
      </c>
    </row>
    <row r="136" spans="1:8">
      <c r="A136" s="36" t="s">
        <v>504</v>
      </c>
      <c r="B136" s="239">
        <f>B135/F130</f>
        <v>783.75</v>
      </c>
    </row>
    <row r="137" spans="1:8">
      <c r="A137" s="37" t="s">
        <v>505</v>
      </c>
    </row>
    <row r="138" spans="1:8">
      <c r="A138" s="36" t="s">
        <v>506</v>
      </c>
      <c r="B138" s="288">
        <f>C130*G130*H130+(C131+C132)*G131*H131+C133*G133*H133</f>
        <v>414.5</v>
      </c>
      <c r="C138" s="36" t="s">
        <v>507</v>
      </c>
    </row>
    <row r="139" spans="1:8">
      <c r="A139" s="36" t="s">
        <v>537</v>
      </c>
      <c r="B139" s="288">
        <f>B138+360</f>
        <v>774.5</v>
      </c>
    </row>
    <row r="140" spans="1:8">
      <c r="A140" s="36" t="s">
        <v>538</v>
      </c>
      <c r="B140" s="285">
        <f>B136+30+360</f>
        <v>1173.75</v>
      </c>
    </row>
    <row r="141" spans="1:8">
      <c r="A141" s="37" t="s">
        <v>548</v>
      </c>
    </row>
    <row r="142" spans="1:8">
      <c r="A142" s="36" t="s">
        <v>539</v>
      </c>
      <c r="B142" s="239">
        <f>(B140/F130*B124*(B123+B124/2)+B139*B123^2/2)/(B123+B124)</f>
        <v>2443.55125829495</v>
      </c>
    </row>
    <row r="143" spans="1:8">
      <c r="A143" s="36" t="s">
        <v>540</v>
      </c>
      <c r="B143" s="239">
        <f>B140/F130*B124+B139*B123-B142</f>
        <v>1950.4996501391274</v>
      </c>
    </row>
    <row r="144" spans="1:8">
      <c r="A144" s="36" t="s">
        <v>541</v>
      </c>
      <c r="B144" s="358">
        <f>B142*F130/B140</f>
        <v>1.8457214197510809</v>
      </c>
      <c r="C144" s="36" t="s">
        <v>6</v>
      </c>
    </row>
    <row r="145" spans="1:15">
      <c r="A145" s="36" t="s">
        <v>542</v>
      </c>
      <c r="B145" s="239">
        <f>B142*F130*B144-B140*B144^2/2</f>
        <v>1999.2997613805883</v>
      </c>
      <c r="D145" s="36" t="s">
        <v>545</v>
      </c>
      <c r="E145" s="36" t="s">
        <v>543</v>
      </c>
      <c r="F145" s="36" t="s">
        <v>546</v>
      </c>
      <c r="G145" s="237" t="s">
        <v>547</v>
      </c>
    </row>
    <row r="146" spans="1:15" ht="15.75">
      <c r="A146" s="36" t="s">
        <v>328</v>
      </c>
      <c r="B146" s="285">
        <f>0.7*B145</f>
        <v>1399.5098329664118</v>
      </c>
      <c r="C146" s="36" t="s">
        <v>545</v>
      </c>
      <c r="D146" s="166">
        <f>B146*100/($B$22*10*100*$H$121^2)</f>
        <v>0.13358881593761238</v>
      </c>
      <c r="E146" s="166">
        <f>1-SQRT(1-2*D146)</f>
        <v>0.14394955281550426</v>
      </c>
      <c r="F146" s="166">
        <f>E146*$B$22*10*100*$H$121/($B$31*10)</f>
        <v>6.3363508516110363</v>
      </c>
      <c r="G146" s="469">
        <v>12</v>
      </c>
      <c r="H146" s="295">
        <v>150</v>
      </c>
      <c r="I146" s="298">
        <f>VLOOKUP(J146,'tra thep'!$E$11:$F$62,2,)</f>
        <v>7.54</v>
      </c>
      <c r="J146" s="36" t="str">
        <f>"Ø"&amp;G146&amp;"a"&amp;H146</f>
        <v>Ø12a150</v>
      </c>
    </row>
    <row r="147" spans="1:15" ht="15.75">
      <c r="A147" s="36" t="s">
        <v>330</v>
      </c>
      <c r="B147" s="285">
        <f>0.4*B145</f>
        <v>799.71990455223533</v>
      </c>
      <c r="C147" s="36" t="s">
        <v>545</v>
      </c>
      <c r="D147" s="166">
        <f>B147*100/($B$22*10*100*$H$121^2)</f>
        <v>7.6336466250064225E-2</v>
      </c>
      <c r="E147" s="166">
        <f>1-SQRT(1-2*D147)</f>
        <v>7.9496296857056947E-2</v>
      </c>
      <c r="F147" s="166">
        <f>E147*$B$22*10*100*$H$121/($B$31*10)</f>
        <v>3.4992566384400958</v>
      </c>
      <c r="G147" s="469">
        <v>12</v>
      </c>
      <c r="H147" s="295">
        <v>200</v>
      </c>
      <c r="I147" s="298">
        <f>VLOOKUP(J147,'tra thep'!$E$11:$F$62,2,)</f>
        <v>5.65</v>
      </c>
      <c r="J147" s="36" t="str">
        <f>"Ø"&amp;G147&amp;"a"&amp;H147</f>
        <v>Ø12a200</v>
      </c>
    </row>
    <row r="148" spans="1:15">
      <c r="A148" s="37" t="s">
        <v>550</v>
      </c>
    </row>
    <row r="149" spans="1:15">
      <c r="A149" s="36" t="s">
        <v>113</v>
      </c>
      <c r="B149" s="361">
        <f>B123</f>
        <v>1.4</v>
      </c>
      <c r="C149" s="36" t="s">
        <v>6</v>
      </c>
      <c r="D149" s="36" t="s">
        <v>551</v>
      </c>
      <c r="E149" s="36">
        <f>B150*F130</f>
        <v>1.2</v>
      </c>
      <c r="F149" s="36">
        <v>0.9</v>
      </c>
      <c r="G149" s="237">
        <v>1</v>
      </c>
      <c r="L149" s="36">
        <v>0.9</v>
      </c>
      <c r="M149" s="36">
        <v>1</v>
      </c>
      <c r="N149" s="36">
        <v>1.2</v>
      </c>
      <c r="O149" s="36">
        <v>1.5</v>
      </c>
    </row>
    <row r="150" spans="1:15">
      <c r="A150" s="36" t="s">
        <v>114</v>
      </c>
      <c r="B150" s="358">
        <f>B126/F130</f>
        <v>1.3535083587206449</v>
      </c>
      <c r="C150" s="36" t="s">
        <v>6</v>
      </c>
      <c r="D150" s="347">
        <f>B150/B149</f>
        <v>0.96679168480046074</v>
      </c>
      <c r="E150" s="36" t="s">
        <v>552</v>
      </c>
      <c r="F150" s="36">
        <v>7.11E-3</v>
      </c>
      <c r="G150" s="237">
        <v>7.79E-3</v>
      </c>
      <c r="H150" s="362">
        <f>(D$151-F$149)/($G$149-$F$149)*(G150-F150)+F150</f>
        <v>7.5641834566431334E-3</v>
      </c>
      <c r="L150" s="36">
        <v>7.11E-3</v>
      </c>
      <c r="M150" s="36">
        <v>7.79E-3</v>
      </c>
      <c r="N150" s="36">
        <v>8.9200000000000008E-3</v>
      </c>
      <c r="O150" s="360">
        <v>1.0160000000000001E-2</v>
      </c>
    </row>
    <row r="151" spans="1:15">
      <c r="A151" s="36" t="s">
        <v>470</v>
      </c>
      <c r="B151" s="286">
        <f>H151*$B$140*$F$130*B149^2</f>
        <v>40.24696834791731</v>
      </c>
      <c r="C151" s="36" t="s">
        <v>558</v>
      </c>
      <c r="D151" s="347">
        <f>D150</f>
        <v>0.96679168480046074</v>
      </c>
      <c r="E151" s="37" t="s">
        <v>553</v>
      </c>
      <c r="F151" s="37">
        <v>2.0199999999999999E-2</v>
      </c>
      <c r="G151" s="468">
        <v>1.95E-2</v>
      </c>
      <c r="H151" s="363">
        <f>(D$151-F$149)/($G$149-$F$149)*(G151-F151)+F151</f>
        <v>1.9732458206396776E-2</v>
      </c>
      <c r="L151" s="36">
        <v>2.0199999999999999E-2</v>
      </c>
      <c r="M151" s="36">
        <v>1.95E-2</v>
      </c>
      <c r="N151" s="36">
        <v>1.7899999999999999E-2</v>
      </c>
      <c r="O151" s="360">
        <v>1.4200000000000001E-2</v>
      </c>
    </row>
    <row r="152" spans="1:15">
      <c r="A152" s="36" t="s">
        <v>471</v>
      </c>
      <c r="B152" s="286">
        <f>H152*$B$140*$F$130*B150^2</f>
        <v>135.94322832627157</v>
      </c>
      <c r="C152" s="36" t="s">
        <v>558</v>
      </c>
      <c r="D152" s="36">
        <f>1.678/1.3</f>
        <v>1.2907692307692307</v>
      </c>
      <c r="E152" s="37" t="s">
        <v>554</v>
      </c>
      <c r="F152" s="37">
        <v>6.6900000000000001E-2</v>
      </c>
      <c r="G152" s="468">
        <v>7.3499999999999996E-2</v>
      </c>
      <c r="H152" s="363">
        <f>(D$151-F$149)/($G$149-$F$149)*(G152-F152)+F152</f>
        <v>7.1308251196830402E-2</v>
      </c>
      <c r="L152" s="36">
        <v>6.6900000000000001E-2</v>
      </c>
      <c r="M152" s="36">
        <v>7.3499999999999996E-2</v>
      </c>
      <c r="N152" s="36">
        <v>8.5599999999999996E-2</v>
      </c>
      <c r="O152" s="360">
        <v>9.7100000000000006E-2</v>
      </c>
    </row>
    <row r="153" spans="1:15">
      <c r="B153" s="286"/>
      <c r="E153" s="36" t="s">
        <v>555</v>
      </c>
      <c r="F153" s="36">
        <v>1.0840000000000001E-2</v>
      </c>
      <c r="G153" s="237">
        <v>1.158E-2</v>
      </c>
      <c r="H153" s="362">
        <f>(D$151-F$149)/($G$149-$F$149)*(G153-F153)+F153</f>
        <v>1.1334258467523409E-2</v>
      </c>
      <c r="L153" s="36">
        <v>1.0840000000000001E-2</v>
      </c>
      <c r="M153" s="36">
        <v>1.158E-2</v>
      </c>
      <c r="N153" s="36">
        <v>1.2489999999999999E-2</v>
      </c>
      <c r="O153" s="360">
        <v>1.316E-2</v>
      </c>
    </row>
    <row r="154" spans="1:15">
      <c r="A154" s="36" t="s">
        <v>557</v>
      </c>
      <c r="B154" s="286">
        <f>H154*$B$140*$F$130*B150^2</f>
        <v>206.73602023976619</v>
      </c>
      <c r="C154" s="36" t="s">
        <v>558</v>
      </c>
      <c r="E154" s="37" t="s">
        <v>556</v>
      </c>
      <c r="F154" s="37">
        <v>0.1037</v>
      </c>
      <c r="G154" s="468">
        <v>0.1108</v>
      </c>
      <c r="H154" s="363">
        <f>(D$151-F$149)/($G$149-$F$149)*(G154-F154)+F154</f>
        <v>0.1084422096208327</v>
      </c>
      <c r="L154" s="36">
        <v>0.1037</v>
      </c>
      <c r="M154" s="36">
        <v>0.1108</v>
      </c>
      <c r="N154" s="36">
        <v>0.1201</v>
      </c>
      <c r="O154" s="360">
        <v>0.12640000000000001</v>
      </c>
    </row>
    <row r="155" spans="1:15" ht="15.75">
      <c r="A155" s="36" t="s">
        <v>559</v>
      </c>
      <c r="B155" s="285">
        <f>B152</f>
        <v>135.94322832627157</v>
      </c>
      <c r="C155" s="36" t="s">
        <v>545</v>
      </c>
      <c r="D155" s="166">
        <f>B155*100/($B$22*10*100*$H$121^2)</f>
        <v>1.29763253383865E-2</v>
      </c>
      <c r="E155" s="166">
        <f>1-SQRT(1-2*D155)</f>
        <v>1.3061628406703885E-2</v>
      </c>
      <c r="F155" s="166">
        <f>E155*$B$22*10*100*$H$121/($B$31*10)</f>
        <v>0.57494489325937637</v>
      </c>
      <c r="G155" s="469">
        <v>6</v>
      </c>
      <c r="H155" s="295">
        <v>200</v>
      </c>
      <c r="I155" s="298">
        <f>VLOOKUP(J155,'tra thep'!$E$11:$F$62,2,)</f>
        <v>1.41</v>
      </c>
      <c r="J155" s="36" t="str">
        <f>"Ø"&amp;G155&amp;"a"&amp;H155</f>
        <v>Ø6a200</v>
      </c>
    </row>
    <row r="156" spans="1:15" ht="15.75">
      <c r="A156" s="36" t="s">
        <v>559</v>
      </c>
      <c r="B156" s="285">
        <f>B154</f>
        <v>206.73602023976619</v>
      </c>
      <c r="C156" s="36" t="s">
        <v>545</v>
      </c>
      <c r="D156" s="166">
        <f>B156*100/($B$22*10*100*$H$121^2)</f>
        <v>1.9733780717314516E-2</v>
      </c>
      <c r="E156" s="166">
        <f>1-SQRT(1-2*D156)</f>
        <v>1.9932431632710856E-2</v>
      </c>
      <c r="F156" s="166">
        <f>E156*$B$22*10*100*$H$121/($B$31*10)</f>
        <v>0.8773829281184331</v>
      </c>
      <c r="G156" s="469">
        <v>6</v>
      </c>
      <c r="H156" s="295">
        <v>200</v>
      </c>
      <c r="I156" s="298">
        <f>VLOOKUP(J156,'tra thep'!$E$11:$F$62,2,)</f>
        <v>1.41</v>
      </c>
      <c r="J156" s="36" t="str">
        <f>"Ø"&amp;G156&amp;"a"&amp;H156</f>
        <v>Ø6a200</v>
      </c>
    </row>
    <row r="157" spans="1:15">
      <c r="A157" s="37" t="s">
        <v>560</v>
      </c>
      <c r="B157" s="37" t="s">
        <v>563</v>
      </c>
    </row>
    <row r="158" spans="1:15">
      <c r="A158" s="36" t="s">
        <v>561</v>
      </c>
      <c r="B158" s="167">
        <f>$F$129*($C$128-$E$47)*1.1*2500</f>
        <v>110.00000000000001</v>
      </c>
    </row>
    <row r="159" spans="1:15">
      <c r="A159" s="36" t="s">
        <v>562</v>
      </c>
      <c r="B159" s="167">
        <f>0.2*($B$18-1.36)*1.1*1800</f>
        <v>887.04000000000019</v>
      </c>
    </row>
    <row r="160" spans="1:15">
      <c r="A160" s="36" t="s">
        <v>537</v>
      </c>
      <c r="B160" s="167">
        <f>B158+B159+$B$143</f>
        <v>2947.5396501391278</v>
      </c>
    </row>
    <row r="161" spans="1:10">
      <c r="A161" s="37" t="s">
        <v>560</v>
      </c>
      <c r="B161" s="364" t="s">
        <v>564</v>
      </c>
    </row>
    <row r="162" spans="1:10">
      <c r="A162" s="36" t="s">
        <v>561</v>
      </c>
      <c r="B162" s="167">
        <f>$F$129*($C$128-$E$47)*1.1*2500/F130</f>
        <v>124.07159954939247</v>
      </c>
      <c r="J162" s="36">
        <f>1-2*0.51</f>
        <v>-2.0000000000000018E-2</v>
      </c>
    </row>
    <row r="163" spans="1:10">
      <c r="A163" s="36" t="s">
        <v>562</v>
      </c>
      <c r="B163" s="167">
        <f>0.2*($B$18-F168)*1.1*1800/$F$130</f>
        <v>821.8502754151757</v>
      </c>
    </row>
    <row r="164" spans="1:10">
      <c r="A164" s="36" t="s">
        <v>566</v>
      </c>
      <c r="B164" s="167">
        <f>B140*B149/F130</f>
        <v>1853.4605087230832</v>
      </c>
    </row>
    <row r="165" spans="1:10">
      <c r="A165" s="36" t="s">
        <v>538</v>
      </c>
      <c r="B165" s="167">
        <f>B162+B163+B164</f>
        <v>2799.3823836876513</v>
      </c>
    </row>
    <row r="166" spans="1:10">
      <c r="A166" s="37" t="s">
        <v>560</v>
      </c>
      <c r="B166" s="364" t="s">
        <v>565</v>
      </c>
    </row>
    <row r="167" spans="1:10">
      <c r="A167" s="36" t="s">
        <v>561</v>
      </c>
      <c r="B167" s="167">
        <f>$F$129*($C$128-$E$47)*1.1*2500</f>
        <v>110.00000000000001</v>
      </c>
    </row>
    <row r="168" spans="1:10">
      <c r="A168" s="36" t="s">
        <v>562</v>
      </c>
      <c r="B168" s="167">
        <f>0.2*($B$18-2.16)*1.1*1800</f>
        <v>570.24</v>
      </c>
      <c r="D168" s="36">
        <v>3.6</v>
      </c>
      <c r="E168" s="36">
        <v>1.36</v>
      </c>
      <c r="F168" s="36">
        <f>+(E168+E169)/2</f>
        <v>1.7600000000000002</v>
      </c>
    </row>
    <row r="169" spans="1:10">
      <c r="A169" s="36" t="s">
        <v>567</v>
      </c>
      <c r="B169" s="167">
        <f>B167+B168+$B$143</f>
        <v>2630.7396501391277</v>
      </c>
      <c r="E169" s="36">
        <v>2.16</v>
      </c>
    </row>
    <row r="170" spans="1:10">
      <c r="A170" s="36" t="s">
        <v>549</v>
      </c>
      <c r="B170" s="365">
        <f>((B160*B149^2/2)+B165*E149/F130*(E149/2+B149)+B169*B149*(B149+E149+B149/2))/(B149+E149+B149)</f>
        <v>5655.1452379830589</v>
      </c>
    </row>
    <row r="171" spans="1:10">
      <c r="A171" s="36" t="s">
        <v>539</v>
      </c>
      <c r="B171" s="365">
        <f>B160*B149+B165*E149/F130+B169*B149-B170</f>
        <v>5943.4332379830576</v>
      </c>
      <c r="C171" s="37" t="s">
        <v>568</v>
      </c>
      <c r="D171" s="37">
        <f>E129/10</f>
        <v>20</v>
      </c>
      <c r="E171" s="37" t="s">
        <v>569</v>
      </c>
      <c r="F171" s="37">
        <f>B128/10</f>
        <v>30</v>
      </c>
      <c r="G171" s="468" t="s">
        <v>185</v>
      </c>
      <c r="H171" s="37">
        <v>3</v>
      </c>
      <c r="I171" s="37" t="s">
        <v>186</v>
      </c>
      <c r="J171" s="37">
        <f>+F171-H171</f>
        <v>27</v>
      </c>
    </row>
    <row r="172" spans="1:10">
      <c r="A172" s="36" t="s">
        <v>541</v>
      </c>
      <c r="B172" s="366">
        <f>(B171-B160*B149)*F130/B165+B149</f>
        <v>1.9754184459325881</v>
      </c>
      <c r="C172" s="36" t="s">
        <v>6</v>
      </c>
      <c r="D172" s="36" t="s">
        <v>545</v>
      </c>
      <c r="E172" s="36" t="s">
        <v>543</v>
      </c>
      <c r="F172" s="36" t="s">
        <v>546</v>
      </c>
      <c r="G172" s="237" t="s">
        <v>547</v>
      </c>
    </row>
    <row r="173" spans="1:10" ht="15.75">
      <c r="A173" s="36" t="s">
        <v>542</v>
      </c>
      <c r="B173" s="368">
        <f>B171*B172-B160*B149*(B172-B149/2)-B165*(B172-B149)^2/2/F130</f>
        <v>5954.9501553266673</v>
      </c>
      <c r="C173" s="36" t="s">
        <v>545</v>
      </c>
      <c r="D173" s="166">
        <f>B173*100/($B$22*10*D171*J171^2)</f>
        <v>0.28167778985509989</v>
      </c>
      <c r="E173" s="166">
        <f>1-SQRT(1-2*D173)</f>
        <v>0.3392092462134475</v>
      </c>
      <c r="F173" s="166">
        <f>E173*$B$22*10*D171*J171/($B$31*10)</f>
        <v>9.485744278040336</v>
      </c>
      <c r="G173" s="469">
        <v>4</v>
      </c>
      <c r="H173" s="295">
        <v>18</v>
      </c>
      <c r="I173" s="298">
        <f>G173*VLOOKUP(H173,'tra thep'!$R$9:$S$17,2,0)</f>
        <v>10.178760197630931</v>
      </c>
      <c r="J173" s="36" t="str">
        <f>G173&amp;"Ø"&amp;H173</f>
        <v>4Ø18</v>
      </c>
    </row>
    <row r="174" spans="1:10">
      <c r="A174" s="37" t="s">
        <v>571</v>
      </c>
      <c r="B174" s="367"/>
    </row>
    <row r="175" spans="1:10" ht="15.75">
      <c r="A175" s="36" t="s">
        <v>266</v>
      </c>
      <c r="B175" s="36">
        <v>6</v>
      </c>
      <c r="C175" s="36" t="str">
        <f>"Ø"&amp;B175</f>
        <v>Ø6</v>
      </c>
      <c r="D175" s="369">
        <f>VLOOKUP(B175,'tra thep'!$R$9:$S$17,2,0)</f>
        <v>0.28274333882308139</v>
      </c>
    </row>
    <row r="176" spans="1:10">
      <c r="A176" s="36" t="s">
        <v>18</v>
      </c>
      <c r="B176" s="36">
        <v>2</v>
      </c>
    </row>
    <row r="177" spans="1:9">
      <c r="A177" s="36" t="s">
        <v>477</v>
      </c>
      <c r="B177" s="36">
        <v>15</v>
      </c>
      <c r="C177" s="36" t="s">
        <v>172</v>
      </c>
    </row>
    <row r="178" spans="1:9">
      <c r="A178" s="36" t="s">
        <v>572</v>
      </c>
      <c r="B178" s="288">
        <f>SQRT(8*$D$23*$D$171*$J$171^2*D28*2*D175/B177)</f>
        <v>8988.826310970433</v>
      </c>
    </row>
    <row r="179" spans="1:9">
      <c r="A179" s="37" t="s">
        <v>587</v>
      </c>
    </row>
    <row r="180" spans="1:9">
      <c r="A180" s="36" t="s">
        <v>656</v>
      </c>
      <c r="B180" s="36">
        <v>5.5</v>
      </c>
      <c r="C180" s="36" t="s">
        <v>6</v>
      </c>
    </row>
    <row r="181" spans="1:9">
      <c r="A181" s="36" t="s">
        <v>657</v>
      </c>
      <c r="B181" s="36">
        <v>3</v>
      </c>
      <c r="C181" s="36" t="s">
        <v>6</v>
      </c>
      <c r="H181" s="166"/>
      <c r="I181" s="166"/>
    </row>
    <row r="182" spans="1:9">
      <c r="A182" s="36" t="s">
        <v>658</v>
      </c>
      <c r="B182" s="37">
        <f>+B180/2+B181/2</f>
        <v>4.25</v>
      </c>
      <c r="C182" s="36" t="s">
        <v>6</v>
      </c>
      <c r="H182" s="166"/>
      <c r="I182" s="166"/>
    </row>
    <row r="183" spans="1:9">
      <c r="A183" s="36" t="s">
        <v>113</v>
      </c>
      <c r="B183" s="36">
        <v>2</v>
      </c>
      <c r="C183" s="36" t="s">
        <v>6</v>
      </c>
      <c r="H183" s="166"/>
      <c r="I183" s="166"/>
    </row>
    <row r="184" spans="1:9">
      <c r="A184" s="36" t="s">
        <v>114</v>
      </c>
      <c r="B184" s="36">
        <v>4</v>
      </c>
      <c r="C184" s="36" t="s">
        <v>6</v>
      </c>
    </row>
    <row r="185" spans="1:9">
      <c r="A185" s="36" t="s">
        <v>244</v>
      </c>
      <c r="B185" s="37">
        <f>+B183/2+B184/2</f>
        <v>3</v>
      </c>
      <c r="C185" s="36" t="s">
        <v>6</v>
      </c>
      <c r="D185" s="37">
        <f>B185+B182</f>
        <v>7.25</v>
      </c>
    </row>
    <row r="186" spans="1:9">
      <c r="A186" s="36" t="s">
        <v>659</v>
      </c>
      <c r="B186" s="286">
        <f>(B184+B183)/2*B182</f>
        <v>12.75</v>
      </c>
      <c r="C186" s="36" t="s">
        <v>3</v>
      </c>
    </row>
    <row r="187" spans="1:9">
      <c r="A187" s="36" t="s">
        <v>660</v>
      </c>
      <c r="B187" s="239">
        <f>B186*(D187+E187)</f>
        <v>10659</v>
      </c>
      <c r="C187" s="36" t="s">
        <v>604</v>
      </c>
      <c r="D187" s="36">
        <f>B91</f>
        <v>476</v>
      </c>
      <c r="E187" s="36">
        <f>B92</f>
        <v>359.99999999999994</v>
      </c>
    </row>
    <row r="188" spans="1:9">
      <c r="A188" s="36" t="s">
        <v>661</v>
      </c>
      <c r="B188" s="36">
        <f>B50/1000</f>
        <v>0.35</v>
      </c>
      <c r="C188" s="36">
        <f>B53/1000</f>
        <v>0.2</v>
      </c>
    </row>
    <row r="189" spans="1:9">
      <c r="A189" s="36" t="s">
        <v>561</v>
      </c>
      <c r="B189" s="239">
        <f>1.1*2500*C188*B188*D185</f>
        <v>1395.625</v>
      </c>
      <c r="C189" s="36" t="s">
        <v>604</v>
      </c>
    </row>
    <row r="190" spans="1:9">
      <c r="A190" s="36" t="s">
        <v>662</v>
      </c>
      <c r="B190" s="286">
        <f>D185/2</f>
        <v>3.625</v>
      </c>
      <c r="C190" s="36" t="s">
        <v>6</v>
      </c>
    </row>
    <row r="191" spans="1:9">
      <c r="A191" s="36" t="s">
        <v>562</v>
      </c>
      <c r="B191" s="239">
        <f>1.1*0.1*1800*B190*3.6</f>
        <v>2583.9000000000005</v>
      </c>
      <c r="C191" s="36" t="s">
        <v>604</v>
      </c>
    </row>
    <row r="192" spans="1:9">
      <c r="A192" s="36" t="s">
        <v>663</v>
      </c>
      <c r="B192" s="36">
        <v>20</v>
      </c>
      <c r="C192" s="36">
        <v>20</v>
      </c>
      <c r="D192" s="36">
        <f>B192/100</f>
        <v>0.2</v>
      </c>
      <c r="E192" s="36">
        <f>C192/100</f>
        <v>0.2</v>
      </c>
    </row>
    <row r="193" spans="1:5">
      <c r="A193" s="36" t="s">
        <v>664</v>
      </c>
      <c r="B193" s="36">
        <f>1.1*2500*D192*E192*3.6</f>
        <v>396</v>
      </c>
      <c r="C193" s="36" t="s">
        <v>604</v>
      </c>
    </row>
    <row r="194" spans="1:5">
      <c r="A194" s="36" t="s">
        <v>1</v>
      </c>
      <c r="B194" s="36">
        <v>2</v>
      </c>
    </row>
    <row r="195" spans="1:5">
      <c r="A195" s="36" t="s">
        <v>665</v>
      </c>
      <c r="B195" s="285">
        <f>(B187+B189+B191+B193)*B194</f>
        <v>30069.050000000003</v>
      </c>
    </row>
    <row r="196" spans="1:5">
      <c r="A196" s="36" t="s">
        <v>666</v>
      </c>
      <c r="B196" s="36">
        <f>D22</f>
        <v>145</v>
      </c>
    </row>
    <row r="197" spans="1:5">
      <c r="A197" s="36" t="s">
        <v>643</v>
      </c>
      <c r="B197" s="285">
        <f>B195/B196*E197</f>
        <v>248.84731034482758</v>
      </c>
      <c r="C197" s="36" t="s">
        <v>570</v>
      </c>
      <c r="D197" s="36" t="s">
        <v>667</v>
      </c>
      <c r="E197" s="36">
        <v>1.2</v>
      </c>
    </row>
    <row r="198" spans="1:5">
      <c r="A198" s="36" t="s">
        <v>258</v>
      </c>
      <c r="B198" s="357">
        <f>SQRT(B197)</f>
        <v>15.774894939264337</v>
      </c>
      <c r="C198" s="36" t="s">
        <v>668</v>
      </c>
    </row>
    <row r="199" spans="1:5">
      <c r="A199" s="36" t="s">
        <v>669</v>
      </c>
      <c r="B199" s="36">
        <v>20</v>
      </c>
      <c r="C199" s="36" t="s">
        <v>668</v>
      </c>
    </row>
    <row r="200" spans="1:5">
      <c r="A200" s="36" t="s">
        <v>184</v>
      </c>
      <c r="B200" s="36">
        <v>20</v>
      </c>
      <c r="C200" s="36" t="s">
        <v>668</v>
      </c>
    </row>
    <row r="201" spans="1:5">
      <c r="A201" s="36" t="s">
        <v>643</v>
      </c>
      <c r="B201" s="36">
        <f>B200*B199</f>
        <v>400</v>
      </c>
    </row>
    <row r="202" spans="1:5">
      <c r="A202" s="37" t="s">
        <v>670</v>
      </c>
    </row>
    <row r="203" spans="1:5">
      <c r="A203" s="36" t="s">
        <v>656</v>
      </c>
      <c r="B203" s="36">
        <v>5.5</v>
      </c>
    </row>
    <row r="204" spans="1:5">
      <c r="A204" s="36" t="s">
        <v>657</v>
      </c>
      <c r="B204" s="36">
        <v>3</v>
      </c>
    </row>
    <row r="205" spans="1:5">
      <c r="A205" s="36" t="s">
        <v>658</v>
      </c>
      <c r="B205" s="37">
        <f>+B203/2+B204/2</f>
        <v>4.25</v>
      </c>
    </row>
    <row r="206" spans="1:5">
      <c r="A206" s="36" t="s">
        <v>113</v>
      </c>
      <c r="B206" s="36">
        <v>0</v>
      </c>
    </row>
    <row r="207" spans="1:5">
      <c r="A207" s="36" t="s">
        <v>114</v>
      </c>
      <c r="B207" s="36">
        <v>4</v>
      </c>
    </row>
    <row r="208" spans="1:5">
      <c r="A208" s="36" t="s">
        <v>244</v>
      </c>
      <c r="B208" s="37">
        <f>+B206/2+B207/2</f>
        <v>2</v>
      </c>
      <c r="C208" s="36" t="s">
        <v>6</v>
      </c>
      <c r="D208" s="37">
        <f>B208+B205</f>
        <v>6.25</v>
      </c>
    </row>
    <row r="209" spans="1:5">
      <c r="A209" s="36" t="s">
        <v>659</v>
      </c>
      <c r="B209" s="286">
        <f>(B207+B206)/2*B205</f>
        <v>8.5</v>
      </c>
      <c r="C209" s="36" t="s">
        <v>3</v>
      </c>
    </row>
    <row r="210" spans="1:5">
      <c r="A210" s="36" t="s">
        <v>660</v>
      </c>
      <c r="B210" s="239">
        <f>B209*(D210+E210)</f>
        <v>7106</v>
      </c>
      <c r="C210" s="36" t="s">
        <v>604</v>
      </c>
      <c r="D210" s="36">
        <f>B91</f>
        <v>476</v>
      </c>
      <c r="E210" s="36">
        <f>B92</f>
        <v>359.99999999999994</v>
      </c>
    </row>
    <row r="211" spans="1:5">
      <c r="A211" s="36" t="s">
        <v>661</v>
      </c>
      <c r="B211" s="36">
        <f>B50/1000</f>
        <v>0.35</v>
      </c>
      <c r="C211" s="36">
        <f>B53/1000</f>
        <v>0.2</v>
      </c>
    </row>
    <row r="212" spans="1:5">
      <c r="A212" s="36" t="s">
        <v>561</v>
      </c>
      <c r="B212" s="239">
        <f>1.1*2500*C211*B211*D208</f>
        <v>1203.125</v>
      </c>
      <c r="C212" s="36" t="s">
        <v>604</v>
      </c>
    </row>
    <row r="213" spans="1:5">
      <c r="A213" s="36" t="s">
        <v>662</v>
      </c>
      <c r="B213" s="286">
        <f>(B205/2+B208/2)</f>
        <v>3.125</v>
      </c>
      <c r="C213" s="36" t="s">
        <v>6</v>
      </c>
    </row>
    <row r="214" spans="1:5">
      <c r="A214" s="36" t="s">
        <v>562</v>
      </c>
      <c r="B214" s="239">
        <f>1.1*0.2*1800*B213*3.6</f>
        <v>4455.0000000000009</v>
      </c>
      <c r="C214" s="36" t="s">
        <v>604</v>
      </c>
    </row>
    <row r="215" spans="1:5">
      <c r="A215" s="36" t="s">
        <v>663</v>
      </c>
      <c r="B215" s="36">
        <v>20</v>
      </c>
      <c r="C215" s="36">
        <v>20</v>
      </c>
      <c r="D215" s="36">
        <f>B215/100</f>
        <v>0.2</v>
      </c>
      <c r="E215" s="36">
        <f>C215/100</f>
        <v>0.2</v>
      </c>
    </row>
    <row r="216" spans="1:5">
      <c r="A216" s="36" t="s">
        <v>664</v>
      </c>
      <c r="B216" s="36">
        <f>1.1*2500*D215*E215*3.6</f>
        <v>396</v>
      </c>
      <c r="C216" s="36" t="s">
        <v>604</v>
      </c>
    </row>
    <row r="217" spans="1:5">
      <c r="A217" s="36" t="s">
        <v>1</v>
      </c>
      <c r="B217" s="36">
        <v>2</v>
      </c>
    </row>
    <row r="218" spans="1:5">
      <c r="A218" s="36" t="s">
        <v>665</v>
      </c>
      <c r="B218" s="285">
        <f>(B210+B212+B214+B216)*B217</f>
        <v>26320.25</v>
      </c>
    </row>
    <row r="219" spans="1:5">
      <c r="A219" s="36" t="s">
        <v>666</v>
      </c>
      <c r="B219" s="36">
        <f>D22</f>
        <v>145</v>
      </c>
    </row>
    <row r="220" spans="1:5">
      <c r="A220" s="36" t="s">
        <v>643</v>
      </c>
      <c r="B220" s="285">
        <f>B218/B219*E220</f>
        <v>217.82275862068965</v>
      </c>
      <c r="C220" s="36" t="s">
        <v>570</v>
      </c>
      <c r="D220" s="36" t="s">
        <v>667</v>
      </c>
      <c r="E220" s="36">
        <v>1.2</v>
      </c>
    </row>
    <row r="221" spans="1:5">
      <c r="A221" s="36" t="s">
        <v>258</v>
      </c>
      <c r="B221" s="357">
        <f>SQRT(B220)</f>
        <v>14.758819689280362</v>
      </c>
      <c r="C221" s="36" t="s">
        <v>668</v>
      </c>
    </row>
    <row r="222" spans="1:5">
      <c r="A222" s="36" t="s">
        <v>669</v>
      </c>
      <c r="B222" s="36">
        <v>20</v>
      </c>
      <c r="C222" s="36" t="s">
        <v>668</v>
      </c>
    </row>
    <row r="223" spans="1:5">
      <c r="A223" s="36" t="s">
        <v>184</v>
      </c>
      <c r="B223" s="36">
        <v>20</v>
      </c>
      <c r="C223" s="36" t="s">
        <v>668</v>
      </c>
    </row>
    <row r="224" spans="1:5">
      <c r="A224" s="36" t="s">
        <v>643</v>
      </c>
      <c r="B224" s="36">
        <f>B223*B222</f>
        <v>400</v>
      </c>
    </row>
    <row r="225" spans="1:5">
      <c r="A225" s="36" t="s">
        <v>696</v>
      </c>
    </row>
    <row r="226" spans="1:5">
      <c r="A226" s="36" t="s">
        <v>697</v>
      </c>
      <c r="B226" s="36">
        <v>95</v>
      </c>
    </row>
    <row r="227" spans="1:5">
      <c r="A227" s="36" t="s">
        <v>699</v>
      </c>
      <c r="D227" s="36">
        <f>D228-$B$241</f>
        <v>15</v>
      </c>
      <c r="E227" s="36">
        <f>E228-$B$241</f>
        <v>15</v>
      </c>
    </row>
    <row r="228" spans="1:5">
      <c r="A228" s="36" t="s">
        <v>700</v>
      </c>
      <c r="B228" s="36" t="s">
        <v>701</v>
      </c>
      <c r="C228" s="36" t="s">
        <v>710</v>
      </c>
      <c r="D228" s="36">
        <v>20</v>
      </c>
      <c r="E228" s="36">
        <f>B223</f>
        <v>20</v>
      </c>
    </row>
    <row r="229" spans="1:5">
      <c r="A229" s="36" t="s">
        <v>702</v>
      </c>
      <c r="B229" s="36">
        <f>B12</f>
        <v>2.85</v>
      </c>
      <c r="C229" s="36" t="s">
        <v>6</v>
      </c>
      <c r="D229" s="288">
        <f>B229*100</f>
        <v>285</v>
      </c>
    </row>
    <row r="230" spans="1:5">
      <c r="A230" s="36" t="s">
        <v>492</v>
      </c>
      <c r="B230" s="286">
        <f>0.7*B229</f>
        <v>1.9949999999999999</v>
      </c>
      <c r="C230" s="36" t="s">
        <v>6</v>
      </c>
      <c r="D230" s="288">
        <f>B230*100</f>
        <v>199.5</v>
      </c>
    </row>
    <row r="231" spans="1:5">
      <c r="A231" s="36" t="s">
        <v>703</v>
      </c>
    </row>
    <row r="232" spans="1:5">
      <c r="A232" s="36" t="s">
        <v>704</v>
      </c>
      <c r="B232" s="36">
        <v>36.75</v>
      </c>
      <c r="C232" s="36" t="s">
        <v>707</v>
      </c>
      <c r="D232" s="36">
        <f>B232*1000</f>
        <v>36750</v>
      </c>
    </row>
    <row r="233" spans="1:5">
      <c r="A233" s="36" t="s">
        <v>705</v>
      </c>
      <c r="B233" s="36">
        <v>0.46029999999999999</v>
      </c>
      <c r="C233" s="36" t="s">
        <v>709</v>
      </c>
      <c r="D233" s="36">
        <f t="shared" ref="D233:D240" si="0">B233*1000</f>
        <v>460.3</v>
      </c>
    </row>
    <row r="234" spans="1:5">
      <c r="A234" s="36" t="s">
        <v>542</v>
      </c>
      <c r="B234" s="36">
        <v>0.48</v>
      </c>
      <c r="C234" s="36" t="s">
        <v>709</v>
      </c>
      <c r="D234" s="36">
        <f t="shared" si="0"/>
        <v>480</v>
      </c>
    </row>
    <row r="235" spans="1:5">
      <c r="A235" s="36" t="s">
        <v>706</v>
      </c>
      <c r="B235" s="36">
        <v>8.31</v>
      </c>
      <c r="C235" s="36" t="s">
        <v>707</v>
      </c>
      <c r="D235" s="36">
        <f t="shared" si="0"/>
        <v>8310</v>
      </c>
    </row>
    <row r="236" spans="1:5">
      <c r="A236" s="36" t="s">
        <v>708</v>
      </c>
      <c r="D236" s="36">
        <f t="shared" si="0"/>
        <v>0</v>
      </c>
    </row>
    <row r="237" spans="1:5">
      <c r="A237" s="36" t="s">
        <v>704</v>
      </c>
      <c r="B237" s="36">
        <v>36.75</v>
      </c>
      <c r="C237" s="36" t="s">
        <v>707</v>
      </c>
      <c r="D237" s="36">
        <f t="shared" si="0"/>
        <v>36750</v>
      </c>
    </row>
    <row r="238" spans="1:5">
      <c r="A238" s="36" t="s">
        <v>705</v>
      </c>
      <c r="B238" s="36">
        <v>0.43</v>
      </c>
      <c r="C238" s="36" t="s">
        <v>709</v>
      </c>
      <c r="D238" s="36">
        <f t="shared" si="0"/>
        <v>430</v>
      </c>
    </row>
    <row r="239" spans="1:5">
      <c r="A239" s="36" t="s">
        <v>542</v>
      </c>
      <c r="B239" s="36">
        <v>0.77</v>
      </c>
      <c r="C239" s="36" t="s">
        <v>709</v>
      </c>
      <c r="D239" s="36">
        <f t="shared" si="0"/>
        <v>770</v>
      </c>
    </row>
    <row r="240" spans="1:5">
      <c r="A240" s="36" t="s">
        <v>706</v>
      </c>
      <c r="B240" s="36">
        <v>7.99</v>
      </c>
      <c r="C240" s="36" t="s">
        <v>707</v>
      </c>
      <c r="D240" s="36">
        <f t="shared" si="0"/>
        <v>7990</v>
      </c>
    </row>
    <row r="241" spans="1:10">
      <c r="A241" s="36" t="s">
        <v>543</v>
      </c>
      <c r="B241" s="36">
        <v>5</v>
      </c>
    </row>
    <row r="242" spans="1:10" ht="16.5">
      <c r="A242" s="465" t="s">
        <v>711</v>
      </c>
    </row>
    <row r="243" spans="1:10">
      <c r="A243" s="36" t="s">
        <v>544</v>
      </c>
      <c r="B243" s="36">
        <f>D228-$B$241</f>
        <v>15</v>
      </c>
      <c r="C243" s="36" t="s">
        <v>668</v>
      </c>
    </row>
    <row r="244" spans="1:10">
      <c r="A244" s="36" t="s">
        <v>712</v>
      </c>
      <c r="B244" s="466">
        <f>D230/B245</f>
        <v>34.635416666666671</v>
      </c>
      <c r="C244" s="36" t="s">
        <v>714</v>
      </c>
      <c r="D244" s="36">
        <v>100</v>
      </c>
    </row>
    <row r="245" spans="1:10">
      <c r="A245" s="36" t="s">
        <v>713</v>
      </c>
      <c r="B245" s="36">
        <f>0.288*D228</f>
        <v>5.76</v>
      </c>
    </row>
    <row r="246" spans="1:10">
      <c r="A246" s="36" t="s">
        <v>715</v>
      </c>
      <c r="B246" s="467">
        <f>B233/B232</f>
        <v>1.2525170068027211E-2</v>
      </c>
      <c r="C246" s="286">
        <f>B246*100</f>
        <v>1.2525170068027212</v>
      </c>
    </row>
    <row r="247" spans="1:10">
      <c r="A247" s="36" t="s">
        <v>716</v>
      </c>
      <c r="B247" s="286">
        <f>MAX(C247,D247)</f>
        <v>0.66666666666666663</v>
      </c>
      <c r="C247" s="286">
        <f>+D229/600</f>
        <v>0.47499999999999998</v>
      </c>
      <c r="D247" s="286">
        <f>D228/30</f>
        <v>0.66666666666666663</v>
      </c>
    </row>
    <row r="248" spans="1:10">
      <c r="A248" s="36" t="s">
        <v>717</v>
      </c>
      <c r="B248" s="286">
        <f>MAX(C246,B247)</f>
        <v>1.2525170068027212</v>
      </c>
    </row>
    <row r="249" spans="1:10">
      <c r="A249" s="36" t="s">
        <v>718</v>
      </c>
      <c r="B249" s="286">
        <f>B248+0.5*D228-B241</f>
        <v>6.2525170068027212</v>
      </c>
    </row>
    <row r="250" spans="1:10">
      <c r="A250" s="36" t="s">
        <v>541</v>
      </c>
      <c r="B250" s="357">
        <f>D232/(0.85*D22*D228)</f>
        <v>14.908722109533469</v>
      </c>
      <c r="D250" s="36">
        <f>0.595*D228</f>
        <v>11.899999999999999</v>
      </c>
    </row>
    <row r="251" spans="1:10">
      <c r="A251" s="36" t="s">
        <v>719</v>
      </c>
      <c r="B251" s="237">
        <f>B248/D228</f>
        <v>6.2625850340136055E-2</v>
      </c>
    </row>
    <row r="252" spans="1:10">
      <c r="A252" s="36" t="s">
        <v>720</v>
      </c>
      <c r="B252" s="237">
        <f>(0.595+(1-0.595)/(1+50*B251^2))*D227</f>
        <v>14.004007381178848</v>
      </c>
    </row>
    <row r="253" spans="1:10">
      <c r="A253" s="36" t="s">
        <v>281</v>
      </c>
      <c r="B253" s="36">
        <f>(D232*B249-0.85*$D$22*$D$228*B252*($D$227-0.5*B252))/($D$31*($D$227-$B$241))</f>
        <v>-1.6539235143485815</v>
      </c>
      <c r="D253" s="239">
        <f>($D$31*($D$227-$B$241))</f>
        <v>28000</v>
      </c>
      <c r="E253" s="239"/>
      <c r="F253" s="239">
        <f>(D232*B249)</f>
        <v>229780</v>
      </c>
      <c r="G253" s="237">
        <f>0.85*$D$22*$D$228*B252*($D$227-0.5*B252)</f>
        <v>276089.85840176028</v>
      </c>
      <c r="H253" s="239">
        <f>($D$227-0.5*B252)</f>
        <v>7.9979963094105759</v>
      </c>
      <c r="I253" s="126">
        <f>($D$227-0.5*B252)</f>
        <v>7.9979963094105759</v>
      </c>
      <c r="J253" s="126">
        <f>0.85*$D$22*$D$228*B252</f>
        <v>34519.878194605859</v>
      </c>
    </row>
    <row r="254" spans="1:10">
      <c r="D254" s="36">
        <f>(415400*39-0.85*145*60*43.2*(55-0.5*43.2))/(2800*50)</f>
        <v>39.503588571428573</v>
      </c>
      <c r="H254" s="36">
        <f>(G266*(G265-5))</f>
        <v>28000</v>
      </c>
      <c r="I254" s="126">
        <f>(G265-0.5*G264)</f>
        <v>7.66</v>
      </c>
      <c r="J254" s="126">
        <f>0.85*G262*G263*G264</f>
        <v>36186.199999999997</v>
      </c>
    </row>
    <row r="255" spans="1:10">
      <c r="D255" s="36">
        <f>+(372700*35.4-0.85*145*60*41.7*(55-0.5*41.7))/(2800*50)</f>
        <v>19.019237678571432</v>
      </c>
    </row>
    <row r="259" spans="7:8">
      <c r="G259" s="237">
        <v>36750</v>
      </c>
      <c r="H259" s="126">
        <f>(G259*G260-0.85*G262*G263*G264*(G265-0.5*G264))/(G266*(G265-5))</f>
        <v>-2.457635428571427</v>
      </c>
    </row>
    <row r="260" spans="7:8">
      <c r="G260" s="237">
        <v>5.67</v>
      </c>
    </row>
    <row r="261" spans="7:8">
      <c r="G261" s="237">
        <v>0.85</v>
      </c>
    </row>
    <row r="262" spans="7:8">
      <c r="G262" s="237">
        <v>145</v>
      </c>
    </row>
    <row r="263" spans="7:8">
      <c r="G263" s="237">
        <v>20</v>
      </c>
    </row>
    <row r="264" spans="7:8">
      <c r="G264" s="237">
        <v>14.68</v>
      </c>
    </row>
    <row r="265" spans="7:8">
      <c r="G265" s="237">
        <v>15</v>
      </c>
    </row>
    <row r="266" spans="7:8">
      <c r="G266" s="237">
        <v>2800</v>
      </c>
    </row>
  </sheetData>
  <conditionalFormatting sqref="D50">
    <cfRule type="expression" priority="17">
      <formula>$B$50&lt;$B$49</formula>
    </cfRule>
  </conditionalFormatting>
  <conditionalFormatting sqref="B50">
    <cfRule type="cellIs" dxfId="15" priority="16" operator="lessThan">
      <formula>$B$49</formula>
    </cfRule>
  </conditionalFormatting>
  <conditionalFormatting sqref="B53">
    <cfRule type="cellIs" dxfId="14" priority="13" operator="lessThan">
      <formula>$B$52</formula>
    </cfRule>
  </conditionalFormatting>
  <conditionalFormatting sqref="B68">
    <cfRule type="cellIs" dxfId="13" priority="10" operator="lessThan">
      <formula>2</formula>
    </cfRule>
  </conditionalFormatting>
  <conditionalFormatting sqref="B90">
    <cfRule type="cellIs" dxfId="12" priority="9" operator="greaterThan">
      <formula>2</formula>
    </cfRule>
  </conditionalFormatting>
  <conditionalFormatting sqref="I146:I147">
    <cfRule type="cellIs" dxfId="11" priority="8" operator="lessThan">
      <formula>$J$11</formula>
    </cfRule>
  </conditionalFormatting>
  <conditionalFormatting sqref="I155:I156">
    <cfRule type="cellIs" dxfId="10" priority="6" operator="lessThan">
      <formula>$J$11</formula>
    </cfRule>
  </conditionalFormatting>
  <conditionalFormatting sqref="I173">
    <cfRule type="cellIs" dxfId="9" priority="5" operator="lessThan">
      <formula>$J$11</formula>
    </cfRule>
  </conditionalFormatting>
  <conditionalFormatting sqref="D175">
    <cfRule type="cellIs" dxfId="8" priority="4" operator="lessThan">
      <formula>$J$11</formula>
    </cfRule>
  </conditionalFormatting>
  <conditionalFormatting sqref="D58">
    <cfRule type="expression" priority="3">
      <formula>$B$50&lt;$B$49</formula>
    </cfRule>
  </conditionalFormatting>
  <conditionalFormatting sqref="B58">
    <cfRule type="cellIs" dxfId="7" priority="2" operator="lessThan">
      <formula>$B$49</formula>
    </cfRule>
  </conditionalFormatting>
  <conditionalFormatting sqref="B61">
    <cfRule type="cellIs" dxfId="6" priority="1" operator="lessThan">
      <formula>$B$52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dimension ref="A1:B1"/>
  <sheetViews>
    <sheetView workbookViewId="0">
      <selection activeCell="J19" sqref="J19"/>
    </sheetView>
  </sheetViews>
  <sheetFormatPr defaultRowHeight="15"/>
  <cols>
    <col min="1" max="1" width="14.5703125" bestFit="1" customWidth="1"/>
  </cols>
  <sheetData>
    <row r="1" spans="1:2">
      <c r="A1" t="s">
        <v>69</v>
      </c>
      <c r="B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dimension ref="A1:B24"/>
  <sheetViews>
    <sheetView workbookViewId="0">
      <selection activeCell="E12" sqref="E12"/>
    </sheetView>
  </sheetViews>
  <sheetFormatPr defaultRowHeight="15"/>
  <cols>
    <col min="1" max="1" width="44.140625" bestFit="1" customWidth="1"/>
  </cols>
  <sheetData>
    <row r="1" spans="1:2" ht="16.5">
      <c r="A1" s="17" t="s">
        <v>34</v>
      </c>
    </row>
    <row r="2" spans="1:2" ht="16.5">
      <c r="A2" s="17" t="s">
        <v>35</v>
      </c>
    </row>
    <row r="3" spans="1:2" ht="16.5">
      <c r="A3" s="18" t="s">
        <v>36</v>
      </c>
    </row>
    <row r="4" spans="1:2" ht="16.5">
      <c r="A4" s="17" t="s">
        <v>37</v>
      </c>
      <c r="B4">
        <v>260</v>
      </c>
    </row>
    <row r="5" spans="1:2" ht="16.5">
      <c r="A5" s="18" t="s">
        <v>38</v>
      </c>
    </row>
    <row r="6" spans="1:2" ht="16.5">
      <c r="A6" s="17" t="s">
        <v>37</v>
      </c>
      <c r="B6">
        <v>210</v>
      </c>
    </row>
    <row r="7" spans="1:2" ht="16.5">
      <c r="A7" s="18" t="s">
        <v>39</v>
      </c>
    </row>
    <row r="8" spans="1:2" ht="16.5">
      <c r="A8" s="17" t="s">
        <v>37</v>
      </c>
      <c r="B8">
        <v>2000000</v>
      </c>
    </row>
    <row r="9" spans="1:2" ht="16.5">
      <c r="A9" s="17" t="s">
        <v>40</v>
      </c>
    </row>
    <row r="10" spans="1:2" ht="16.5">
      <c r="A10" s="17" t="s">
        <v>41</v>
      </c>
    </row>
    <row r="11" spans="1:2" ht="16.5">
      <c r="A11" s="17" t="s">
        <v>42</v>
      </c>
    </row>
    <row r="12" spans="1:2" ht="16.5">
      <c r="A12" s="17" t="s">
        <v>37</v>
      </c>
      <c r="B12">
        <v>260</v>
      </c>
    </row>
    <row r="13" spans="1:2" ht="16.5">
      <c r="A13" s="17" t="s">
        <v>43</v>
      </c>
    </row>
    <row r="14" spans="1:2" ht="16.5">
      <c r="A14" s="17" t="s">
        <v>37</v>
      </c>
      <c r="B14">
        <v>210</v>
      </c>
    </row>
    <row r="15" spans="1:2" ht="16.5">
      <c r="A15" s="17" t="s">
        <v>44</v>
      </c>
    </row>
    <row r="16" spans="1:2" ht="16.5">
      <c r="A16" s="17" t="s">
        <v>37</v>
      </c>
      <c r="B16">
        <v>200000</v>
      </c>
    </row>
    <row r="17" spans="1:2" ht="16.5">
      <c r="A17" s="17" t="s">
        <v>45</v>
      </c>
    </row>
    <row r="18" spans="1:2" ht="16.5">
      <c r="A18" s="17" t="s">
        <v>41</v>
      </c>
    </row>
    <row r="19" spans="1:2" ht="16.5">
      <c r="A19" s="17" t="s">
        <v>42</v>
      </c>
    </row>
    <row r="20" spans="1:2" ht="16.5">
      <c r="A20" s="17" t="s">
        <v>37</v>
      </c>
      <c r="B20">
        <v>350</v>
      </c>
    </row>
    <row r="21" spans="1:2" ht="16.5">
      <c r="A21" s="17" t="s">
        <v>43</v>
      </c>
    </row>
    <row r="22" spans="1:2" ht="16.5">
      <c r="A22" s="17" t="s">
        <v>37</v>
      </c>
      <c r="B22">
        <v>280</v>
      </c>
    </row>
    <row r="23" spans="1:2" ht="16.5">
      <c r="A23" s="17" t="s">
        <v>44</v>
      </c>
    </row>
    <row r="24" spans="1:2" ht="16.5">
      <c r="A24" s="17" t="s">
        <v>37</v>
      </c>
      <c r="B24">
        <v>200000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dimension ref="A1:B9"/>
  <sheetViews>
    <sheetView workbookViewId="0">
      <selection activeCell="D6" sqref="D6"/>
    </sheetView>
  </sheetViews>
  <sheetFormatPr defaultRowHeight="15"/>
  <cols>
    <col min="1" max="1" width="70.28515625" customWidth="1"/>
  </cols>
  <sheetData>
    <row r="1" spans="1:2" ht="16.5">
      <c r="A1" s="17" t="s">
        <v>46</v>
      </c>
    </row>
    <row r="2" spans="1:2" ht="16.5">
      <c r="A2" s="19" t="s">
        <v>47</v>
      </c>
    </row>
    <row r="3" spans="1:2" ht="33">
      <c r="A3" s="17" t="s">
        <v>48</v>
      </c>
    </row>
    <row r="4" spans="1:2" ht="16.5">
      <c r="A4" s="18" t="s">
        <v>49</v>
      </c>
    </row>
    <row r="5" spans="1:2" ht="16.5">
      <c r="A5" s="17" t="s">
        <v>37</v>
      </c>
      <c r="B5">
        <v>14.5</v>
      </c>
    </row>
    <row r="6" spans="1:2" ht="16.5">
      <c r="A6" s="18" t="s">
        <v>50</v>
      </c>
    </row>
    <row r="7" spans="1:2" ht="16.5">
      <c r="A7" s="17" t="s">
        <v>37</v>
      </c>
      <c r="B7">
        <v>1.05</v>
      </c>
    </row>
    <row r="8" spans="1:2" ht="16.5">
      <c r="A8" s="18" t="s">
        <v>39</v>
      </c>
    </row>
    <row r="9" spans="1:2" ht="16.5">
      <c r="A9" s="17" t="s">
        <v>37</v>
      </c>
      <c r="B9">
        <v>30000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dimension ref="A1:Q64"/>
  <sheetViews>
    <sheetView workbookViewId="0">
      <selection activeCell="H35" sqref="H35:Q37"/>
    </sheetView>
  </sheetViews>
  <sheetFormatPr defaultRowHeight="15"/>
  <cols>
    <col min="1" max="1" width="30.5703125" bestFit="1" customWidth="1"/>
    <col min="2" max="2" width="11.140625" customWidth="1"/>
    <col min="3" max="3" width="12" customWidth="1"/>
    <col min="4" max="4" width="10.28515625" style="13" bestFit="1" customWidth="1"/>
    <col min="5" max="5" width="6.85546875" style="3" bestFit="1" customWidth="1"/>
    <col min="6" max="6" width="14.42578125" customWidth="1"/>
    <col min="7" max="7" width="10.140625" style="20" bestFit="1" customWidth="1"/>
    <col min="10" max="10" width="5" bestFit="1" customWidth="1"/>
    <col min="11" max="11" width="7" bestFit="1" customWidth="1"/>
    <col min="12" max="12" width="5" bestFit="1" customWidth="1"/>
    <col min="13" max="13" width="7" bestFit="1" customWidth="1"/>
    <col min="14" max="15" width="8.7109375" bestFit="1" customWidth="1"/>
    <col min="16" max="16" width="6.85546875" bestFit="1" customWidth="1"/>
    <col min="17" max="17" width="8.7109375" bestFit="1" customWidth="1"/>
  </cols>
  <sheetData>
    <row r="1" spans="1:8" ht="20.25">
      <c r="A1" s="478" t="s">
        <v>28</v>
      </c>
      <c r="B1" s="478" t="s">
        <v>29</v>
      </c>
      <c r="C1" s="473" t="s">
        <v>108</v>
      </c>
      <c r="D1" s="9" t="s">
        <v>16</v>
      </c>
      <c r="E1" s="473" t="s">
        <v>18</v>
      </c>
      <c r="F1" s="4" t="s">
        <v>30</v>
      </c>
    </row>
    <row r="2" spans="1:8" ht="20.25" thickBot="1">
      <c r="A2" s="479"/>
      <c r="B2" s="479"/>
      <c r="C2" s="474"/>
      <c r="D2" s="10" t="s">
        <v>17</v>
      </c>
      <c r="E2" s="474"/>
      <c r="F2" s="1" t="s">
        <v>31</v>
      </c>
    </row>
    <row r="3" spans="1:8" ht="17.25" thickBot="1">
      <c r="A3" s="2" t="s">
        <v>20</v>
      </c>
      <c r="B3" s="7">
        <v>10</v>
      </c>
      <c r="C3" s="7">
        <v>20</v>
      </c>
      <c r="D3" s="11">
        <f>B3*C3/1000</f>
        <v>0.2</v>
      </c>
      <c r="E3" s="7">
        <v>1.2</v>
      </c>
      <c r="F3" s="15">
        <f>D3*E3</f>
        <v>0.24</v>
      </c>
    </row>
    <row r="4" spans="1:8" ht="17.25" thickBot="1">
      <c r="A4" s="2" t="s">
        <v>32</v>
      </c>
      <c r="B4" s="7">
        <v>35</v>
      </c>
      <c r="C4" s="7">
        <v>18</v>
      </c>
      <c r="D4" s="11">
        <f>B4*C4/1000</f>
        <v>0.63</v>
      </c>
      <c r="E4" s="7">
        <v>1.3</v>
      </c>
      <c r="F4" s="15">
        <f>D4*E4</f>
        <v>0.81900000000000006</v>
      </c>
    </row>
    <row r="5" spans="1:8" ht="17.25" thickBot="1">
      <c r="A5" s="2" t="s">
        <v>22</v>
      </c>
      <c r="B5" s="16">
        <f>TH!$E$45</f>
        <v>100</v>
      </c>
      <c r="C5" s="7">
        <v>25</v>
      </c>
      <c r="D5" s="11">
        <f>B5*C5/1000</f>
        <v>2.5</v>
      </c>
      <c r="E5" s="7">
        <v>1.1000000000000001</v>
      </c>
      <c r="F5" s="15">
        <f>D5*E5</f>
        <v>2.75</v>
      </c>
    </row>
    <row r="6" spans="1:8" ht="17.25" thickBot="1">
      <c r="A6" s="2" t="s">
        <v>24</v>
      </c>
      <c r="B6" s="7">
        <v>15</v>
      </c>
      <c r="C6" s="7">
        <v>18</v>
      </c>
      <c r="D6" s="11">
        <f>B6*C6/1000</f>
        <v>0.27</v>
      </c>
      <c r="E6" s="7">
        <v>1.3</v>
      </c>
      <c r="F6" s="15">
        <f>D6*E6</f>
        <v>0.35100000000000003</v>
      </c>
    </row>
    <row r="7" spans="1:8" ht="17.25" thickBot="1">
      <c r="A7" s="2" t="s">
        <v>25</v>
      </c>
      <c r="B7" s="7"/>
      <c r="C7" s="7"/>
      <c r="D7" s="11">
        <v>0.5</v>
      </c>
      <c r="E7" s="7">
        <v>1.2</v>
      </c>
      <c r="F7" s="15">
        <f>D7*E7</f>
        <v>0.6</v>
      </c>
    </row>
    <row r="8" spans="1:8" ht="17.25" thickBot="1">
      <c r="A8" s="475" t="s">
        <v>26</v>
      </c>
      <c r="B8" s="476"/>
      <c r="C8" s="477"/>
      <c r="D8" s="12">
        <f>SUM(D3:D7)</f>
        <v>4.0999999999999996</v>
      </c>
      <c r="E8" s="14"/>
      <c r="F8" s="12">
        <f>SUM(F3:F7)</f>
        <v>4.76</v>
      </c>
      <c r="H8" s="88">
        <f>F8-F5</f>
        <v>2.0099999999999998</v>
      </c>
    </row>
    <row r="10" spans="1:8" ht="17.25">
      <c r="A10" s="472" t="s">
        <v>33</v>
      </c>
      <c r="B10" s="472"/>
      <c r="C10" s="472"/>
      <c r="D10" s="472"/>
      <c r="E10" s="472"/>
      <c r="F10" s="472"/>
    </row>
    <row r="11" spans="1:8" ht="15.75" thickBot="1"/>
    <row r="12" spans="1:8" ht="20.25">
      <c r="A12" s="473" t="s">
        <v>12</v>
      </c>
      <c r="B12" s="4" t="s">
        <v>13</v>
      </c>
      <c r="C12" s="473" t="s">
        <v>108</v>
      </c>
      <c r="D12" s="9" t="s">
        <v>16</v>
      </c>
      <c r="E12" s="473" t="s">
        <v>18</v>
      </c>
      <c r="F12" s="4" t="s">
        <v>19</v>
      </c>
    </row>
    <row r="13" spans="1:8" ht="20.25" thickBot="1">
      <c r="A13" s="474"/>
      <c r="B13" s="5" t="s">
        <v>14</v>
      </c>
      <c r="C13" s="474"/>
      <c r="D13" s="10" t="s">
        <v>17</v>
      </c>
      <c r="E13" s="474"/>
      <c r="F13" s="6" t="s">
        <v>17</v>
      </c>
    </row>
    <row r="14" spans="1:8" ht="17.25" thickBot="1">
      <c r="A14" s="2" t="s">
        <v>20</v>
      </c>
      <c r="B14" s="7">
        <v>10</v>
      </c>
      <c r="C14" s="7">
        <v>20</v>
      </c>
      <c r="D14" s="11">
        <f>B14*C14/1000</f>
        <v>0.2</v>
      </c>
      <c r="E14" s="7">
        <v>1.2</v>
      </c>
      <c r="F14" s="7">
        <f t="shared" ref="F14:F19" si="0">E14*D14</f>
        <v>0.24</v>
      </c>
    </row>
    <row r="15" spans="1:8" ht="17.25" thickBot="1">
      <c r="A15" s="2" t="s">
        <v>21</v>
      </c>
      <c r="B15" s="7">
        <v>50</v>
      </c>
      <c r="C15" s="7">
        <v>18</v>
      </c>
      <c r="D15" s="11">
        <f>B15*C15/1000</f>
        <v>0.9</v>
      </c>
      <c r="E15" s="7">
        <v>1.3</v>
      </c>
      <c r="F15" s="7">
        <f t="shared" si="0"/>
        <v>1.1700000000000002</v>
      </c>
    </row>
    <row r="16" spans="1:8" ht="17.25" thickBot="1">
      <c r="A16" s="2" t="s">
        <v>22</v>
      </c>
      <c r="B16" s="16">
        <f>TH!$E$45</f>
        <v>100</v>
      </c>
      <c r="C16" s="7">
        <v>25</v>
      </c>
      <c r="D16" s="11">
        <f>B16*C16/1000</f>
        <v>2.5</v>
      </c>
      <c r="E16" s="7">
        <v>1.1000000000000001</v>
      </c>
      <c r="F16" s="7">
        <f t="shared" si="0"/>
        <v>2.75</v>
      </c>
    </row>
    <row r="17" spans="1:8" ht="17.25" thickBot="1">
      <c r="A17" s="2" t="s">
        <v>23</v>
      </c>
      <c r="B17" s="7">
        <v>3</v>
      </c>
      <c r="C17" s="7">
        <v>10</v>
      </c>
      <c r="D17" s="11">
        <f>B17*C17/1000</f>
        <v>0.03</v>
      </c>
      <c r="E17" s="7">
        <v>1.3</v>
      </c>
      <c r="F17" s="7">
        <f t="shared" si="0"/>
        <v>3.9E-2</v>
      </c>
    </row>
    <row r="18" spans="1:8" ht="17.25" thickBot="1">
      <c r="A18" s="2" t="s">
        <v>24</v>
      </c>
      <c r="B18" s="7">
        <v>15</v>
      </c>
      <c r="C18" s="7">
        <v>18</v>
      </c>
      <c r="D18" s="11">
        <f>B18*C18/1000</f>
        <v>0.27</v>
      </c>
      <c r="E18" s="7">
        <v>1.3</v>
      </c>
      <c r="F18" s="7">
        <f t="shared" si="0"/>
        <v>0.35100000000000003</v>
      </c>
    </row>
    <row r="19" spans="1:8" ht="17.25" thickBot="1">
      <c r="A19" s="2" t="s">
        <v>25</v>
      </c>
      <c r="B19" s="7"/>
      <c r="C19" s="7"/>
      <c r="D19" s="11">
        <v>0.5</v>
      </c>
      <c r="E19" s="7">
        <v>1.2</v>
      </c>
      <c r="F19" s="7">
        <f t="shared" si="0"/>
        <v>0.6</v>
      </c>
    </row>
    <row r="20" spans="1:8" ht="17.25" thickBot="1">
      <c r="A20" s="475" t="s">
        <v>26</v>
      </c>
      <c r="B20" s="476"/>
      <c r="C20" s="477"/>
      <c r="D20" s="12">
        <f>SUM(D14:D19)</f>
        <v>4.4000000000000004</v>
      </c>
      <c r="E20" s="8"/>
      <c r="F20" s="5">
        <f>SUM(F14:F19)</f>
        <v>5.1499999999999995</v>
      </c>
      <c r="H20" s="88">
        <f>F20-F16</f>
        <v>2.3999999999999995</v>
      </c>
    </row>
    <row r="22" spans="1:8" ht="17.25">
      <c r="A22" s="472" t="s">
        <v>27</v>
      </c>
      <c r="B22" s="472"/>
      <c r="C22" s="472"/>
      <c r="D22" s="472"/>
      <c r="E22" s="472"/>
      <c r="F22" s="472"/>
    </row>
    <row r="23" spans="1:8" ht="15.75" thickBot="1"/>
    <row r="24" spans="1:8" ht="20.25">
      <c r="A24" s="473" t="s">
        <v>12</v>
      </c>
      <c r="B24" s="4" t="s">
        <v>13</v>
      </c>
      <c r="C24" s="473" t="s">
        <v>107</v>
      </c>
      <c r="D24" s="9" t="s">
        <v>16</v>
      </c>
      <c r="E24" s="473" t="s">
        <v>18</v>
      </c>
      <c r="F24" s="4" t="s">
        <v>19</v>
      </c>
    </row>
    <row r="25" spans="1:8" ht="20.25" thickBot="1">
      <c r="A25" s="474"/>
      <c r="B25" s="5" t="s">
        <v>14</v>
      </c>
      <c r="C25" s="474"/>
      <c r="D25" s="10" t="s">
        <v>17</v>
      </c>
      <c r="E25" s="474"/>
      <c r="F25" s="6" t="s">
        <v>17</v>
      </c>
    </row>
    <row r="26" spans="1:8" ht="17.25" customHeight="1" thickBot="1">
      <c r="A26" s="2" t="s">
        <v>52</v>
      </c>
      <c r="B26" s="21"/>
      <c r="C26" s="21"/>
      <c r="D26" s="22"/>
      <c r="E26" s="23"/>
      <c r="F26" s="23"/>
    </row>
    <row r="27" spans="1:8" ht="17.25" thickBot="1">
      <c r="A27" s="2" t="s">
        <v>53</v>
      </c>
      <c r="B27" s="21">
        <v>10</v>
      </c>
      <c r="C27" s="21">
        <v>20</v>
      </c>
      <c r="D27" s="22">
        <f>C27*B27/1000</f>
        <v>0.2</v>
      </c>
      <c r="E27" s="23">
        <v>1.2</v>
      </c>
      <c r="F27" s="23">
        <f>E27*D27</f>
        <v>0.24</v>
      </c>
    </row>
    <row r="28" spans="1:8" ht="17.25" thickBot="1">
      <c r="A28" s="2" t="s">
        <v>54</v>
      </c>
      <c r="B28" s="21">
        <v>35</v>
      </c>
      <c r="C28" s="21">
        <v>18</v>
      </c>
      <c r="D28" s="22">
        <f>C28*B28/1000</f>
        <v>0.63</v>
      </c>
      <c r="E28" s="23">
        <v>1.3</v>
      </c>
      <c r="F28" s="23">
        <f>E28*D28</f>
        <v>0.81900000000000006</v>
      </c>
    </row>
    <row r="29" spans="1:8" ht="17.25" thickBot="1">
      <c r="A29" s="2" t="s">
        <v>55</v>
      </c>
      <c r="B29" s="21">
        <v>15</v>
      </c>
      <c r="C29" s="21">
        <v>18</v>
      </c>
      <c r="D29" s="22">
        <f>C29*B29/1000</f>
        <v>0.27</v>
      </c>
      <c r="E29" s="23">
        <v>1.3</v>
      </c>
      <c r="F29" s="23">
        <f>E29*D29</f>
        <v>0.35100000000000003</v>
      </c>
    </row>
    <row r="30" spans="1:8" ht="17.25" thickBot="1">
      <c r="A30" s="2" t="s">
        <v>25</v>
      </c>
      <c r="B30" s="21"/>
      <c r="C30" s="21"/>
      <c r="D30" s="22">
        <v>0.5</v>
      </c>
      <c r="E30" s="23">
        <v>1.2</v>
      </c>
      <c r="F30" s="23">
        <f>E30*D30</f>
        <v>0.6</v>
      </c>
    </row>
    <row r="31" spans="1:8" ht="17.25" thickBot="1">
      <c r="A31" s="2" t="s">
        <v>26</v>
      </c>
      <c r="B31" s="21"/>
      <c r="C31" s="21"/>
      <c r="D31" s="24">
        <f>SUM(D26:D30)</f>
        <v>1.6</v>
      </c>
      <c r="E31" s="25"/>
      <c r="F31" s="26">
        <f>SUM(F26:F30)</f>
        <v>2.0100000000000002</v>
      </c>
    </row>
    <row r="33" spans="1:17" ht="17.25">
      <c r="A33" s="472" t="s">
        <v>51</v>
      </c>
      <c r="B33" s="472"/>
      <c r="C33" s="472"/>
      <c r="D33" s="472"/>
      <c r="E33" s="472"/>
      <c r="F33" s="472"/>
    </row>
    <row r="34" spans="1:17" ht="15.75" thickBot="1"/>
    <row r="35" spans="1:17" ht="21.75" customHeight="1" thickTop="1" thickBot="1">
      <c r="H35" s="470" t="s">
        <v>56</v>
      </c>
      <c r="I35" s="470" t="s">
        <v>57</v>
      </c>
      <c r="J35" s="42" t="s">
        <v>58</v>
      </c>
      <c r="K35" s="42" t="s">
        <v>59</v>
      </c>
      <c r="L35" s="42" t="s">
        <v>60</v>
      </c>
      <c r="M35" s="42" t="s">
        <v>61</v>
      </c>
      <c r="N35" s="43" t="s">
        <v>109</v>
      </c>
      <c r="O35" s="42" t="s">
        <v>62</v>
      </c>
      <c r="P35" s="44" t="s">
        <v>18</v>
      </c>
      <c r="Q35" s="45" t="s">
        <v>63</v>
      </c>
    </row>
    <row r="36" spans="1:17" ht="20.25" thickBot="1">
      <c r="H36" s="471"/>
      <c r="I36" s="471"/>
      <c r="J36" s="5" t="s">
        <v>64</v>
      </c>
      <c r="K36" s="46" t="s">
        <v>65</v>
      </c>
      <c r="L36" s="5" t="s">
        <v>64</v>
      </c>
      <c r="M36" s="5" t="s">
        <v>66</v>
      </c>
      <c r="N36" s="47" t="s">
        <v>15</v>
      </c>
      <c r="O36" s="47" t="s">
        <v>67</v>
      </c>
      <c r="P36" s="39"/>
      <c r="Q36" s="48" t="s">
        <v>67</v>
      </c>
    </row>
    <row r="37" spans="1:17" ht="33.75" thickBot="1">
      <c r="H37" s="27">
        <v>1</v>
      </c>
      <c r="I37" s="28" t="s">
        <v>68</v>
      </c>
      <c r="J37" s="30">
        <v>0.1</v>
      </c>
      <c r="K37" s="30">
        <f>3.8*2+4.3*2+1.375*2</f>
        <v>18.95</v>
      </c>
      <c r="L37" s="30">
        <v>3.6</v>
      </c>
      <c r="M37" s="30">
        <f>H42*I42</f>
        <v>22.04</v>
      </c>
      <c r="N37" s="29">
        <v>18</v>
      </c>
      <c r="O37" s="29">
        <f>ROUND((J37*K37*L37)/M37*N37,solethapphan)</f>
        <v>5.57</v>
      </c>
      <c r="P37" s="29">
        <v>1.1000000000000001</v>
      </c>
      <c r="Q37" s="31">
        <f>ROUND(O37*P37,solethapphan)</f>
        <v>6.13</v>
      </c>
    </row>
    <row r="38" spans="1:17" ht="15.75" thickTop="1"/>
    <row r="39" spans="1:17" ht="17.25">
      <c r="B39" s="49"/>
      <c r="C39" s="49"/>
      <c r="D39" s="49"/>
      <c r="E39" s="49"/>
      <c r="F39" s="49"/>
      <c r="G39" s="49"/>
      <c r="H39" s="49" t="s">
        <v>242</v>
      </c>
      <c r="I39" s="49"/>
      <c r="J39" s="49"/>
      <c r="Q39" s="88">
        <f>Q37+F20</f>
        <v>11.28</v>
      </c>
    </row>
    <row r="41" spans="1:17">
      <c r="G41" s="20" t="s">
        <v>244</v>
      </c>
      <c r="H41" t="s">
        <v>243</v>
      </c>
    </row>
    <row r="42" spans="1:17">
      <c r="G42" s="20" t="s">
        <v>125</v>
      </c>
      <c r="H42">
        <v>3.8</v>
      </c>
      <c r="I42">
        <v>5.8</v>
      </c>
    </row>
    <row r="43" spans="1:17" ht="15.75" thickBot="1"/>
    <row r="44" spans="1:17" ht="21.75" thickTop="1" thickBot="1">
      <c r="H44" s="470" t="s">
        <v>56</v>
      </c>
      <c r="I44" s="470" t="s">
        <v>57</v>
      </c>
      <c r="J44" s="42" t="s">
        <v>58</v>
      </c>
      <c r="K44" s="42" t="s">
        <v>59</v>
      </c>
      <c r="L44" s="42" t="s">
        <v>60</v>
      </c>
      <c r="M44" s="42" t="s">
        <v>61</v>
      </c>
      <c r="N44" s="43" t="s">
        <v>109</v>
      </c>
      <c r="O44" s="42" t="s">
        <v>62</v>
      </c>
      <c r="P44" s="44" t="s">
        <v>18</v>
      </c>
      <c r="Q44" s="45" t="s">
        <v>63</v>
      </c>
    </row>
    <row r="45" spans="1:17" ht="20.25" thickBot="1">
      <c r="H45" s="471"/>
      <c r="I45" s="471"/>
      <c r="J45" s="5" t="s">
        <v>64</v>
      </c>
      <c r="K45" s="46" t="s">
        <v>65</v>
      </c>
      <c r="L45" s="5" t="s">
        <v>64</v>
      </c>
      <c r="M45" s="5" t="s">
        <v>66</v>
      </c>
      <c r="N45" s="47" t="s">
        <v>15</v>
      </c>
      <c r="O45" s="47" t="s">
        <v>67</v>
      </c>
      <c r="P45" s="41"/>
      <c r="Q45" s="48" t="s">
        <v>67</v>
      </c>
    </row>
    <row r="46" spans="1:17" ht="33.75" thickBot="1">
      <c r="H46" s="27">
        <v>1</v>
      </c>
      <c r="I46" s="28" t="s">
        <v>68</v>
      </c>
      <c r="J46" s="30">
        <v>0.1</v>
      </c>
      <c r="K46" s="30">
        <v>3.8</v>
      </c>
      <c r="L46" s="30">
        <v>3.6</v>
      </c>
      <c r="M46" s="30">
        <f>H51*I51</f>
        <v>20.139999999999997</v>
      </c>
      <c r="N46" s="29">
        <v>18</v>
      </c>
      <c r="O46" s="29">
        <f>ROUND((J46*K46*L46)/M46*N46,solethapphan)</f>
        <v>1.22</v>
      </c>
      <c r="P46" s="87">
        <v>1.1000000000000001</v>
      </c>
      <c r="Q46" s="31">
        <f>ROUND(O46*P46,solethapphan)</f>
        <v>1.34</v>
      </c>
    </row>
    <row r="47" spans="1:17" ht="15.75" thickTop="1"/>
    <row r="48" spans="1:17" ht="17.25">
      <c r="G48" s="49"/>
      <c r="H48" s="49" t="s">
        <v>245</v>
      </c>
      <c r="I48" s="49"/>
      <c r="J48" s="49"/>
      <c r="Q48" s="88">
        <f>Q46+F8</f>
        <v>6.1</v>
      </c>
    </row>
    <row r="50" spans="2:9">
      <c r="G50" s="20" t="s">
        <v>244</v>
      </c>
      <c r="H50" t="s">
        <v>243</v>
      </c>
    </row>
    <row r="51" spans="2:9">
      <c r="G51" s="20" t="s">
        <v>125</v>
      </c>
      <c r="H51">
        <v>3.8</v>
      </c>
      <c r="I51">
        <v>5.3</v>
      </c>
    </row>
    <row r="55" spans="2:9" ht="15.75" thickBot="1"/>
    <row r="56" spans="2:9" ht="33">
      <c r="B56" s="480" t="s">
        <v>508</v>
      </c>
      <c r="C56" s="483" t="s">
        <v>509</v>
      </c>
      <c r="D56" s="352" t="s">
        <v>510</v>
      </c>
      <c r="E56" s="352" t="s">
        <v>510</v>
      </c>
      <c r="F56" s="352" t="s">
        <v>512</v>
      </c>
      <c r="G56" s="352" t="s">
        <v>514</v>
      </c>
      <c r="H56" s="352" t="s">
        <v>515</v>
      </c>
    </row>
    <row r="57" spans="2:9" ht="49.5">
      <c r="B57" s="481"/>
      <c r="C57" s="484"/>
      <c r="D57" s="353" t="s">
        <v>64</v>
      </c>
      <c r="E57" s="353" t="s">
        <v>511</v>
      </c>
      <c r="F57" s="353" t="s">
        <v>513</v>
      </c>
      <c r="G57" s="353" t="s">
        <v>18</v>
      </c>
      <c r="H57" s="353" t="s">
        <v>516</v>
      </c>
    </row>
    <row r="58" spans="2:9" ht="17.25" thickBot="1">
      <c r="B58" s="482"/>
      <c r="C58" s="485"/>
      <c r="D58" s="354"/>
      <c r="E58" s="355" t="s">
        <v>64</v>
      </c>
      <c r="F58" s="354"/>
      <c r="G58" s="354"/>
      <c r="H58" s="354"/>
    </row>
    <row r="59" spans="2:9" ht="33.75" thickBot="1">
      <c r="B59" s="486" t="s">
        <v>212</v>
      </c>
      <c r="C59" s="356" t="s">
        <v>535</v>
      </c>
      <c r="D59" s="351" t="s">
        <v>517</v>
      </c>
      <c r="E59" s="351" t="s">
        <v>518</v>
      </c>
      <c r="F59" s="351">
        <v>2400</v>
      </c>
      <c r="G59" s="351">
        <v>1.2</v>
      </c>
      <c r="H59" s="351" t="s">
        <v>519</v>
      </c>
    </row>
    <row r="60" spans="2:9" ht="33.75" thickBot="1">
      <c r="B60" s="487"/>
      <c r="C60" s="356" t="s">
        <v>520</v>
      </c>
      <c r="D60" s="351" t="s">
        <v>517</v>
      </c>
      <c r="E60" s="351" t="s">
        <v>518</v>
      </c>
      <c r="F60" s="351">
        <v>1800</v>
      </c>
      <c r="G60" s="351">
        <v>1.3</v>
      </c>
      <c r="H60" s="351" t="s">
        <v>521</v>
      </c>
    </row>
    <row r="61" spans="2:9" ht="33.75" thickBot="1">
      <c r="B61" s="487"/>
      <c r="C61" s="356" t="s">
        <v>536</v>
      </c>
      <c r="D61" s="351" t="s">
        <v>522</v>
      </c>
      <c r="E61" s="351" t="s">
        <v>523</v>
      </c>
      <c r="F61" s="351">
        <v>1800</v>
      </c>
      <c r="G61" s="351">
        <v>1.2</v>
      </c>
      <c r="H61" s="351" t="s">
        <v>524</v>
      </c>
    </row>
    <row r="62" spans="2:9" ht="33.75" thickBot="1">
      <c r="B62" s="487"/>
      <c r="C62" s="356" t="s">
        <v>525</v>
      </c>
      <c r="D62" s="351" t="s">
        <v>526</v>
      </c>
      <c r="E62" s="351" t="s">
        <v>527</v>
      </c>
      <c r="F62" s="351">
        <v>2500</v>
      </c>
      <c r="G62" s="351">
        <v>1.1000000000000001</v>
      </c>
      <c r="H62" s="351" t="s">
        <v>528</v>
      </c>
    </row>
    <row r="63" spans="2:9" ht="33.75" thickBot="1">
      <c r="B63" s="488"/>
      <c r="C63" s="356" t="s">
        <v>529</v>
      </c>
      <c r="D63" s="351" t="s">
        <v>530</v>
      </c>
      <c r="E63" s="351" t="s">
        <v>531</v>
      </c>
      <c r="F63" s="351">
        <v>1800</v>
      </c>
      <c r="G63" s="351">
        <v>1.3</v>
      </c>
      <c r="H63" s="351" t="s">
        <v>532</v>
      </c>
    </row>
    <row r="64" spans="2:9" ht="17.25" thickBot="1">
      <c r="B64" s="489" t="s">
        <v>533</v>
      </c>
      <c r="C64" s="490"/>
      <c r="D64" s="490"/>
      <c r="E64" s="490"/>
      <c r="F64" s="490"/>
      <c r="G64" s="491"/>
      <c r="H64" s="351" t="s">
        <v>534</v>
      </c>
    </row>
  </sheetData>
  <mergeCells count="23">
    <mergeCell ref="B56:B58"/>
    <mergeCell ref="C56:C58"/>
    <mergeCell ref="B59:B63"/>
    <mergeCell ref="B64:G64"/>
    <mergeCell ref="A24:A25"/>
    <mergeCell ref="C24:C25"/>
    <mergeCell ref="E24:E25"/>
    <mergeCell ref="A10:F10"/>
    <mergeCell ref="A1:A2"/>
    <mergeCell ref="B1:B2"/>
    <mergeCell ref="C1:C2"/>
    <mergeCell ref="E1:E2"/>
    <mergeCell ref="A8:C8"/>
    <mergeCell ref="A12:A13"/>
    <mergeCell ref="C12:C13"/>
    <mergeCell ref="E12:E13"/>
    <mergeCell ref="A20:C20"/>
    <mergeCell ref="A22:F22"/>
    <mergeCell ref="H44:H45"/>
    <mergeCell ref="I44:I45"/>
    <mergeCell ref="H35:H36"/>
    <mergeCell ref="I35:I36"/>
    <mergeCell ref="A33:F3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dimension ref="A1:W41"/>
  <sheetViews>
    <sheetView topLeftCell="I24" workbookViewId="0">
      <selection activeCell="W29" sqref="W29"/>
    </sheetView>
  </sheetViews>
  <sheetFormatPr defaultRowHeight="15"/>
  <cols>
    <col min="1" max="1" width="26.85546875" customWidth="1"/>
    <col min="2" max="2" width="13.140625" customWidth="1"/>
    <col min="4" max="4" width="12.7109375" customWidth="1"/>
    <col min="9" max="9" width="38.28515625" bestFit="1" customWidth="1"/>
    <col min="17" max="17" width="14.140625" customWidth="1"/>
    <col min="20" max="20" width="10.42578125" bestFit="1" customWidth="1"/>
    <col min="22" max="22" width="10" bestFit="1" customWidth="1"/>
    <col min="23" max="23" width="11.85546875" bestFit="1" customWidth="1"/>
  </cols>
  <sheetData>
    <row r="1" spans="1:14" ht="20.25" thickBot="1">
      <c r="A1" s="32" t="s">
        <v>70</v>
      </c>
      <c r="B1" s="33" t="s">
        <v>71</v>
      </c>
      <c r="C1" s="33" t="s">
        <v>18</v>
      </c>
      <c r="D1" s="33" t="s">
        <v>72</v>
      </c>
    </row>
    <row r="2" spans="1:14" ht="17.25" thickBot="1">
      <c r="A2" s="2" t="s">
        <v>73</v>
      </c>
      <c r="B2" s="34">
        <v>3</v>
      </c>
      <c r="C2" s="23">
        <v>1.2</v>
      </c>
      <c r="D2" s="35">
        <f t="shared" ref="D2:D7" si="0">C2*B2</f>
        <v>3.5999999999999996</v>
      </c>
    </row>
    <row r="3" spans="1:14" ht="17.25" thickBot="1">
      <c r="A3" s="2" t="s">
        <v>74</v>
      </c>
      <c r="B3" s="34">
        <v>1.5</v>
      </c>
      <c r="C3" s="23">
        <v>1.3</v>
      </c>
      <c r="D3" s="35">
        <f t="shared" si="0"/>
        <v>1.9500000000000002</v>
      </c>
    </row>
    <row r="4" spans="1:14" ht="17.25" thickBot="1">
      <c r="A4" s="2" t="s">
        <v>75</v>
      </c>
      <c r="B4" s="34">
        <v>2</v>
      </c>
      <c r="C4" s="23">
        <v>1.2</v>
      </c>
      <c r="D4" s="35">
        <f t="shared" si="0"/>
        <v>2.4</v>
      </c>
    </row>
    <row r="5" spans="1:14" ht="17.25" thickBot="1">
      <c r="A5" s="2" t="s">
        <v>216</v>
      </c>
      <c r="B5" s="34">
        <v>4</v>
      </c>
      <c r="C5" s="23">
        <v>1.2</v>
      </c>
      <c r="D5" s="35">
        <f t="shared" si="0"/>
        <v>4.8</v>
      </c>
    </row>
    <row r="6" spans="1:14" ht="17.25" thickBot="1">
      <c r="A6" s="2" t="s">
        <v>217</v>
      </c>
      <c r="B6" s="34">
        <v>7</v>
      </c>
      <c r="C6" s="23">
        <v>1.2</v>
      </c>
      <c r="D6" s="35">
        <f t="shared" si="0"/>
        <v>8.4</v>
      </c>
    </row>
    <row r="7" spans="1:14" ht="17.25" thickBot="1">
      <c r="A7" s="2" t="s">
        <v>76</v>
      </c>
      <c r="B7" s="34">
        <v>3</v>
      </c>
      <c r="C7" s="23">
        <v>1.2</v>
      </c>
      <c r="D7" s="35">
        <f t="shared" si="0"/>
        <v>3.5999999999999996</v>
      </c>
    </row>
    <row r="9" spans="1:14" ht="17.25">
      <c r="A9" s="472" t="s">
        <v>77</v>
      </c>
      <c r="B9" s="472"/>
      <c r="C9" s="472"/>
      <c r="D9" s="472"/>
    </row>
    <row r="12" spans="1:14" ht="16.5">
      <c r="H12" s="494" t="s">
        <v>132</v>
      </c>
      <c r="I12" s="495" t="s">
        <v>671</v>
      </c>
      <c r="J12" s="496" t="s">
        <v>672</v>
      </c>
      <c r="K12" s="496"/>
      <c r="L12" s="496"/>
      <c r="M12" s="446" t="s">
        <v>673</v>
      </c>
      <c r="N12" s="446" t="s">
        <v>211</v>
      </c>
    </row>
    <row r="13" spans="1:14" ht="33" customHeight="1">
      <c r="H13" s="494"/>
      <c r="I13" s="495"/>
      <c r="J13" s="496"/>
      <c r="K13" s="496"/>
      <c r="L13" s="496"/>
      <c r="M13" s="492" t="s">
        <v>674</v>
      </c>
      <c r="N13" s="492" t="s">
        <v>682</v>
      </c>
    </row>
    <row r="14" spans="1:14" ht="49.5">
      <c r="H14" s="494"/>
      <c r="I14" s="495"/>
      <c r="J14" s="446" t="s">
        <v>684</v>
      </c>
      <c r="K14" s="446" t="s">
        <v>683</v>
      </c>
      <c r="L14" s="447" t="s">
        <v>675</v>
      </c>
      <c r="M14" s="493"/>
      <c r="N14" s="493"/>
    </row>
    <row r="15" spans="1:14" ht="16.5">
      <c r="H15" s="444">
        <v>1</v>
      </c>
      <c r="I15" s="445" t="s">
        <v>676</v>
      </c>
      <c r="J15" s="444">
        <v>1.8</v>
      </c>
      <c r="K15" s="444">
        <v>3.2</v>
      </c>
      <c r="L15" s="444">
        <v>5</v>
      </c>
      <c r="M15" s="444">
        <v>1.2</v>
      </c>
      <c r="N15" s="444">
        <f>L15*M15</f>
        <v>6</v>
      </c>
    </row>
    <row r="16" spans="1:14" ht="16.5">
      <c r="H16" s="444">
        <v>2</v>
      </c>
      <c r="I16" s="445" t="s">
        <v>677</v>
      </c>
      <c r="J16" s="444">
        <v>1.4</v>
      </c>
      <c r="K16" s="444">
        <v>2.6</v>
      </c>
      <c r="L16" s="444">
        <v>4</v>
      </c>
      <c r="M16" s="444">
        <v>1.2</v>
      </c>
      <c r="N16" s="444">
        <f t="shared" ref="N16:N21" si="1">L16*M16</f>
        <v>4.8</v>
      </c>
    </row>
    <row r="17" spans="8:23" ht="16.5">
      <c r="H17" s="444">
        <v>3</v>
      </c>
      <c r="I17" s="445" t="s">
        <v>685</v>
      </c>
      <c r="J17" s="444">
        <v>1</v>
      </c>
      <c r="K17" s="444">
        <v>2</v>
      </c>
      <c r="L17" s="444">
        <v>3</v>
      </c>
      <c r="M17" s="444">
        <v>1.2</v>
      </c>
      <c r="N17" s="444">
        <f t="shared" si="1"/>
        <v>3.5999999999999996</v>
      </c>
    </row>
    <row r="18" spans="8:23" ht="16.5">
      <c r="H18" s="444">
        <v>4</v>
      </c>
      <c r="I18" s="445" t="s">
        <v>678</v>
      </c>
      <c r="J18" s="444">
        <v>4.8</v>
      </c>
      <c r="K18" s="444">
        <v>0</v>
      </c>
      <c r="L18" s="444">
        <v>4.8</v>
      </c>
      <c r="M18" s="444">
        <v>1.2</v>
      </c>
      <c r="N18" s="444">
        <f t="shared" si="1"/>
        <v>5.76</v>
      </c>
    </row>
    <row r="19" spans="8:23" ht="16.5">
      <c r="H19" s="444">
        <v>5</v>
      </c>
      <c r="I19" s="445" t="s">
        <v>679</v>
      </c>
      <c r="J19" s="444">
        <v>1</v>
      </c>
      <c r="K19" s="444">
        <v>1</v>
      </c>
      <c r="L19" s="444">
        <v>2</v>
      </c>
      <c r="M19" s="444">
        <v>1.2</v>
      </c>
      <c r="N19" s="444">
        <f t="shared" si="1"/>
        <v>2.4</v>
      </c>
    </row>
    <row r="20" spans="8:23" ht="16.5">
      <c r="H20" s="444">
        <v>6</v>
      </c>
      <c r="I20" s="445" t="s">
        <v>680</v>
      </c>
      <c r="J20" s="444">
        <v>0.5</v>
      </c>
      <c r="K20" s="444">
        <v>1</v>
      </c>
      <c r="L20" s="444">
        <v>1.5</v>
      </c>
      <c r="M20" s="444">
        <v>1.3</v>
      </c>
      <c r="N20" s="444">
        <f t="shared" si="1"/>
        <v>1.9500000000000002</v>
      </c>
    </row>
    <row r="21" spans="8:23" ht="16.5">
      <c r="H21" s="444">
        <v>7</v>
      </c>
      <c r="I21" s="445" t="s">
        <v>681</v>
      </c>
      <c r="J21" s="444">
        <v>0</v>
      </c>
      <c r="K21" s="444">
        <v>0.75</v>
      </c>
      <c r="L21" s="444">
        <v>0.75</v>
      </c>
      <c r="M21" s="444">
        <v>1.3</v>
      </c>
      <c r="N21" s="444">
        <f t="shared" si="1"/>
        <v>0.97500000000000009</v>
      </c>
    </row>
    <row r="24" spans="8:23" ht="15.75" thickBot="1"/>
    <row r="25" spans="8:23" ht="18">
      <c r="P25" s="499" t="s">
        <v>132</v>
      </c>
      <c r="Q25" s="501" t="s">
        <v>686</v>
      </c>
      <c r="R25" s="497" t="s">
        <v>687</v>
      </c>
      <c r="S25" s="497" t="s">
        <v>688</v>
      </c>
      <c r="T25" s="497" t="s">
        <v>689</v>
      </c>
      <c r="U25" s="448" t="s">
        <v>690</v>
      </c>
      <c r="V25" s="450" t="s">
        <v>692</v>
      </c>
      <c r="W25" s="450" t="s">
        <v>693</v>
      </c>
    </row>
    <row r="26" spans="8:23" ht="33.75" thickBot="1">
      <c r="P26" s="500"/>
      <c r="Q26" s="502"/>
      <c r="R26" s="498"/>
      <c r="S26" s="498"/>
      <c r="T26" s="498"/>
      <c r="U26" s="449" t="s">
        <v>691</v>
      </c>
      <c r="V26" s="451" t="s">
        <v>698</v>
      </c>
      <c r="W26" s="451" t="s">
        <v>698</v>
      </c>
    </row>
    <row r="27" spans="8:23" ht="17.25" thickBot="1">
      <c r="P27" s="456">
        <v>0</v>
      </c>
      <c r="Q27" s="459" t="s">
        <v>695</v>
      </c>
      <c r="R27" s="456">
        <f>TH!B12</f>
        <v>2.85</v>
      </c>
      <c r="S27" s="7">
        <v>0</v>
      </c>
      <c r="T27" s="7">
        <v>0</v>
      </c>
      <c r="U27" s="7">
        <v>0</v>
      </c>
      <c r="V27" s="7">
        <v>0</v>
      </c>
      <c r="W27" s="7">
        <v>0</v>
      </c>
    </row>
    <row r="28" spans="8:23" ht="17.25" thickBot="1">
      <c r="P28" s="458">
        <v>1</v>
      </c>
      <c r="Q28" s="460" t="s">
        <v>8</v>
      </c>
      <c r="R28" s="443">
        <f>TH!B13</f>
        <v>3.6</v>
      </c>
      <c r="S28" s="457">
        <f>S27+R27</f>
        <v>2.85</v>
      </c>
      <c r="T28" s="462">
        <f>Q38+(S28-P38)*R38</f>
        <v>0.79400000000000004</v>
      </c>
      <c r="U28" s="7">
        <f>R27</f>
        <v>2.85</v>
      </c>
      <c r="V28" s="463">
        <f>0.8*TH!$B$226*T28*1.2*R27</f>
        <v>206.37648000000002</v>
      </c>
      <c r="W28" s="464">
        <f>0.6*TH!$B$226*T28*1.2*R27</f>
        <v>154.78236000000001</v>
      </c>
    </row>
    <row r="29" spans="8:23" ht="17.25" thickBot="1">
      <c r="P29" s="443">
        <v>2</v>
      </c>
      <c r="Q29" s="461" t="s">
        <v>7</v>
      </c>
      <c r="R29" s="443">
        <f>TH!B18</f>
        <v>3.6</v>
      </c>
      <c r="S29" s="457">
        <f t="shared" ref="S29:S31" si="2">S28+R28</f>
        <v>6.45</v>
      </c>
      <c r="T29" s="462">
        <f>Q38+(S29-P38)*R38</f>
        <v>0.93799999999999994</v>
      </c>
      <c r="U29" s="7">
        <f t="shared" ref="U29:U31" si="3">R28</f>
        <v>3.6</v>
      </c>
      <c r="V29" s="463">
        <f>0.8*TH!$B$226*T29*1.2*R28</f>
        <v>307.96415999999999</v>
      </c>
      <c r="W29" s="464">
        <f>0.6*TH!$B$226*T29*1.2*R28</f>
        <v>230.97311999999994</v>
      </c>
    </row>
    <row r="30" spans="8:23" ht="17.25" thickBot="1">
      <c r="P30" s="443">
        <v>3</v>
      </c>
      <c r="Q30" s="461" t="s">
        <v>10</v>
      </c>
      <c r="R30" s="443">
        <f>TH!B19</f>
        <v>3.3</v>
      </c>
      <c r="S30" s="457">
        <f t="shared" si="2"/>
        <v>10.050000000000001</v>
      </c>
      <c r="T30" s="462">
        <f>Q39+(S30-P39)*R39</f>
        <v>1.0012000000000001</v>
      </c>
      <c r="U30" s="7">
        <f t="shared" si="3"/>
        <v>3.6</v>
      </c>
      <c r="V30" s="463">
        <f>0.8*TH!$B$226*T30*1.2*R29</f>
        <v>328.71398399999998</v>
      </c>
      <c r="W30" s="464">
        <f>0.6*TH!$B$226*T30*1.2*R29</f>
        <v>246.53548799999999</v>
      </c>
    </row>
    <row r="31" spans="8:23" ht="17.25" thickBot="1">
      <c r="P31" s="458"/>
      <c r="Q31" s="461"/>
      <c r="R31" s="443"/>
      <c r="S31" s="457">
        <f t="shared" si="2"/>
        <v>13.350000000000001</v>
      </c>
      <c r="T31" s="462">
        <f>Q39+(S31-P39)*R39</f>
        <v>1.0804</v>
      </c>
      <c r="U31" s="7">
        <f t="shared" si="3"/>
        <v>3.3</v>
      </c>
      <c r="V31" s="463">
        <f>0.8*TH!$B$226*T31*1.2*R30</f>
        <v>325.15718399999997</v>
      </c>
      <c r="W31" s="464">
        <f>0.6*TH!$B$226*T31*1.2*R30</f>
        <v>243.86788799999999</v>
      </c>
    </row>
    <row r="32" spans="8:23" ht="17.25" thickBot="1">
      <c r="P32" s="452" t="s">
        <v>694</v>
      </c>
      <c r="Q32" s="453"/>
      <c r="R32" s="442">
        <f>SUM(R27:R30)</f>
        <v>13.350000000000001</v>
      </c>
      <c r="S32" s="454"/>
      <c r="T32" s="454"/>
      <c r="U32" s="455"/>
      <c r="V32" s="454"/>
      <c r="W32" s="454"/>
    </row>
    <row r="37" spans="16:18">
      <c r="P37">
        <v>3</v>
      </c>
      <c r="Q37">
        <v>0.8</v>
      </c>
    </row>
    <row r="38" spans="16:18">
      <c r="P38">
        <v>5</v>
      </c>
      <c r="Q38">
        <v>0.88</v>
      </c>
      <c r="R38">
        <f>(Q38-Q37)/(P38-P37)</f>
        <v>3.999999999999998E-2</v>
      </c>
    </row>
    <row r="39" spans="16:18">
      <c r="P39">
        <v>10</v>
      </c>
      <c r="Q39">
        <v>1</v>
      </c>
      <c r="R39">
        <f t="shared" ref="R39:R41" si="4">(Q39-Q38)/(P39-P38)</f>
        <v>2.4E-2</v>
      </c>
    </row>
    <row r="40" spans="16:18">
      <c r="P40">
        <v>15</v>
      </c>
      <c r="Q40">
        <v>1.08</v>
      </c>
      <c r="R40">
        <f t="shared" si="4"/>
        <v>1.6000000000000014E-2</v>
      </c>
    </row>
    <row r="41" spans="16:18">
      <c r="P41">
        <v>20</v>
      </c>
      <c r="Q41">
        <v>1.1299999999999999</v>
      </c>
      <c r="R41">
        <f t="shared" si="4"/>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dimension ref="B1:T22"/>
  <sheetViews>
    <sheetView workbookViewId="0">
      <selection activeCell="C14" sqref="C14"/>
    </sheetView>
  </sheetViews>
  <sheetFormatPr defaultRowHeight="15"/>
  <cols>
    <col min="3" max="4" width="9.5703125" style="69" bestFit="1" customWidth="1"/>
  </cols>
  <sheetData>
    <row r="1" spans="2:20" ht="19.5" thickBot="1">
      <c r="B1" s="503" t="s">
        <v>201</v>
      </c>
      <c r="C1" s="503"/>
      <c r="D1" s="503"/>
      <c r="E1" s="503"/>
      <c r="F1" s="503"/>
      <c r="G1" s="503"/>
      <c r="H1" s="503"/>
      <c r="I1" s="503"/>
      <c r="J1" s="503"/>
      <c r="K1" s="503"/>
      <c r="L1" s="503"/>
      <c r="M1" s="58"/>
      <c r="N1" s="58"/>
      <c r="O1" s="58"/>
      <c r="P1" s="58"/>
      <c r="Q1" s="58"/>
      <c r="R1" s="58"/>
      <c r="S1" s="58"/>
      <c r="T1" s="58"/>
    </row>
    <row r="2" spans="2:20" ht="15.75">
      <c r="B2" s="504" t="s">
        <v>202</v>
      </c>
      <c r="C2" s="505" t="s">
        <v>203</v>
      </c>
      <c r="D2" s="505" t="s">
        <v>204</v>
      </c>
      <c r="E2" s="504" t="s">
        <v>205</v>
      </c>
      <c r="F2" s="504" t="s">
        <v>206</v>
      </c>
      <c r="G2" s="504" t="s">
        <v>207</v>
      </c>
      <c r="H2" s="504" t="s">
        <v>208</v>
      </c>
      <c r="I2" s="504" t="s">
        <v>209</v>
      </c>
      <c r="J2" s="504"/>
      <c r="K2" s="504" t="s">
        <v>210</v>
      </c>
      <c r="L2" s="504"/>
      <c r="M2" s="58"/>
      <c r="N2" s="58"/>
      <c r="O2" s="58"/>
      <c r="P2" s="58"/>
      <c r="Q2" s="58"/>
      <c r="R2" s="58"/>
      <c r="S2" s="58"/>
      <c r="T2" s="58"/>
    </row>
    <row r="3" spans="2:20" ht="15.75">
      <c r="B3" s="504"/>
      <c r="C3" s="505"/>
      <c r="D3" s="505"/>
      <c r="E3" s="504"/>
      <c r="F3" s="504"/>
      <c r="G3" s="504"/>
      <c r="H3" s="504"/>
      <c r="I3" s="59" t="s">
        <v>211</v>
      </c>
      <c r="J3" s="59" t="s">
        <v>212</v>
      </c>
      <c r="K3" s="59" t="s">
        <v>211</v>
      </c>
      <c r="L3" s="59" t="s">
        <v>212</v>
      </c>
      <c r="M3" s="58"/>
      <c r="N3" s="58"/>
      <c r="O3" s="58"/>
      <c r="P3" s="58"/>
      <c r="Q3" s="58"/>
      <c r="R3" s="58"/>
      <c r="S3" s="58"/>
      <c r="T3" s="58"/>
    </row>
    <row r="4" spans="2:20" ht="15.75">
      <c r="B4" s="504"/>
      <c r="C4" s="506" t="s">
        <v>213</v>
      </c>
      <c r="D4" s="506"/>
      <c r="E4" s="504"/>
      <c r="F4" s="504"/>
      <c r="G4" s="504"/>
      <c r="H4" s="504"/>
      <c r="I4" s="506" t="s">
        <v>214</v>
      </c>
      <c r="J4" s="506"/>
      <c r="K4" s="506"/>
      <c r="L4" s="506"/>
      <c r="M4" s="60"/>
      <c r="N4" s="60"/>
      <c r="O4" s="58"/>
      <c r="P4" s="58"/>
      <c r="Q4" s="58"/>
      <c r="R4" s="58"/>
      <c r="S4" s="58"/>
      <c r="T4" s="58"/>
    </row>
    <row r="5" spans="2:20" ht="15.75">
      <c r="B5" s="61" t="s">
        <v>215</v>
      </c>
      <c r="C5" s="68">
        <f>hoattai_san!$D$3*100</f>
        <v>195.00000000000003</v>
      </c>
      <c r="D5" s="68">
        <f>tinhtai_san!$Q$39*100</f>
        <v>1128</v>
      </c>
      <c r="E5" s="62">
        <f>VLOOKUP(B5,#REF!,2,0)/1000</f>
        <v>3.8</v>
      </c>
      <c r="F5" s="62">
        <f>VLOOKUP(B5,#REF!,3,0)/1000</f>
        <v>5.8</v>
      </c>
      <c r="G5" s="63">
        <f>E5/(2*F5)</f>
        <v>0.32758620689655171</v>
      </c>
      <c r="H5" s="63">
        <f>1-(2*G5^2)+G5^3</f>
        <v>0.82052872196482018</v>
      </c>
      <c r="I5" s="72">
        <f>(5/8)*(C5*E5)/2</f>
        <v>231.56250000000003</v>
      </c>
      <c r="J5" s="70">
        <f>(5/8)*(D5*E5)/2</f>
        <v>1339.5</v>
      </c>
      <c r="K5" s="71">
        <f>$H5*C5*$E5/2</f>
        <v>304.00589148796593</v>
      </c>
      <c r="L5" s="71">
        <f>$H5*D5*$E5/2</f>
        <v>1758.5571569150025</v>
      </c>
      <c r="M5" s="60"/>
      <c r="N5" s="60"/>
      <c r="O5" s="58"/>
      <c r="P5" s="58"/>
      <c r="Q5" s="64"/>
      <c r="R5" s="64"/>
      <c r="S5" s="64"/>
      <c r="T5" s="64"/>
    </row>
    <row r="6" spans="2:20" ht="15.75">
      <c r="B6" s="61" t="s">
        <v>218</v>
      </c>
      <c r="C6" s="68">
        <f>hoattai_san!$D$6*100</f>
        <v>840</v>
      </c>
      <c r="D6" s="68">
        <f>tinhtai_san!$F$8*100</f>
        <v>476</v>
      </c>
      <c r="E6" s="74">
        <f>VLOOKUP(B6,#REF!,2,0)/1000</f>
        <v>3.8</v>
      </c>
      <c r="F6" s="74">
        <f>VLOOKUP(B6,#REF!,3,0)/1000</f>
        <v>5.8</v>
      </c>
      <c r="G6" s="75">
        <f t="shared" ref="G6:G16" si="0">E6/(2*F6)</f>
        <v>0.32758620689655171</v>
      </c>
      <c r="H6" s="75">
        <f t="shared" ref="H6:H16" si="1">1-(2*G6^2)+G6^3</f>
        <v>0.82052872196482018</v>
      </c>
      <c r="I6" s="72">
        <f t="shared" ref="I6:I16" si="2">(5/8)*(C6*E6)/2</f>
        <v>997.5</v>
      </c>
      <c r="J6" s="72">
        <f t="shared" ref="J6:J16" si="3">(5/8)*(D6*E6)/2</f>
        <v>565.25</v>
      </c>
      <c r="K6" s="73">
        <f t="shared" ref="K6:K16" si="4">$H6*C6*$E6/2</f>
        <v>1309.5638402558529</v>
      </c>
      <c r="L6" s="73">
        <f t="shared" ref="L6:L16" si="5">$H6*D6*$E6/2</f>
        <v>742.08617614498337</v>
      </c>
      <c r="M6" s="60"/>
      <c r="N6" s="60"/>
      <c r="O6" s="58"/>
      <c r="P6" s="58"/>
      <c r="Q6" s="64"/>
      <c r="R6" s="64"/>
      <c r="S6" s="64"/>
      <c r="T6" s="64"/>
    </row>
    <row r="7" spans="2:20" ht="15.75">
      <c r="B7" s="61" t="s">
        <v>117</v>
      </c>
      <c r="C7" s="68">
        <f>hoattai_san!$D$5*100</f>
        <v>480</v>
      </c>
      <c r="D7" s="68">
        <f>tinhtai_san!$F$8*100</f>
        <v>476</v>
      </c>
      <c r="E7" s="74">
        <f>VLOOKUP(B7,#REF!,2,0)/1000</f>
        <v>3.8</v>
      </c>
      <c r="F7" s="74">
        <f>VLOOKUP(B7,#REF!,3,0)/1000</f>
        <v>5.8</v>
      </c>
      <c r="G7" s="75">
        <f t="shared" si="0"/>
        <v>0.32758620689655171</v>
      </c>
      <c r="H7" s="75">
        <f t="shared" si="1"/>
        <v>0.82052872196482018</v>
      </c>
      <c r="I7" s="72">
        <f t="shared" si="2"/>
        <v>570</v>
      </c>
      <c r="J7" s="72">
        <f t="shared" si="3"/>
        <v>565.25</v>
      </c>
      <c r="K7" s="73">
        <f t="shared" si="4"/>
        <v>748.32219443191605</v>
      </c>
      <c r="L7" s="73">
        <f t="shared" si="5"/>
        <v>742.08617614498337</v>
      </c>
      <c r="M7" s="60"/>
      <c r="N7" s="60"/>
      <c r="O7" s="58"/>
      <c r="P7" s="58"/>
      <c r="Q7" s="64"/>
      <c r="R7" s="64"/>
      <c r="S7" s="64"/>
      <c r="T7" s="64"/>
    </row>
    <row r="8" spans="2:20" ht="15.75">
      <c r="B8" s="61" t="s">
        <v>115</v>
      </c>
      <c r="C8" s="68">
        <f>hoattai_san!$D$2*100</f>
        <v>359.99999999999994</v>
      </c>
      <c r="D8" s="68">
        <f>tinhtai_san!$F$8*100</f>
        <v>476</v>
      </c>
      <c r="E8" s="74">
        <f>VLOOKUP(B8,#REF!,2,0)/1000</f>
        <v>2.8</v>
      </c>
      <c r="F8" s="74">
        <f>VLOOKUP(B8,#REF!,3,0)/1000</f>
        <v>3.8</v>
      </c>
      <c r="G8" s="75">
        <f t="shared" si="0"/>
        <v>0.36842105263157893</v>
      </c>
      <c r="H8" s="75">
        <f t="shared" si="1"/>
        <v>0.77853914564805371</v>
      </c>
      <c r="I8" s="72">
        <f t="shared" si="2"/>
        <v>314.99999999999994</v>
      </c>
      <c r="J8" s="72">
        <f t="shared" si="3"/>
        <v>416.5</v>
      </c>
      <c r="K8" s="73">
        <f t="shared" si="4"/>
        <v>392.38372940661901</v>
      </c>
      <c r="L8" s="73">
        <f t="shared" si="5"/>
        <v>518.81848665986297</v>
      </c>
      <c r="M8" s="60"/>
      <c r="N8" s="60"/>
      <c r="O8" s="58"/>
      <c r="P8" s="58"/>
      <c r="Q8" s="64"/>
      <c r="R8" s="64"/>
      <c r="S8" s="64"/>
      <c r="T8" s="64"/>
    </row>
    <row r="9" spans="2:20" ht="15.75">
      <c r="B9" s="61" t="s">
        <v>116</v>
      </c>
      <c r="C9" s="68">
        <f>hoattai_san!$D$2*100</f>
        <v>359.99999999999994</v>
      </c>
      <c r="D9" s="68">
        <f>tinhtai_san!$Q$48*100</f>
        <v>610</v>
      </c>
      <c r="E9" s="74">
        <f>VLOOKUP(B9,#REF!,2,0)/1000</f>
        <v>3.8</v>
      </c>
      <c r="F9" s="74">
        <f>VLOOKUP(B9,#REF!,3,0)/1000</f>
        <v>5.3</v>
      </c>
      <c r="G9" s="75">
        <f t="shared" si="0"/>
        <v>0.35849056603773582</v>
      </c>
      <c r="H9" s="75">
        <f t="shared" si="1"/>
        <v>0.78904061742243603</v>
      </c>
      <c r="I9" s="72">
        <f t="shared" si="2"/>
        <v>427.49999999999994</v>
      </c>
      <c r="J9" s="72">
        <f t="shared" si="3"/>
        <v>724.375</v>
      </c>
      <c r="K9" s="73">
        <f t="shared" si="4"/>
        <v>539.7037823169461</v>
      </c>
      <c r="L9" s="73">
        <f t="shared" si="5"/>
        <v>914.49807559260341</v>
      </c>
      <c r="M9" s="60"/>
      <c r="N9" s="60"/>
      <c r="O9" s="58"/>
      <c r="P9" s="58"/>
      <c r="Q9" s="64"/>
      <c r="R9" s="64"/>
      <c r="S9" s="64"/>
      <c r="T9" s="64"/>
    </row>
    <row r="10" spans="2:20" ht="15.75">
      <c r="B10" s="61" t="s">
        <v>120</v>
      </c>
      <c r="C10" s="68">
        <f>hoattai_san!$D$5*100</f>
        <v>480</v>
      </c>
      <c r="D10" s="68">
        <f>tinhtai_san!$F$8*100</f>
        <v>476</v>
      </c>
      <c r="E10" s="74">
        <f>VLOOKUP(B10,#REF!,2,0)/1000</f>
        <v>1.8</v>
      </c>
      <c r="F10" s="74">
        <f>VLOOKUP(B10,#REF!,3,0)/1000</f>
        <v>5.8</v>
      </c>
      <c r="G10" s="75">
        <f t="shared" si="0"/>
        <v>0.15517241379310345</v>
      </c>
      <c r="H10" s="75">
        <f t="shared" si="1"/>
        <v>0.95557935954733697</v>
      </c>
      <c r="I10" s="72">
        <f t="shared" si="2"/>
        <v>270</v>
      </c>
      <c r="J10" s="72">
        <f t="shared" si="3"/>
        <v>267.75</v>
      </c>
      <c r="K10" s="73">
        <f t="shared" si="4"/>
        <v>412.81028332444959</v>
      </c>
      <c r="L10" s="73">
        <f t="shared" si="5"/>
        <v>409.37019763007919</v>
      </c>
      <c r="M10" s="60"/>
      <c r="N10" s="60"/>
      <c r="O10" s="58"/>
      <c r="P10" s="58"/>
      <c r="Q10" s="64"/>
      <c r="R10" s="64"/>
      <c r="S10" s="64"/>
      <c r="T10" s="64"/>
    </row>
    <row r="11" spans="2:20" ht="15.75">
      <c r="B11" s="61" t="s">
        <v>119</v>
      </c>
      <c r="C11" s="68">
        <f>hoattai_san!$D$2*100</f>
        <v>359.99999999999994</v>
      </c>
      <c r="D11" s="68">
        <f>tinhtai_san!$F$8*100</f>
        <v>476</v>
      </c>
      <c r="E11" s="74">
        <f>VLOOKUP(B11,#REF!,2,0)/1000</f>
        <v>1.8</v>
      </c>
      <c r="F11" s="74">
        <f>VLOOKUP(B11,#REF!,3,0)/1000</f>
        <v>2.8</v>
      </c>
      <c r="G11" s="75">
        <f t="shared" si="0"/>
        <v>0.32142857142857145</v>
      </c>
      <c r="H11" s="75">
        <f t="shared" si="1"/>
        <v>0.82657616618075791</v>
      </c>
      <c r="I11" s="72">
        <f t="shared" si="2"/>
        <v>202.49999999999997</v>
      </c>
      <c r="J11" s="72">
        <f t="shared" si="3"/>
        <v>267.75</v>
      </c>
      <c r="K11" s="73">
        <f t="shared" si="4"/>
        <v>267.81067784256555</v>
      </c>
      <c r="L11" s="73">
        <f t="shared" si="5"/>
        <v>354.10522959183669</v>
      </c>
      <c r="M11" s="60"/>
      <c r="N11" s="60"/>
      <c r="O11" s="58"/>
      <c r="P11" s="58"/>
      <c r="Q11" s="64"/>
      <c r="R11" s="64"/>
      <c r="S11" s="64"/>
      <c r="T11" s="64"/>
    </row>
    <row r="12" spans="2:20" ht="15.75">
      <c r="B12" s="61" t="s">
        <v>118</v>
      </c>
      <c r="C12" s="68">
        <f>hoattai_san!$D$2*100</f>
        <v>359.99999999999994</v>
      </c>
      <c r="D12" s="68">
        <f>tinhtai_san!$F$8*100</f>
        <v>476</v>
      </c>
      <c r="E12" s="74">
        <f>VLOOKUP(B12,#REF!,2,0)/1000</f>
        <v>1.8</v>
      </c>
      <c r="F12" s="74">
        <f>VLOOKUP(B12,#REF!,3,0)/1000</f>
        <v>5.3</v>
      </c>
      <c r="G12" s="75">
        <f t="shared" si="0"/>
        <v>0.169811320754717</v>
      </c>
      <c r="H12" s="75">
        <f t="shared" si="1"/>
        <v>0.94722489034572166</v>
      </c>
      <c r="I12" s="72">
        <f t="shared" si="2"/>
        <v>202.49999999999997</v>
      </c>
      <c r="J12" s="72">
        <f t="shared" si="3"/>
        <v>267.75</v>
      </c>
      <c r="K12" s="73">
        <f t="shared" si="4"/>
        <v>306.90086447201378</v>
      </c>
      <c r="L12" s="73">
        <f t="shared" si="5"/>
        <v>405.79114302410716</v>
      </c>
      <c r="M12" s="60"/>
      <c r="N12" s="60"/>
      <c r="O12" s="58"/>
      <c r="P12" s="58"/>
      <c r="Q12" s="64"/>
      <c r="R12" s="64"/>
      <c r="S12" s="64"/>
      <c r="T12" s="64"/>
    </row>
    <row r="13" spans="2:20" ht="15.75">
      <c r="B13" s="61" t="s">
        <v>121</v>
      </c>
      <c r="C13" s="68">
        <f>hoattai_san!$D$2*100</f>
        <v>359.99999999999994</v>
      </c>
      <c r="D13" s="68">
        <f>tinhtai_san!$F$8*100</f>
        <v>476</v>
      </c>
      <c r="E13" s="74">
        <f>VLOOKUP(B13,#REF!,2,0)/1000</f>
        <v>1.8</v>
      </c>
      <c r="F13" s="74">
        <f>VLOOKUP(B13,#REF!,3,0)/1000</f>
        <v>3.8</v>
      </c>
      <c r="G13" s="75">
        <f t="shared" si="0"/>
        <v>0.23684210526315791</v>
      </c>
      <c r="H13" s="75">
        <f t="shared" si="1"/>
        <v>0.90109709870243471</v>
      </c>
      <c r="I13" s="72">
        <f t="shared" si="2"/>
        <v>202.49999999999997</v>
      </c>
      <c r="J13" s="72">
        <f t="shared" si="3"/>
        <v>267.75</v>
      </c>
      <c r="K13" s="73">
        <f t="shared" si="4"/>
        <v>291.9554599795888</v>
      </c>
      <c r="L13" s="73">
        <f t="shared" si="5"/>
        <v>386.02999708412301</v>
      </c>
      <c r="M13" s="60"/>
      <c r="N13" s="60"/>
      <c r="O13" s="58"/>
      <c r="P13" s="58"/>
      <c r="Q13" s="64"/>
      <c r="R13" s="64"/>
      <c r="S13" s="64"/>
      <c r="T13" s="64"/>
    </row>
    <row r="14" spans="2:20" ht="15.75">
      <c r="B14" s="61" t="s">
        <v>122</v>
      </c>
      <c r="C14" s="68">
        <f>hoattai_san!$D$2*100</f>
        <v>359.99999999999994</v>
      </c>
      <c r="D14" s="68">
        <f>tinhtai_san!$F$8*100</f>
        <v>476</v>
      </c>
      <c r="E14" s="74">
        <f>VLOOKUP(B14,#REF!,2,0)/1000</f>
        <v>3.8</v>
      </c>
      <c r="F14" s="74">
        <f>VLOOKUP(B14,#REF!,3,0)/1000</f>
        <v>3.8</v>
      </c>
      <c r="G14" s="75">
        <f t="shared" si="0"/>
        <v>0.5</v>
      </c>
      <c r="H14" s="75">
        <f t="shared" si="1"/>
        <v>0.625</v>
      </c>
      <c r="I14" s="72">
        <f t="shared" si="2"/>
        <v>427.49999999999994</v>
      </c>
      <c r="J14" s="72">
        <f t="shared" si="3"/>
        <v>565.25</v>
      </c>
      <c r="K14" s="73">
        <f t="shared" si="4"/>
        <v>427.49999999999994</v>
      </c>
      <c r="L14" s="73">
        <f t="shared" si="5"/>
        <v>565.25</v>
      </c>
      <c r="M14" s="60"/>
      <c r="N14" s="60"/>
      <c r="O14" s="58"/>
      <c r="P14" s="58"/>
      <c r="Q14" s="64"/>
      <c r="R14" s="64"/>
      <c r="S14" s="64"/>
      <c r="T14" s="64"/>
    </row>
    <row r="15" spans="2:20" ht="15.75">
      <c r="B15" s="61" t="s">
        <v>124</v>
      </c>
      <c r="C15" s="68">
        <f>hoattai_san!$D$2*100</f>
        <v>359.99999999999994</v>
      </c>
      <c r="D15" s="68">
        <f>tinhtai_san!$F$8*100</f>
        <v>476</v>
      </c>
      <c r="E15" s="74">
        <f>VLOOKUP(B15,#REF!,2,0)/1000</f>
        <v>1.8</v>
      </c>
      <c r="F15" s="74">
        <f>VLOOKUP(B15,#REF!,3,0)/1000</f>
        <v>2.5</v>
      </c>
      <c r="G15" s="75">
        <f t="shared" si="0"/>
        <v>0.36</v>
      </c>
      <c r="H15" s="75">
        <f t="shared" si="1"/>
        <v>0.78745600000000004</v>
      </c>
      <c r="I15" s="72">
        <f t="shared" si="2"/>
        <v>202.49999999999997</v>
      </c>
      <c r="J15" s="72">
        <f t="shared" si="3"/>
        <v>267.75</v>
      </c>
      <c r="K15" s="73">
        <f t="shared" si="4"/>
        <v>255.13574399999999</v>
      </c>
      <c r="L15" s="73">
        <f t="shared" si="5"/>
        <v>337.34615040000006</v>
      </c>
      <c r="M15" s="60"/>
      <c r="N15" s="60"/>
      <c r="O15" s="58"/>
      <c r="P15" s="58"/>
      <c r="Q15" s="64"/>
      <c r="R15" s="64"/>
      <c r="S15" s="64"/>
      <c r="T15" s="64"/>
    </row>
    <row r="16" spans="2:20" ht="15.75">
      <c r="B16" s="61" t="s">
        <v>123</v>
      </c>
      <c r="C16" s="68">
        <f>hoattai_san!$D$2*100</f>
        <v>359.99999999999994</v>
      </c>
      <c r="D16" s="68">
        <f>tinhtai_san!$F$8*100</f>
        <v>476</v>
      </c>
      <c r="E16" s="74">
        <f>VLOOKUP(B16,#REF!,2,0)/1000</f>
        <v>2.7</v>
      </c>
      <c r="F16" s="74">
        <f>VLOOKUP(B16,#REF!,3,0)/1000</f>
        <v>3.8</v>
      </c>
      <c r="G16" s="75">
        <f t="shared" si="0"/>
        <v>0.35526315789473689</v>
      </c>
      <c r="H16" s="75">
        <f t="shared" si="1"/>
        <v>0.79241461947805791</v>
      </c>
      <c r="I16" s="72">
        <f t="shared" si="2"/>
        <v>303.74999999999994</v>
      </c>
      <c r="J16" s="72">
        <f t="shared" si="3"/>
        <v>401.625</v>
      </c>
      <c r="K16" s="73">
        <f t="shared" si="4"/>
        <v>385.11350506633607</v>
      </c>
      <c r="L16" s="73">
        <f t="shared" si="5"/>
        <v>509.20563447660004</v>
      </c>
      <c r="M16" s="60"/>
      <c r="N16" s="60"/>
      <c r="O16" s="58"/>
      <c r="P16" s="58"/>
      <c r="Q16" s="64"/>
      <c r="R16" s="64"/>
      <c r="S16" s="64"/>
      <c r="T16" s="64"/>
    </row>
    <row r="17" spans="2:20" ht="15.75">
      <c r="B17" s="61" t="s">
        <v>478</v>
      </c>
      <c r="C17" s="68">
        <f>hoattai_san!$D$2*100</f>
        <v>359.99999999999994</v>
      </c>
      <c r="D17" s="68">
        <f>tinhtai_san!$F$8*100</f>
        <v>476</v>
      </c>
      <c r="E17" s="74">
        <f>VLOOKUP(B17,#REF!,2,0)/1000</f>
        <v>0.7</v>
      </c>
      <c r="F17" s="74">
        <f>VLOOKUP(B17,#REF!,3,0)/1000</f>
        <v>4.2</v>
      </c>
      <c r="G17" s="75">
        <f>E17/(2*F17)</f>
        <v>8.3333333333333329E-2</v>
      </c>
      <c r="H17" s="75">
        <f>1-(2*G17^2)+G17^3</f>
        <v>0.98668981481481488</v>
      </c>
      <c r="I17" s="72">
        <f>(5/8)*(C17*E17)/2</f>
        <v>78.749999999999986</v>
      </c>
      <c r="J17" s="72">
        <f>(5/8)*(D17*E17)/2</f>
        <v>104.125</v>
      </c>
      <c r="K17" s="73">
        <f>$H17*C17*$E17/2</f>
        <v>124.32291666666666</v>
      </c>
      <c r="L17" s="73">
        <f>$H17*D17*$E17/2</f>
        <v>164.38252314814815</v>
      </c>
      <c r="M17" s="60"/>
      <c r="N17" s="60"/>
      <c r="O17" s="58"/>
      <c r="P17" s="58"/>
      <c r="Q17" s="64"/>
      <c r="R17" s="64"/>
      <c r="S17" s="64"/>
      <c r="T17" s="64"/>
    </row>
    <row r="18" spans="2:20" ht="15.75">
      <c r="B18" s="61" t="s">
        <v>479</v>
      </c>
      <c r="C18" s="68">
        <f>hoattai_san!$D$2*100</f>
        <v>359.99999999999994</v>
      </c>
      <c r="D18" s="68">
        <f>tinhtai_san!$F$8*100</f>
        <v>476</v>
      </c>
      <c r="E18" s="74">
        <f>VLOOKUP(B18,#REF!,2,0)/1000</f>
        <v>0.7</v>
      </c>
      <c r="F18" s="74">
        <f>VLOOKUP(B18,#REF!,3,0)/1000</f>
        <v>3.6</v>
      </c>
      <c r="G18" s="75">
        <f>E18/(2*F18)</f>
        <v>9.722222222222221E-2</v>
      </c>
      <c r="H18" s="75">
        <f>1-(2*G18^2)+G18^3</f>
        <v>0.98201463906035669</v>
      </c>
      <c r="I18" s="72">
        <f>(5/8)*(C18*E18)/2</f>
        <v>78.749999999999986</v>
      </c>
      <c r="J18" s="72">
        <f>(5/8)*(D18*E18)/2</f>
        <v>104.125</v>
      </c>
      <c r="K18" s="73">
        <f>$H18*C18*$E18/2</f>
        <v>123.73384452160491</v>
      </c>
      <c r="L18" s="73">
        <f>$H18*D18*$E18/2</f>
        <v>163.6036388674554</v>
      </c>
      <c r="M18" s="60"/>
      <c r="N18" s="60"/>
      <c r="O18" s="58"/>
      <c r="P18" s="58"/>
      <c r="Q18" s="64"/>
      <c r="R18" s="64"/>
      <c r="S18" s="64"/>
      <c r="T18" s="64"/>
    </row>
    <row r="19" spans="2:20" ht="15.75">
      <c r="B19" s="61"/>
      <c r="C19" s="68"/>
      <c r="D19" s="68"/>
      <c r="E19" s="74"/>
      <c r="F19" s="74"/>
      <c r="G19" s="75"/>
      <c r="H19" s="75"/>
      <c r="I19" s="72"/>
      <c r="J19" s="72"/>
      <c r="K19" s="73"/>
      <c r="L19" s="73"/>
      <c r="M19" s="60"/>
      <c r="N19" s="60"/>
      <c r="O19" s="58"/>
      <c r="P19" s="58"/>
      <c r="Q19" s="64"/>
      <c r="R19" s="64"/>
      <c r="S19" s="64"/>
      <c r="T19" s="64"/>
    </row>
    <row r="20" spans="2:20" ht="15.75">
      <c r="B20" s="61"/>
      <c r="C20" s="68"/>
      <c r="D20" s="68"/>
      <c r="E20" s="61"/>
      <c r="F20" s="61"/>
      <c r="G20" s="63"/>
      <c r="H20" s="63"/>
      <c r="I20" s="65"/>
      <c r="J20" s="65"/>
      <c r="K20" s="66"/>
      <c r="L20" s="66"/>
      <c r="M20" s="60"/>
      <c r="N20" s="60"/>
      <c r="O20" s="58"/>
      <c r="P20" s="58"/>
      <c r="Q20" s="64"/>
      <c r="R20" s="64"/>
      <c r="S20" s="64"/>
      <c r="T20" s="64"/>
    </row>
    <row r="21" spans="2:20" ht="15.75">
      <c r="B21" s="61"/>
      <c r="C21" s="68"/>
      <c r="D21" s="68"/>
      <c r="E21" s="61"/>
      <c r="F21" s="61"/>
      <c r="G21" s="63"/>
      <c r="H21" s="63"/>
      <c r="I21" s="65"/>
      <c r="J21" s="65"/>
      <c r="K21" s="66"/>
      <c r="L21" s="66"/>
      <c r="M21" s="60"/>
      <c r="N21" s="60"/>
      <c r="O21" s="58"/>
      <c r="P21" s="58"/>
      <c r="Q21" s="64"/>
      <c r="R21" s="64"/>
      <c r="S21" s="64"/>
      <c r="T21" s="64"/>
    </row>
    <row r="22" spans="2:20" ht="15.75">
      <c r="B22" s="61"/>
      <c r="C22" s="68"/>
      <c r="D22" s="68"/>
      <c r="E22" s="61"/>
      <c r="F22" s="61"/>
      <c r="G22" s="63"/>
      <c r="H22" s="63"/>
      <c r="I22" s="65"/>
      <c r="J22" s="65"/>
      <c r="K22" s="66"/>
      <c r="L22" s="66"/>
      <c r="M22" s="58"/>
      <c r="N22" s="58"/>
      <c r="O22" s="67"/>
      <c r="P22" s="58"/>
      <c r="Q22" s="64"/>
      <c r="R22" s="64"/>
      <c r="S22" s="64"/>
      <c r="T22" s="64"/>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dimension ref="A1:H16"/>
  <sheetViews>
    <sheetView workbookViewId="0">
      <selection activeCell="E13" sqref="E13:F14"/>
    </sheetView>
  </sheetViews>
  <sheetFormatPr defaultRowHeight="15"/>
  <sheetData>
    <row r="1" spans="1:8" ht="19.5">
      <c r="A1" s="76" t="s">
        <v>219</v>
      </c>
      <c r="B1" s="76" t="s">
        <v>220</v>
      </c>
      <c r="C1" s="76" t="s">
        <v>220</v>
      </c>
      <c r="D1" s="564" t="s">
        <v>221</v>
      </c>
      <c r="E1" s="76" t="s">
        <v>222</v>
      </c>
      <c r="F1" s="76" t="s">
        <v>223</v>
      </c>
      <c r="G1" s="76" t="s">
        <v>224</v>
      </c>
      <c r="H1" s="80" t="s">
        <v>225</v>
      </c>
    </row>
    <row r="2" spans="1:8" ht="19.5">
      <c r="A2" s="77" t="s">
        <v>226</v>
      </c>
      <c r="B2" s="77" t="s">
        <v>227</v>
      </c>
      <c r="C2" s="77" t="s">
        <v>228</v>
      </c>
      <c r="D2" s="565"/>
      <c r="E2" s="77" t="s">
        <v>229</v>
      </c>
      <c r="F2" s="77" t="s">
        <v>229</v>
      </c>
      <c r="G2" s="77" t="s">
        <v>230</v>
      </c>
      <c r="H2" s="81" t="s">
        <v>231</v>
      </c>
    </row>
    <row r="3" spans="1:8" ht="19.5">
      <c r="A3" s="77" t="s">
        <v>232</v>
      </c>
      <c r="B3" s="77" t="s">
        <v>233</v>
      </c>
      <c r="C3" s="77" t="s">
        <v>234</v>
      </c>
      <c r="D3" s="565"/>
      <c r="E3" s="77" t="s">
        <v>235</v>
      </c>
      <c r="F3" s="77" t="s">
        <v>236</v>
      </c>
      <c r="G3" s="77" t="s">
        <v>237</v>
      </c>
      <c r="H3" s="81" t="s">
        <v>238</v>
      </c>
    </row>
    <row r="4" spans="1:8" ht="36">
      <c r="A4" s="77" t="s">
        <v>239</v>
      </c>
      <c r="B4" s="77" t="s">
        <v>64</v>
      </c>
      <c r="C4" s="77" t="s">
        <v>64</v>
      </c>
      <c r="D4" s="565"/>
      <c r="E4" s="77" t="s">
        <v>240</v>
      </c>
      <c r="F4" s="77" t="s">
        <v>240</v>
      </c>
      <c r="G4" s="77" t="s">
        <v>241</v>
      </c>
      <c r="H4" s="82"/>
    </row>
    <row r="5" spans="1:8" ht="36.75" thickBot="1">
      <c r="A5" s="78"/>
      <c r="B5" s="78"/>
      <c r="C5" s="78"/>
      <c r="D5" s="566"/>
      <c r="E5" s="78"/>
      <c r="F5" s="78"/>
      <c r="G5" s="79" t="s">
        <v>240</v>
      </c>
      <c r="H5" s="83"/>
    </row>
    <row r="6" spans="1:8" ht="17.25" thickBot="1">
      <c r="A6" s="84">
        <v>1</v>
      </c>
      <c r="B6" s="84">
        <v>3</v>
      </c>
      <c r="C6" s="84">
        <v>2</v>
      </c>
      <c r="D6" s="84">
        <v>4</v>
      </c>
      <c r="E6" s="84">
        <v>5</v>
      </c>
      <c r="F6" s="84">
        <v>6</v>
      </c>
      <c r="G6" s="84">
        <v>7</v>
      </c>
      <c r="H6" s="85">
        <v>8</v>
      </c>
    </row>
    <row r="7" spans="1:8" ht="17.25" thickBot="1">
      <c r="A7" s="562" t="s">
        <v>120</v>
      </c>
      <c r="B7" s="562">
        <f>VLOOKUP('momen 1p'!A7:A8,'tải sàn'!$B$5:$F$19,4,0)</f>
        <v>1.8</v>
      </c>
      <c r="C7" s="562">
        <f>VLOOKUP('momen 1p'!A7:A8,'tải sàn'!$B$5:$F$19,5,0)</f>
        <v>5.8</v>
      </c>
      <c r="D7" s="562">
        <f>ROUND(C7/B7,1)</f>
        <v>3.2</v>
      </c>
      <c r="E7" s="562">
        <f>VLOOKUP('momen 1p'!A7:A8,'tải sàn'!$B$5:$F$19,2,0)</f>
        <v>480</v>
      </c>
      <c r="F7" s="562">
        <f>VLOOKUP('momen 1p'!A7:A8,'tải sàn'!$B$5:$F$19,3,0)</f>
        <v>476</v>
      </c>
      <c r="G7" s="562">
        <f>E7+F7</f>
        <v>956</v>
      </c>
      <c r="H7" s="86">
        <f>ROUND(G7*B7^2/24,2)</f>
        <v>129.06</v>
      </c>
    </row>
    <row r="8" spans="1:8" ht="17.25" thickBot="1">
      <c r="A8" s="563"/>
      <c r="B8" s="563"/>
      <c r="C8" s="563"/>
      <c r="D8" s="563"/>
      <c r="E8" s="563"/>
      <c r="F8" s="563"/>
      <c r="G8" s="563"/>
      <c r="H8" s="86">
        <f>ROUND(G7*B7^2/12,2)</f>
        <v>258.12</v>
      </c>
    </row>
    <row r="9" spans="1:8" ht="17.25" thickBot="1">
      <c r="A9" s="562" t="s">
        <v>118</v>
      </c>
      <c r="B9" s="562">
        <f>VLOOKUP('momen 1p'!A9:A10,'tải sàn'!$B$5:$F$19,4,0)</f>
        <v>1.8</v>
      </c>
      <c r="C9" s="562">
        <f>VLOOKUP('momen 1p'!A9:A10,'tải sàn'!$B$5:$F$19,5,0)</f>
        <v>5.3</v>
      </c>
      <c r="D9" s="562">
        <f>ROUND(C9/B9,1)</f>
        <v>2.9</v>
      </c>
      <c r="E9" s="562">
        <f>VLOOKUP('momen 1p'!A9:A10,'tải sàn'!$B$5:$F$19,2,0)</f>
        <v>359.99999999999994</v>
      </c>
      <c r="F9" s="562">
        <f>VLOOKUP('momen 1p'!A9:A10,'tải sàn'!$B$5:$F$19,3,0)</f>
        <v>476</v>
      </c>
      <c r="G9" s="562">
        <f>E9+F9</f>
        <v>836</v>
      </c>
      <c r="H9" s="86">
        <f>ROUND(G9*B9^2/24,2)</f>
        <v>112.86</v>
      </c>
    </row>
    <row r="10" spans="1:8" ht="17.25" thickBot="1">
      <c r="A10" s="563"/>
      <c r="B10" s="563"/>
      <c r="C10" s="563"/>
      <c r="D10" s="563"/>
      <c r="E10" s="563"/>
      <c r="F10" s="563"/>
      <c r="G10" s="563"/>
      <c r="H10" s="86">
        <f>ROUND(G9*B9^2/12,2)</f>
        <v>225.72</v>
      </c>
    </row>
    <row r="11" spans="1:8" ht="17.25" thickBot="1">
      <c r="A11" s="562" t="s">
        <v>121</v>
      </c>
      <c r="B11" s="562">
        <f>VLOOKUP('momen 1p'!A11:A12,'tải sàn'!$B$5:$F$19,4,0)</f>
        <v>1.8</v>
      </c>
      <c r="C11" s="562">
        <f>VLOOKUP('momen 1p'!A11:A12,'tải sàn'!$B$5:$F$19,5,0)</f>
        <v>3.8</v>
      </c>
      <c r="D11" s="562">
        <f>ROUND(C11/B11,1)</f>
        <v>2.1</v>
      </c>
      <c r="E11" s="562">
        <f>VLOOKUP('momen 1p'!A11:A12,'tải sàn'!$B$5:$F$19,2,0)</f>
        <v>359.99999999999994</v>
      </c>
      <c r="F11" s="562">
        <f>VLOOKUP('momen 1p'!A11:A12,'tải sàn'!$B$5:$F$19,3,0)</f>
        <v>476</v>
      </c>
      <c r="G11" s="562">
        <f>E11+F11</f>
        <v>836</v>
      </c>
      <c r="H11" s="86">
        <f>ROUND(G11*B11^2/24,2)</f>
        <v>112.86</v>
      </c>
    </row>
    <row r="12" spans="1:8" ht="17.25" thickBot="1">
      <c r="A12" s="563"/>
      <c r="B12" s="563"/>
      <c r="C12" s="563"/>
      <c r="D12" s="563"/>
      <c r="E12" s="563"/>
      <c r="F12" s="563"/>
      <c r="G12" s="563"/>
      <c r="H12" s="86">
        <f>ROUND(G11*B11^2/12,2)</f>
        <v>225.72</v>
      </c>
    </row>
    <row r="13" spans="1:8" ht="17.25" thickBot="1">
      <c r="A13" s="562" t="s">
        <v>478</v>
      </c>
      <c r="B13" s="562">
        <f>VLOOKUP('momen 1p'!A13:A14,'tải sàn'!$B$5:$F$19,4,0)</f>
        <v>0.7</v>
      </c>
      <c r="C13" s="562">
        <f>VLOOKUP('momen 1p'!A13:A14,'tải sàn'!$B$5:$F$19,5,0)</f>
        <v>4.2</v>
      </c>
      <c r="D13" s="562">
        <f>ROUND(C13/B13,1)</f>
        <v>6</v>
      </c>
      <c r="E13" s="562">
        <f>VLOOKUP('momen 1p'!A13:A14,'tải sàn'!$B$5:$F$19,2,0)</f>
        <v>359.99999999999994</v>
      </c>
      <c r="F13" s="562">
        <f>VLOOKUP('momen 1p'!A13:A14,'tải sàn'!$B$5:$F$19,3,0)</f>
        <v>476</v>
      </c>
      <c r="G13" s="562">
        <f>E13+F13</f>
        <v>836</v>
      </c>
      <c r="H13" s="344">
        <f>ROUND(G13*B13^2/24,2)</f>
        <v>17.07</v>
      </c>
    </row>
    <row r="14" spans="1:8" ht="17.25" thickBot="1">
      <c r="A14" s="563"/>
      <c r="B14" s="563"/>
      <c r="C14" s="563"/>
      <c r="D14" s="563"/>
      <c r="E14" s="563"/>
      <c r="F14" s="563"/>
      <c r="G14" s="563"/>
      <c r="H14" s="344">
        <f>ROUND(G13*B13^2/12,2)</f>
        <v>34.14</v>
      </c>
    </row>
    <row r="15" spans="1:8" ht="17.25" thickBot="1">
      <c r="A15" s="562" t="s">
        <v>479</v>
      </c>
      <c r="B15" s="562">
        <f>VLOOKUP('momen 1p'!A15:A16,'tải sàn'!$B$5:$F$19,4,0)</f>
        <v>0.7</v>
      </c>
      <c r="C15" s="562">
        <f>VLOOKUP('momen 1p'!A15:A16,'tải sàn'!$B$5:$F$19,5,0)</f>
        <v>3.6</v>
      </c>
      <c r="D15" s="562">
        <f>ROUND(C15/B15,1)</f>
        <v>5.0999999999999996</v>
      </c>
      <c r="E15" s="562">
        <f>VLOOKUP('momen 1p'!A15:A16,'tải sàn'!$B$5:$F$19,2,0)</f>
        <v>359.99999999999994</v>
      </c>
      <c r="F15" s="562">
        <f>VLOOKUP('momen 1p'!A15:A16,'tải sàn'!$B$5:$F$19,3,0)</f>
        <v>476</v>
      </c>
      <c r="G15" s="562">
        <f>E15+F15</f>
        <v>836</v>
      </c>
      <c r="H15" s="344">
        <f>ROUND(G15*B15^2/24,2)</f>
        <v>17.07</v>
      </c>
    </row>
    <row r="16" spans="1:8" ht="17.25" thickBot="1">
      <c r="A16" s="563"/>
      <c r="B16" s="563"/>
      <c r="C16" s="563"/>
      <c r="D16" s="563"/>
      <c r="E16" s="563"/>
      <c r="F16" s="563"/>
      <c r="G16" s="563"/>
      <c r="H16" s="344">
        <f>ROUND(G15*B15^2/12,2)</f>
        <v>34.14</v>
      </c>
    </row>
  </sheetData>
  <mergeCells count="36">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 ref="A11:A12"/>
    <mergeCell ref="B11:B12"/>
    <mergeCell ref="C11:C12"/>
    <mergeCell ref="D11:D12"/>
    <mergeCell ref="E11:E12"/>
    <mergeCell ref="F11:F12"/>
    <mergeCell ref="F7:F8"/>
    <mergeCell ref="G7:G8"/>
    <mergeCell ref="G9:G10"/>
    <mergeCell ref="G11:G12"/>
    <mergeCell ref="F9:F10"/>
    <mergeCell ref="A9:A10"/>
    <mergeCell ref="B9:B10"/>
    <mergeCell ref="C9:C10"/>
    <mergeCell ref="D9:D10"/>
    <mergeCell ref="E9:E10"/>
    <mergeCell ref="E7:E8"/>
    <mergeCell ref="D1:D5"/>
    <mergeCell ref="A7:A8"/>
    <mergeCell ref="C7:C8"/>
    <mergeCell ref="B7:B8"/>
    <mergeCell ref="D7: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dimension ref="B1:T18"/>
  <sheetViews>
    <sheetView workbookViewId="0">
      <selection activeCell="F7" sqref="F7"/>
    </sheetView>
  </sheetViews>
  <sheetFormatPr defaultRowHeight="15"/>
  <cols>
    <col min="3" max="3" width="10.140625" customWidth="1"/>
  </cols>
  <sheetData>
    <row r="1" spans="2:20" ht="15.75" thickBot="1">
      <c r="B1" s="370"/>
      <c r="C1" s="370"/>
      <c r="D1" s="370"/>
      <c r="E1" s="370"/>
      <c r="F1" s="370"/>
      <c r="G1" s="370"/>
      <c r="H1" s="370"/>
      <c r="I1" s="370"/>
      <c r="J1" s="370"/>
      <c r="K1" s="370"/>
      <c r="L1" s="370"/>
      <c r="M1" s="370"/>
      <c r="N1" s="370"/>
      <c r="O1" s="370"/>
      <c r="P1" s="370"/>
      <c r="Q1" s="370"/>
      <c r="R1" s="370"/>
      <c r="S1" s="370"/>
      <c r="T1" s="370"/>
    </row>
    <row r="2" spans="2:20" ht="19.5" thickBot="1">
      <c r="B2" s="503" t="s">
        <v>607</v>
      </c>
      <c r="C2" s="503"/>
      <c r="D2" s="503"/>
      <c r="E2" s="503"/>
      <c r="F2" s="503"/>
      <c r="G2" s="503"/>
      <c r="H2" s="503"/>
      <c r="I2" s="503"/>
      <c r="J2" s="503"/>
      <c r="K2" s="503"/>
      <c r="L2" s="503"/>
      <c r="M2" s="503"/>
      <c r="N2" s="503"/>
      <c r="O2" s="503"/>
      <c r="P2" s="503"/>
      <c r="Q2" s="503"/>
      <c r="R2" s="503"/>
      <c r="S2" s="370"/>
      <c r="T2" s="370"/>
    </row>
    <row r="3" spans="2:20" ht="16.5" thickBot="1">
      <c r="B3" s="507" t="s">
        <v>588</v>
      </c>
      <c r="C3" s="507" t="s">
        <v>589</v>
      </c>
      <c r="D3" s="507" t="s">
        <v>590</v>
      </c>
      <c r="E3" s="507"/>
      <c r="F3" s="507" t="s">
        <v>591</v>
      </c>
      <c r="G3" s="507" t="s">
        <v>592</v>
      </c>
      <c r="H3" s="507"/>
      <c r="I3" s="507"/>
      <c r="J3" s="507" t="s">
        <v>593</v>
      </c>
      <c r="K3" s="507"/>
      <c r="L3" s="507"/>
      <c r="M3" s="507"/>
      <c r="N3" s="507" t="s">
        <v>594</v>
      </c>
      <c r="O3" s="507"/>
      <c r="P3" s="507"/>
      <c r="Q3" s="507" t="s">
        <v>595</v>
      </c>
      <c r="R3" s="507"/>
      <c r="S3" s="370"/>
      <c r="T3" s="370"/>
    </row>
    <row r="4" spans="2:20" ht="18" thickBot="1">
      <c r="B4" s="507"/>
      <c r="C4" s="507"/>
      <c r="D4" s="507"/>
      <c r="E4" s="507"/>
      <c r="F4" s="507"/>
      <c r="G4" s="507"/>
      <c r="H4" s="507"/>
      <c r="I4" s="507"/>
      <c r="J4" s="507"/>
      <c r="K4" s="507"/>
      <c r="L4" s="507"/>
      <c r="M4" s="507"/>
      <c r="N4" s="373" t="s">
        <v>596</v>
      </c>
      <c r="O4" s="373" t="s">
        <v>597</v>
      </c>
      <c r="P4" s="373" t="s">
        <v>598</v>
      </c>
      <c r="Q4" s="373" t="s">
        <v>596</v>
      </c>
      <c r="R4" s="373" t="s">
        <v>598</v>
      </c>
      <c r="S4" s="370"/>
      <c r="T4" s="370"/>
    </row>
    <row r="5" spans="2:20" ht="15.75">
      <c r="B5" s="507"/>
      <c r="C5" s="374" t="s">
        <v>6</v>
      </c>
      <c r="D5" s="374" t="s">
        <v>599</v>
      </c>
      <c r="E5" s="374" t="s">
        <v>600</v>
      </c>
      <c r="F5" s="374" t="s">
        <v>601</v>
      </c>
      <c r="G5" s="374" t="s">
        <v>602</v>
      </c>
      <c r="H5" s="374" t="s">
        <v>603</v>
      </c>
      <c r="I5" s="374" t="s">
        <v>224</v>
      </c>
      <c r="J5" s="507"/>
      <c r="K5" s="507"/>
      <c r="L5" s="507"/>
      <c r="M5" s="507"/>
      <c r="N5" s="374" t="s">
        <v>601</v>
      </c>
      <c r="O5" s="374" t="s">
        <v>601</v>
      </c>
      <c r="P5" s="374" t="s">
        <v>604</v>
      </c>
      <c r="Q5" s="374" t="s">
        <v>601</v>
      </c>
      <c r="R5" s="374" t="s">
        <v>604</v>
      </c>
      <c r="S5" s="370"/>
      <c r="T5" s="370"/>
    </row>
    <row r="6" spans="2:20" ht="15.75">
      <c r="B6" s="375">
        <v>1</v>
      </c>
      <c r="C6" s="372">
        <v>4</v>
      </c>
      <c r="D6" s="371">
        <f>TH!$B$53/10</f>
        <v>20</v>
      </c>
      <c r="E6" s="371">
        <f>TH!$B$50/10</f>
        <v>35</v>
      </c>
      <c r="F6" s="376">
        <f>1.1*D6*E6*2500/10000</f>
        <v>192.5</v>
      </c>
      <c r="G6" s="371">
        <v>200</v>
      </c>
      <c r="H6" s="372">
        <f>TH!$B$18</f>
        <v>3.6</v>
      </c>
      <c r="I6" s="377">
        <f>IF(G6=100,180*1.1*H6,IF(G6=200,330*1.1*H6,0))</f>
        <v>1306.8000000000002</v>
      </c>
      <c r="J6" s="378" t="s">
        <v>117</v>
      </c>
      <c r="K6" s="379" t="s">
        <v>605</v>
      </c>
      <c r="L6" s="378"/>
      <c r="M6" s="379"/>
      <c r="N6" s="380">
        <f>(IF(K6="HT",VLOOKUP(J6,'tải sàn'!$B$5:$L$50,11,0),IF(K6="TG",VLOOKUP(J6,'tải sàn'!$B$5:$L$50,9,0),0)))+(IF(M6="HT",VLOOKUP(L6,'tải sàn'!$B$5:$L$50,11,0),IF(M6="TG",VLOOKUP(L6,'tải sàn'!$B$5:$L$50,9,0),0)))</f>
        <v>565.25</v>
      </c>
      <c r="O6" s="380">
        <f>F6+I6+N6</f>
        <v>2064.5500000000002</v>
      </c>
      <c r="P6" s="381">
        <f>O6*C6/2</f>
        <v>4129.1000000000004</v>
      </c>
      <c r="Q6" s="380">
        <f>(IF(K6="HT",VLOOKUP(J6,'tải sàn'!$B$5:$L$50,10,0),IF(K6="TG",VLOOKUP(J6,'tải sàn'!$B$5:$L$50,8,0),0)))+(IF(M6="HT",VLOOKUP(L6,'tải sàn'!$B$5:$L$50,10,0),IF(M6="TG",VLOOKUP(L6,'tải sàn'!$B$5:$L$50,8,0),0)))</f>
        <v>570</v>
      </c>
      <c r="R6" s="381">
        <f>Q6*C6/2</f>
        <v>1140</v>
      </c>
      <c r="S6" s="382"/>
      <c r="T6" s="370"/>
    </row>
    <row r="7" spans="2:20" ht="15.75">
      <c r="B7" s="375">
        <v>2</v>
      </c>
      <c r="C7" s="372">
        <v>4</v>
      </c>
      <c r="D7" s="371">
        <f>TH!$B$53/10</f>
        <v>20</v>
      </c>
      <c r="E7" s="371">
        <f>TH!$B$50/10</f>
        <v>35</v>
      </c>
      <c r="F7" s="376">
        <f>1.1*D7*E7*2500/10000</f>
        <v>192.5</v>
      </c>
      <c r="G7" s="371">
        <v>100</v>
      </c>
      <c r="H7" s="372">
        <f>TH!$B$18</f>
        <v>3.6</v>
      </c>
      <c r="I7" s="377">
        <f>IF(G7=100,180*1.1*H7,IF(G7=200,330*1.1*H7,0))</f>
        <v>712.80000000000007</v>
      </c>
      <c r="J7" s="378" t="s">
        <v>117</v>
      </c>
      <c r="K7" s="379" t="s">
        <v>605</v>
      </c>
      <c r="L7" s="378" t="s">
        <v>115</v>
      </c>
      <c r="M7" s="379" t="s">
        <v>606</v>
      </c>
      <c r="N7" s="380">
        <f>(IF(K7="HT",VLOOKUP(J7,'tải sàn'!$B$5:$L$50,11,0),IF(K7="TG",VLOOKUP(J7,'tải sàn'!$B$5:$L$50,9,0),0)))+(IF(M7="HT",VLOOKUP(L7,'tải sàn'!$B$5:$L$50,11,0),IF(M7="TG",VLOOKUP(L7,'tải sàn'!$B$5:$L$50,9,0),0)))</f>
        <v>1084.0684866598631</v>
      </c>
      <c r="O7" s="380">
        <f>F7+I7+N7</f>
        <v>1989.3684866598633</v>
      </c>
      <c r="P7" s="381">
        <f>O7*C7/2</f>
        <v>3978.7369733197265</v>
      </c>
      <c r="Q7" s="380">
        <f>(IF(K7="HT",VLOOKUP(J7,'tải sàn'!$B$5:$L$50,10,0),IF(K7="TG",VLOOKUP(J7,'tải sàn'!$B$5:$L$50,8,0),0)))+(IF(M7="HT",VLOOKUP(L7,'tải sàn'!$B$5:$L$50,10,0),IF(M7="TG",VLOOKUP(L7,'tải sàn'!$B$5:$L$50,8,0),0)))</f>
        <v>962.38372940661907</v>
      </c>
      <c r="R7" s="381">
        <f>Q7*C7/2</f>
        <v>1924.7674588132381</v>
      </c>
      <c r="S7" s="370"/>
      <c r="T7" s="382"/>
    </row>
    <row r="8" spans="2:20" ht="15.75">
      <c r="B8" s="375">
        <v>3</v>
      </c>
      <c r="C8" s="372">
        <v>2</v>
      </c>
      <c r="D8" s="371">
        <f>TH!$B$53/10</f>
        <v>20</v>
      </c>
      <c r="E8" s="371">
        <f>TH!$B$50/10</f>
        <v>35</v>
      </c>
      <c r="F8" s="376">
        <f>1.1*D8*E8*2500/10000</f>
        <v>192.5</v>
      </c>
      <c r="G8" s="371">
        <v>0</v>
      </c>
      <c r="H8" s="372">
        <f>TH!$B$18</f>
        <v>3.6</v>
      </c>
      <c r="I8" s="377">
        <f>IF(G8=100,180*1.1*H8,IF(G8=200,330*1.1*H8,0))</f>
        <v>0</v>
      </c>
      <c r="J8" s="378" t="s">
        <v>120</v>
      </c>
      <c r="K8" s="379" t="s">
        <v>606</v>
      </c>
      <c r="L8" s="378" t="s">
        <v>119</v>
      </c>
      <c r="M8" s="379" t="s">
        <v>605</v>
      </c>
      <c r="N8" s="380">
        <f>(IF(K8="HT",VLOOKUP(J8,'tải sàn'!$B$5:$L$50,11,0),IF(K8="TG",VLOOKUP(J8,'tải sàn'!$B$5:$L$50,9,0),0)))+(IF(M8="HT",VLOOKUP(L8,'tải sàn'!$B$5:$L$50,11,0),IF(M8="TG",VLOOKUP(L8,'tải sàn'!$B$5:$L$50,9,0),0)))</f>
        <v>677.12019763007925</v>
      </c>
      <c r="O8" s="380">
        <f>F8+I8+N8</f>
        <v>869.62019763007925</v>
      </c>
      <c r="P8" s="381">
        <f>O8*C8/2</f>
        <v>869.62019763007925</v>
      </c>
      <c r="Q8" s="380">
        <f>(IF(K8="HT",VLOOKUP(J8,'tải sàn'!$B$5:$L$50,10,0),IF(K8="TG",VLOOKUP(J8,'tải sàn'!$B$5:$L$50,8,0),0)))+(IF(M8="HT",VLOOKUP(L8,'tải sàn'!$B$5:$L$50,10,0),IF(M8="TG",VLOOKUP(L8,'tải sàn'!$B$5:$L$50,8,0),0)))</f>
        <v>615.31028332444953</v>
      </c>
      <c r="R8" s="381">
        <f>Q8*C8/2</f>
        <v>615.31028332444953</v>
      </c>
      <c r="S8" s="370"/>
      <c r="T8" s="383"/>
    </row>
    <row r="9" spans="2:20" ht="15.75">
      <c r="B9" s="375">
        <v>4</v>
      </c>
      <c r="C9" s="372">
        <v>4</v>
      </c>
      <c r="D9" s="371">
        <f>TH!$B$53/10</f>
        <v>20</v>
      </c>
      <c r="E9" s="371">
        <f>TH!$B$50/10</f>
        <v>35</v>
      </c>
      <c r="F9" s="376">
        <f>1.1*D9*E9*2500/10000</f>
        <v>192.5</v>
      </c>
      <c r="G9" s="371">
        <v>0</v>
      </c>
      <c r="H9" s="372">
        <f>TH!$B$18</f>
        <v>3.6</v>
      </c>
      <c r="I9" s="377">
        <f>IF(G9=100,180*1.1*H9,IF(G9=200,330*1.1*H9,0))</f>
        <v>0</v>
      </c>
      <c r="J9" s="378" t="s">
        <v>215</v>
      </c>
      <c r="K9" s="379" t="s">
        <v>605</v>
      </c>
      <c r="L9" s="378" t="s">
        <v>115</v>
      </c>
      <c r="M9" s="379" t="s">
        <v>606</v>
      </c>
      <c r="N9" s="380">
        <f>(IF(K9="HT",VLOOKUP(J9,'tải sàn'!$B$5:$L$50,11,0),IF(K9="TG",VLOOKUP(J9,'tải sàn'!$B$5:$L$50,9,0),0)))+(IF(M9="HT",VLOOKUP(L9,'tải sàn'!$B$5:$L$50,11,0),IF(M9="TG",VLOOKUP(L9,'tải sàn'!$B$5:$L$50,9,0),0)))</f>
        <v>1858.3184866598631</v>
      </c>
      <c r="O9" s="380">
        <f>F9+I9+N9</f>
        <v>2050.8184866598631</v>
      </c>
      <c r="P9" s="381">
        <f>O9*C9/2</f>
        <v>4101.6369733197262</v>
      </c>
      <c r="Q9" s="380">
        <f>(IF(K9="HT",VLOOKUP(J9,'tải sàn'!$B$5:$L$50,10,0),IF(K9="TG",VLOOKUP(J9,'tải sàn'!$B$5:$L$50,8,0),0)))+(IF(M9="HT",VLOOKUP(L9,'tải sàn'!$B$5:$L$50,10,0),IF(M9="TG",VLOOKUP(L9,'tải sàn'!$B$5:$L$50,8,0),0)))</f>
        <v>623.94622940661907</v>
      </c>
      <c r="R9" s="381">
        <f>Q9*C9/2</f>
        <v>1247.8924588132381</v>
      </c>
      <c r="S9" s="382"/>
      <c r="T9" s="370"/>
    </row>
    <row r="10" spans="2:20" ht="15.75">
      <c r="B10" s="384">
        <v>5</v>
      </c>
      <c r="C10" s="385">
        <v>6</v>
      </c>
      <c r="D10" s="371">
        <f>TH!$B$53/10</f>
        <v>20</v>
      </c>
      <c r="E10" s="371">
        <f>TH!$B$50/10</f>
        <v>35</v>
      </c>
      <c r="F10" s="376">
        <f>1.1*D10*E10*2500/10000</f>
        <v>192.5</v>
      </c>
      <c r="G10" s="371">
        <v>200</v>
      </c>
      <c r="H10" s="372">
        <f>TH!$B$18</f>
        <v>3.6</v>
      </c>
      <c r="I10" s="377">
        <f>IF(G10=100,180*1.1*H10,IF(G10=200,330*1.1*H10,0))</f>
        <v>1306.8000000000002</v>
      </c>
      <c r="J10" s="378" t="s">
        <v>117</v>
      </c>
      <c r="K10" s="379" t="s">
        <v>605</v>
      </c>
      <c r="L10" s="378"/>
      <c r="M10" s="379"/>
      <c r="N10" s="380">
        <f>(IF(K10="HT",VLOOKUP(J10,'tải sàn'!$B$5:$L$50,11,0),IF(K10="TG",VLOOKUP(J10,'tải sàn'!$B$5:$L$50,9,0),0)))+(IF(M10="HT",VLOOKUP(L10,'tải sàn'!$B$5:$L$50,11,0),IF(M10="TG",VLOOKUP(L10,'tải sàn'!$B$5:$L$50,9,0),0)))</f>
        <v>565.25</v>
      </c>
      <c r="O10" s="380">
        <f>F10+I10+N10</f>
        <v>2064.5500000000002</v>
      </c>
      <c r="P10" s="381">
        <f>O10*C10/2</f>
        <v>6193.6500000000005</v>
      </c>
      <c r="Q10" s="380">
        <f>(IF(K10="HT",VLOOKUP(J10,'tải sàn'!$B$5:$L$50,10,0),IF(K10="TG",VLOOKUP(J10,'tải sàn'!$B$5:$L$50,8,0),0)))+(IF(M10="HT",VLOOKUP(L10,'tải sàn'!$B$5:$L$50,10,0),IF(M10="TG",VLOOKUP(L10,'tải sàn'!$B$5:$L$50,8,0),0)))</f>
        <v>570</v>
      </c>
      <c r="R10" s="381">
        <f>Q10*C10/2</f>
        <v>1710</v>
      </c>
    </row>
    <row r="11" spans="2:20" ht="15.75">
      <c r="B11" s="375">
        <v>6</v>
      </c>
      <c r="C11" s="385">
        <v>6</v>
      </c>
      <c r="D11" s="371">
        <f>TH!$B$53/10</f>
        <v>20</v>
      </c>
      <c r="E11" s="371">
        <f>TH!$B$50/10</f>
        <v>35</v>
      </c>
      <c r="F11" s="376">
        <f t="shared" ref="F11:F18" si="0">1.1*D11*E11*2500/10000</f>
        <v>192.5</v>
      </c>
      <c r="G11" s="371">
        <v>0</v>
      </c>
      <c r="H11" s="372">
        <f>TH!$B$18</f>
        <v>3.6</v>
      </c>
      <c r="I11" s="377">
        <f t="shared" ref="I11:I17" si="1">IF(G11=100,180*1.1*H11,IF(G11=200,330*1.1*H11,0))</f>
        <v>0</v>
      </c>
      <c r="J11" s="378" t="s">
        <v>117</v>
      </c>
      <c r="K11" s="379" t="s">
        <v>606</v>
      </c>
      <c r="L11" s="378" t="s">
        <v>117</v>
      </c>
      <c r="M11" s="379" t="s">
        <v>606</v>
      </c>
      <c r="N11" s="380">
        <f>(IF(K11="HT",VLOOKUP(J11,'tải sàn'!$B$5:$L$50,11,0),IF(K11="TG",VLOOKUP(J11,'tải sàn'!$B$5:$L$50,9,0),0)))+(IF(M11="HT",VLOOKUP(L11,'tải sàn'!$B$5:$L$50,11,0),IF(M11="TG",VLOOKUP(L11,'tải sàn'!$B$5:$L$50,9,0),0)))</f>
        <v>1484.1723522899667</v>
      </c>
      <c r="O11" s="380">
        <f t="shared" ref="O11:O18" si="2">F11+I11+N11</f>
        <v>1676.6723522899667</v>
      </c>
      <c r="P11" s="381">
        <f t="shared" ref="P11:P17" si="3">O11*C11/2</f>
        <v>5030.0170568699004</v>
      </c>
      <c r="Q11" s="380">
        <f>(IF(K11="HT",VLOOKUP(J11,'tải sàn'!$B$5:$L$50,10,0),IF(K11="TG",VLOOKUP(J11,'tải sàn'!$B$5:$L$50,8,0),0)))+(IF(M11="HT",VLOOKUP(L11,'tải sàn'!$B$5:$L$50,10,0),IF(M11="TG",VLOOKUP(L11,'tải sàn'!$B$5:$L$50,8,0),0)))</f>
        <v>1496.6443888638321</v>
      </c>
      <c r="R11" s="381">
        <f t="shared" ref="R11:R18" si="4">Q11*C11/2</f>
        <v>4489.933166591496</v>
      </c>
    </row>
    <row r="12" spans="2:20" ht="15.75">
      <c r="B12" s="384">
        <v>7</v>
      </c>
      <c r="C12" s="385">
        <v>6</v>
      </c>
      <c r="D12" s="371">
        <f>TH!$B$53/10</f>
        <v>20</v>
      </c>
      <c r="E12" s="371">
        <f>TH!$B$50/10</f>
        <v>35</v>
      </c>
      <c r="F12" s="376">
        <f t="shared" si="0"/>
        <v>192.5</v>
      </c>
      <c r="G12" s="371">
        <v>100</v>
      </c>
      <c r="H12" s="372">
        <f>TH!$B$18</f>
        <v>3.6</v>
      </c>
      <c r="I12" s="377">
        <f t="shared" si="1"/>
        <v>712.80000000000007</v>
      </c>
      <c r="J12" s="378" t="s">
        <v>117</v>
      </c>
      <c r="K12" s="379" t="s">
        <v>606</v>
      </c>
      <c r="L12" s="378" t="s">
        <v>120</v>
      </c>
      <c r="M12" s="379" t="s">
        <v>606</v>
      </c>
      <c r="N12" s="380">
        <f>(IF(K12="HT",VLOOKUP(J12,'tải sàn'!$B$5:$L$50,11,0),IF(K12="TG",VLOOKUP(J12,'tải sàn'!$B$5:$L$50,9,0),0)))+(IF(M12="HT",VLOOKUP(L12,'tải sàn'!$B$5:$L$50,11,0),IF(M12="TG",VLOOKUP(L12,'tải sàn'!$B$5:$L$50,9,0),0)))</f>
        <v>1151.4563737750625</v>
      </c>
      <c r="O12" s="380">
        <f t="shared" si="2"/>
        <v>2056.7563737750625</v>
      </c>
      <c r="P12" s="381">
        <f t="shared" si="3"/>
        <v>6170.2691213251874</v>
      </c>
      <c r="Q12" s="380">
        <f>(IF(K12="HT",VLOOKUP(J12,'tải sàn'!$B$5:$L$50,10,0),IF(K12="TG",VLOOKUP(J12,'tải sàn'!$B$5:$L$50,8,0),0)))+(IF(M12="HT",VLOOKUP(L12,'tải sàn'!$B$5:$L$50,10,0),IF(M12="TG",VLOOKUP(L12,'tải sàn'!$B$5:$L$50,8,0),0)))</f>
        <v>1161.1324777563657</v>
      </c>
      <c r="R12" s="381">
        <f t="shared" si="4"/>
        <v>3483.3974332690968</v>
      </c>
    </row>
    <row r="13" spans="2:20" ht="15.75">
      <c r="B13" s="375">
        <v>8</v>
      </c>
      <c r="C13" s="385">
        <v>6</v>
      </c>
      <c r="D13" s="371">
        <f>TH!$B$53/10</f>
        <v>20</v>
      </c>
      <c r="E13" s="371">
        <f>TH!$B$50/10</f>
        <v>35</v>
      </c>
      <c r="F13" s="376">
        <f t="shared" si="0"/>
        <v>192.5</v>
      </c>
      <c r="G13" s="371">
        <v>100</v>
      </c>
      <c r="H13" s="372">
        <f>TH!$B$18</f>
        <v>3.6</v>
      </c>
      <c r="I13" s="377">
        <f t="shared" si="1"/>
        <v>712.80000000000007</v>
      </c>
      <c r="J13" s="378" t="s">
        <v>120</v>
      </c>
      <c r="K13" s="379" t="s">
        <v>606</v>
      </c>
      <c r="L13" s="378" t="s">
        <v>215</v>
      </c>
      <c r="M13" s="379" t="s">
        <v>606</v>
      </c>
      <c r="N13" s="380">
        <f>(IF(K13="HT",VLOOKUP(J13,'tải sàn'!$B$5:$L$50,11,0),IF(K13="TG",VLOOKUP(J13,'tải sàn'!$B$5:$L$50,9,0),0)))+(IF(M13="HT",VLOOKUP(L13,'tải sàn'!$B$5:$L$50,11,0),IF(M13="TG",VLOOKUP(L13,'tải sàn'!$B$5:$L$50,9,0),0)))</f>
        <v>2167.9273545450815</v>
      </c>
      <c r="O13" s="380">
        <f t="shared" si="2"/>
        <v>3073.2273545450817</v>
      </c>
      <c r="P13" s="381">
        <f t="shared" si="3"/>
        <v>9219.6820636352459</v>
      </c>
      <c r="Q13" s="380">
        <f>(IF(K13="HT",VLOOKUP(J13,'tải sàn'!$B$5:$L$50,10,0),IF(K13="TG",VLOOKUP(J13,'tải sàn'!$B$5:$L$50,8,0),0)))+(IF(M13="HT",VLOOKUP(L13,'tải sàn'!$B$5:$L$50,10,0),IF(M13="TG",VLOOKUP(L13,'tải sàn'!$B$5:$L$50,8,0),0)))</f>
        <v>716.81617481241551</v>
      </c>
      <c r="R13" s="381">
        <f t="shared" si="4"/>
        <v>2150.4485244372463</v>
      </c>
    </row>
    <row r="14" spans="2:20" ht="15.75">
      <c r="B14" s="384">
        <v>9</v>
      </c>
      <c r="C14" s="385">
        <v>6</v>
      </c>
      <c r="D14" s="371">
        <f>TH!$B$53/10</f>
        <v>20</v>
      </c>
      <c r="E14" s="371">
        <f>TH!$B$50/10</f>
        <v>35</v>
      </c>
      <c r="F14" s="376">
        <f t="shared" si="0"/>
        <v>192.5</v>
      </c>
      <c r="G14" s="371">
        <v>200</v>
      </c>
      <c r="H14" s="372">
        <f>TH!$B$18</f>
        <v>3.6</v>
      </c>
      <c r="I14" s="377">
        <f t="shared" si="1"/>
        <v>1306.8000000000002</v>
      </c>
      <c r="J14" s="378" t="s">
        <v>215</v>
      </c>
      <c r="K14" s="379" t="s">
        <v>606</v>
      </c>
      <c r="L14" s="378"/>
      <c r="M14" s="379"/>
      <c r="N14" s="380">
        <f>(IF(K14="HT",VLOOKUP(J14,'tải sàn'!$B$5:$L$50,11,0),IF(K14="TG",VLOOKUP(J14,'tải sàn'!$B$5:$L$50,9,0),0)))+(IF(M14="HT",VLOOKUP(L14,'tải sàn'!$B$5:$L$50,11,0),IF(M14="TG",VLOOKUP(L14,'tải sàn'!$B$5:$L$50,9,0),0)))</f>
        <v>1758.5571569150025</v>
      </c>
      <c r="O14" s="380">
        <f>F14+I14+N14</f>
        <v>3257.8571569150026</v>
      </c>
      <c r="P14" s="381">
        <f>O14*C14/2</f>
        <v>9773.5714707450079</v>
      </c>
      <c r="Q14" s="380">
        <f>(IF(K14="HT",VLOOKUP(J14,'tải sàn'!$B$5:$L$50,10,0),IF(K14="TG",VLOOKUP(J14,'tải sàn'!$B$5:$L$50,8,0),0)))+(IF(M14="HT",VLOOKUP(L14,'tải sàn'!$B$5:$L$50,10,0),IF(M14="TG",VLOOKUP(L14,'tải sàn'!$B$5:$L$50,8,0),0)))</f>
        <v>304.00589148796593</v>
      </c>
      <c r="R14" s="381">
        <f t="shared" si="4"/>
        <v>912.01767446389772</v>
      </c>
    </row>
    <row r="15" spans="2:20" ht="15.75">
      <c r="B15" s="375">
        <v>10</v>
      </c>
      <c r="C15" s="385">
        <v>3</v>
      </c>
      <c r="D15" s="371">
        <f>TH!$B$53/10</f>
        <v>20</v>
      </c>
      <c r="E15" s="371">
        <f>TH!$B$50/10</f>
        <v>35</v>
      </c>
      <c r="F15" s="376">
        <f t="shared" si="0"/>
        <v>192.5</v>
      </c>
      <c r="G15" s="371">
        <v>200</v>
      </c>
      <c r="H15" s="372">
        <f>TH!$B$18</f>
        <v>3.6</v>
      </c>
      <c r="I15" s="377">
        <f t="shared" si="1"/>
        <v>1306.8000000000002</v>
      </c>
      <c r="J15" s="378" t="s">
        <v>115</v>
      </c>
      <c r="K15" s="379" t="s">
        <v>605</v>
      </c>
      <c r="L15" s="378"/>
      <c r="M15" s="379"/>
      <c r="N15" s="380">
        <f>(IF(K15="HT",VLOOKUP(J15,'tải sàn'!$B$5:$L$50,11,0),IF(K15="TG",VLOOKUP(J15,'tải sàn'!$B$5:$L$50,9,0),0)))+(IF(M15="HT",VLOOKUP(L15,'tải sàn'!$B$5:$L$50,11,0),IF(M15="TG",VLOOKUP(L15,'tải sàn'!$B$5:$L$50,9,0),0)))</f>
        <v>416.5</v>
      </c>
      <c r="O15" s="380">
        <f t="shared" si="2"/>
        <v>1915.8000000000002</v>
      </c>
      <c r="P15" s="381">
        <f t="shared" si="3"/>
        <v>2873.7000000000003</v>
      </c>
      <c r="Q15" s="380">
        <f>(IF(K15="HT",VLOOKUP(J15,'tải sàn'!$B$5:$L$50,10,0),IF(K15="TG",VLOOKUP(J15,'tải sàn'!$B$5:$L$50,8,0),0)))+(IF(M15="HT",VLOOKUP(L15,'tải sàn'!$B$5:$L$50,10,0),IF(M15="TG",VLOOKUP(L15,'tải sàn'!$B$5:$L$50,8,0),0)))</f>
        <v>314.99999999999994</v>
      </c>
      <c r="R15" s="381">
        <f t="shared" si="4"/>
        <v>472.49999999999989</v>
      </c>
    </row>
    <row r="16" spans="2:20" ht="15.75">
      <c r="B16" s="384">
        <v>11</v>
      </c>
      <c r="C16" s="385">
        <v>3</v>
      </c>
      <c r="D16" s="371">
        <f>TH!$B$53/10</f>
        <v>20</v>
      </c>
      <c r="E16" s="371">
        <f>TH!$B$50/10</f>
        <v>35</v>
      </c>
      <c r="F16" s="376">
        <f t="shared" si="0"/>
        <v>192.5</v>
      </c>
      <c r="G16" s="371">
        <v>100</v>
      </c>
      <c r="H16" s="372">
        <f>TH!$B$18</f>
        <v>3.6</v>
      </c>
      <c r="I16" s="377">
        <f t="shared" si="1"/>
        <v>712.80000000000007</v>
      </c>
      <c r="J16" s="378" t="s">
        <v>115</v>
      </c>
      <c r="K16" s="379" t="s">
        <v>605</v>
      </c>
      <c r="L16" s="378" t="s">
        <v>119</v>
      </c>
      <c r="M16" s="379" t="s">
        <v>606</v>
      </c>
      <c r="N16" s="380">
        <f>(IF(K16="HT",VLOOKUP(J16,'tải sàn'!$B$5:$L$50,11,0),IF(K16="TG",VLOOKUP(J16,'tải sàn'!$B$5:$L$50,9,0),0)))+(IF(M16="HT",VLOOKUP(L16,'tải sàn'!$B$5:$L$50,11,0),IF(M16="TG",VLOOKUP(L16,'tải sàn'!$B$5:$L$50,9,0),0)))</f>
        <v>770.60522959183663</v>
      </c>
      <c r="O16" s="380">
        <f t="shared" si="2"/>
        <v>1675.9052295918368</v>
      </c>
      <c r="P16" s="381">
        <f t="shared" si="3"/>
        <v>2513.857844387755</v>
      </c>
      <c r="Q16" s="380">
        <f>(IF(K16="HT",VLOOKUP(J16,'tải sàn'!$B$5:$L$50,10,0),IF(K16="TG",VLOOKUP(J16,'tải sàn'!$B$5:$L$50,8,0),0)))+(IF(M16="HT",VLOOKUP(L16,'tải sàn'!$B$5:$L$50,10,0),IF(M16="TG",VLOOKUP(L16,'tải sàn'!$B$5:$L$50,8,0),0)))</f>
        <v>582.8106778425655</v>
      </c>
      <c r="R16" s="381">
        <f t="shared" si="4"/>
        <v>874.2160167638483</v>
      </c>
    </row>
    <row r="17" spans="2:18" ht="15.75">
      <c r="B17" s="375">
        <v>12</v>
      </c>
      <c r="C17" s="385">
        <v>3</v>
      </c>
      <c r="D17" s="371">
        <f>TH!$B$53/10</f>
        <v>20</v>
      </c>
      <c r="E17" s="371">
        <f>TH!$B$50/10</f>
        <v>35</v>
      </c>
      <c r="F17" s="376">
        <f t="shared" si="0"/>
        <v>192.5</v>
      </c>
      <c r="G17" s="371">
        <v>100</v>
      </c>
      <c r="H17" s="372">
        <f>TH!$B$18</f>
        <v>3.6</v>
      </c>
      <c r="I17" s="377">
        <f t="shared" si="1"/>
        <v>712.80000000000007</v>
      </c>
      <c r="J17" s="378" t="s">
        <v>119</v>
      </c>
      <c r="K17" s="379" t="s">
        <v>606</v>
      </c>
      <c r="L17" s="378" t="s">
        <v>115</v>
      </c>
      <c r="M17" s="379" t="s">
        <v>605</v>
      </c>
      <c r="N17" s="380">
        <f>(IF(K17="HT",VLOOKUP(J17,'tải sàn'!$B$5:$L$50,11,0),IF(K17="TG",VLOOKUP(J17,'tải sàn'!$B$5:$L$50,9,0),0)))+(IF(M17="HT",VLOOKUP(L17,'tải sàn'!$B$5:$L$50,11,0),IF(M17="TG",VLOOKUP(L17,'tải sàn'!$B$5:$L$50,9,0),0)))</f>
        <v>770.60522959183663</v>
      </c>
      <c r="O17" s="380">
        <f t="shared" si="2"/>
        <v>1675.9052295918368</v>
      </c>
      <c r="P17" s="381">
        <f t="shared" si="3"/>
        <v>2513.857844387755</v>
      </c>
      <c r="Q17" s="380">
        <f>(IF(K17="HT",VLOOKUP(J17,'tải sàn'!$B$5:$L$50,10,0),IF(K17="TG",VLOOKUP(J17,'tải sàn'!$B$5:$L$50,8,0),0)))+(IF(M17="HT",VLOOKUP(L17,'tải sàn'!$B$5:$L$50,10,0),IF(M17="TG",VLOOKUP(L17,'tải sàn'!$B$5:$L$50,8,0),0)))</f>
        <v>582.8106778425655</v>
      </c>
      <c r="R17" s="381">
        <f t="shared" si="4"/>
        <v>874.2160167638483</v>
      </c>
    </row>
    <row r="18" spans="2:18" ht="15.75">
      <c r="B18" s="384">
        <v>13</v>
      </c>
      <c r="C18" s="385">
        <v>3</v>
      </c>
      <c r="D18" s="371">
        <f>TH!$B$53/10</f>
        <v>20</v>
      </c>
      <c r="E18" s="371">
        <f>TH!$B$50/10</f>
        <v>35</v>
      </c>
      <c r="F18" s="376">
        <f t="shared" si="0"/>
        <v>192.5</v>
      </c>
      <c r="G18" s="371">
        <v>200</v>
      </c>
      <c r="H18" s="372">
        <f>TH!$B$18</f>
        <v>3.6</v>
      </c>
      <c r="I18" s="377">
        <f>IF(G18=100,180*1.1*H18,IF(G18=200,330*1.1*H18,0))</f>
        <v>1306.8000000000002</v>
      </c>
      <c r="J18" s="378" t="s">
        <v>115</v>
      </c>
      <c r="K18" s="379" t="s">
        <v>605</v>
      </c>
      <c r="L18" s="378"/>
      <c r="M18" s="379"/>
      <c r="N18" s="380">
        <f>(IF(K18="HT",VLOOKUP(J18,'tải sàn'!$B$5:$L$50,11,0),IF(K18="TG",VLOOKUP(J18,'tải sàn'!$B$5:$L$50,9,0),0)))+(IF(M18="HT",VLOOKUP(L18,'tải sàn'!$B$5:$L$50,11,0),IF(M18="TG",VLOOKUP(L18,'tải sàn'!$B$5:$L$50,9,0),0)))</f>
        <v>416.5</v>
      </c>
      <c r="O18" s="380">
        <f t="shared" si="2"/>
        <v>1915.8000000000002</v>
      </c>
      <c r="P18" s="381">
        <f>O18*C18/2</f>
        <v>2873.7000000000003</v>
      </c>
      <c r="Q18" s="380">
        <f>(IF(K18="HT",VLOOKUP(J18,'tải sàn'!$B$5:$L$50,10,0),IF(K18="TG",VLOOKUP(J18,'tải sàn'!$B$5:$L$50,8,0),0)))+(IF(M18="HT",VLOOKUP(L18,'tải sàn'!$B$5:$L$50,10,0),IF(M18="TG",VLOOKUP(L18,'tải sàn'!$B$5:$L$50,8,0),0)))</f>
        <v>314.99999999999994</v>
      </c>
      <c r="R18" s="381">
        <f t="shared" si="4"/>
        <v>472.49999999999989</v>
      </c>
    </row>
  </sheetData>
  <mergeCells count="9">
    <mergeCell ref="B2:R2"/>
    <mergeCell ref="B3:B5"/>
    <mergeCell ref="C3:C4"/>
    <mergeCell ref="D3:E4"/>
    <mergeCell ref="F3:F4"/>
    <mergeCell ref="G3:I4"/>
    <mergeCell ref="J3:M5"/>
    <mergeCell ref="N3:P3"/>
    <mergeCell ref="Q3:R3"/>
  </mergeCells>
  <phoneticPr fontId="4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dimension ref="A1:X12"/>
  <sheetViews>
    <sheetView zoomScale="85" zoomScaleNormal="85" workbookViewId="0">
      <selection activeCell="C13" sqref="C13"/>
    </sheetView>
  </sheetViews>
  <sheetFormatPr defaultRowHeight="15"/>
  <sheetData>
    <row r="1" spans="1:24" ht="15.75" thickBot="1">
      <c r="A1" s="389"/>
      <c r="B1" s="389"/>
      <c r="C1" s="389"/>
      <c r="D1" s="389"/>
      <c r="E1" s="389"/>
      <c r="F1" s="389"/>
      <c r="G1" s="389"/>
      <c r="H1" s="389"/>
      <c r="I1" s="389"/>
      <c r="J1" s="389"/>
      <c r="K1" s="389"/>
      <c r="L1" s="389"/>
      <c r="M1" s="389"/>
      <c r="N1" s="389"/>
      <c r="O1" s="389"/>
      <c r="P1" s="389"/>
      <c r="Q1" s="389"/>
      <c r="R1" s="389"/>
      <c r="S1" s="389"/>
      <c r="T1" s="389"/>
      <c r="U1" s="389"/>
      <c r="V1" s="389"/>
      <c r="W1" s="389"/>
      <c r="X1" s="389"/>
    </row>
    <row r="2" spans="1:24" ht="19.5" thickBot="1">
      <c r="A2" s="524" t="s">
        <v>608</v>
      </c>
      <c r="B2" s="525"/>
      <c r="C2" s="525"/>
      <c r="D2" s="525"/>
      <c r="E2" s="525"/>
      <c r="F2" s="525"/>
      <c r="G2" s="525"/>
      <c r="H2" s="525"/>
      <c r="I2" s="525"/>
      <c r="J2" s="525"/>
      <c r="K2" s="525"/>
      <c r="L2" s="525"/>
      <c r="M2" s="525"/>
      <c r="N2" s="525"/>
      <c r="O2" s="525"/>
      <c r="P2" s="525"/>
      <c r="Q2" s="525"/>
      <c r="R2" s="525"/>
      <c r="S2" s="525"/>
      <c r="T2" s="525"/>
      <c r="U2" s="525"/>
      <c r="V2" s="525"/>
      <c r="W2" s="525"/>
      <c r="X2" s="526"/>
    </row>
    <row r="3" spans="1:24" ht="15.75">
      <c r="A3" s="527" t="s">
        <v>588</v>
      </c>
      <c r="B3" s="520" t="s">
        <v>609</v>
      </c>
      <c r="C3" s="522"/>
      <c r="D3" s="536" t="s">
        <v>610</v>
      </c>
      <c r="E3" s="533"/>
      <c r="F3" s="530" t="s">
        <v>591</v>
      </c>
      <c r="G3" s="520" t="s">
        <v>592</v>
      </c>
      <c r="H3" s="521"/>
      <c r="I3" s="522"/>
      <c r="J3" s="530" t="s">
        <v>611</v>
      </c>
      <c r="K3" s="520" t="s">
        <v>593</v>
      </c>
      <c r="L3" s="521"/>
      <c r="M3" s="521"/>
      <c r="N3" s="522"/>
      <c r="O3" s="536" t="s">
        <v>612</v>
      </c>
      <c r="P3" s="532"/>
      <c r="Q3" s="532"/>
      <c r="R3" s="532"/>
      <c r="S3" s="532"/>
      <c r="T3" s="533"/>
      <c r="U3" s="531" t="s">
        <v>613</v>
      </c>
      <c r="V3" s="531"/>
      <c r="W3" s="531"/>
      <c r="X3" s="531"/>
    </row>
    <row r="4" spans="1:24" ht="33">
      <c r="A4" s="528"/>
      <c r="B4" s="534" t="s">
        <v>614</v>
      </c>
      <c r="C4" s="534" t="s">
        <v>615</v>
      </c>
      <c r="D4" s="537" t="s">
        <v>616</v>
      </c>
      <c r="E4" s="534" t="s">
        <v>617</v>
      </c>
      <c r="F4" s="531"/>
      <c r="G4" s="523" t="s">
        <v>618</v>
      </c>
      <c r="H4" s="523" t="s">
        <v>619</v>
      </c>
      <c r="I4" s="523" t="s">
        <v>620</v>
      </c>
      <c r="J4" s="530"/>
      <c r="K4" s="520"/>
      <c r="L4" s="521"/>
      <c r="M4" s="521"/>
      <c r="N4" s="522"/>
      <c r="O4" s="393" t="s">
        <v>621</v>
      </c>
      <c r="P4" s="393" t="s">
        <v>622</v>
      </c>
      <c r="Q4" s="539" t="s">
        <v>623</v>
      </c>
      <c r="R4" s="390" t="s">
        <v>624</v>
      </c>
      <c r="S4" s="390" t="s">
        <v>625</v>
      </c>
      <c r="T4" s="390" t="s">
        <v>626</v>
      </c>
      <c r="U4" s="393" t="s">
        <v>622</v>
      </c>
      <c r="V4" s="390" t="s">
        <v>624</v>
      </c>
      <c r="W4" s="390" t="s">
        <v>625</v>
      </c>
      <c r="X4" s="390" t="s">
        <v>626</v>
      </c>
    </row>
    <row r="5" spans="1:24" ht="15.75">
      <c r="A5" s="529"/>
      <c r="B5" s="535"/>
      <c r="C5" s="535"/>
      <c r="D5" s="538"/>
      <c r="E5" s="535"/>
      <c r="F5" s="391" t="s">
        <v>601</v>
      </c>
      <c r="G5" s="523"/>
      <c r="H5" s="523"/>
      <c r="I5" s="523"/>
      <c r="J5" s="531"/>
      <c r="K5" s="520"/>
      <c r="L5" s="521"/>
      <c r="M5" s="532"/>
      <c r="N5" s="533"/>
      <c r="O5" s="391" t="s">
        <v>601</v>
      </c>
      <c r="P5" s="396" t="s">
        <v>538</v>
      </c>
      <c r="Q5" s="531"/>
      <c r="R5" s="391" t="s">
        <v>604</v>
      </c>
      <c r="S5" s="391" t="s">
        <v>604</v>
      </c>
      <c r="T5" s="391" t="s">
        <v>604</v>
      </c>
      <c r="U5" s="391" t="s">
        <v>538</v>
      </c>
      <c r="V5" s="391" t="s">
        <v>604</v>
      </c>
      <c r="W5" s="391" t="s">
        <v>604</v>
      </c>
      <c r="X5" s="391" t="s">
        <v>604</v>
      </c>
    </row>
    <row r="6" spans="1:24" ht="15.75">
      <c r="A6" s="508"/>
      <c r="B6" s="510">
        <v>2.7</v>
      </c>
      <c r="C6" s="510">
        <v>2.8</v>
      </c>
      <c r="D6" s="508">
        <f>TH!$B$53/10</f>
        <v>20</v>
      </c>
      <c r="E6" s="508">
        <f>TH!$B$50/10</f>
        <v>35</v>
      </c>
      <c r="F6" s="514">
        <f>1.1*D6*E6*2500/10000</f>
        <v>192.5</v>
      </c>
      <c r="G6" s="394">
        <v>200</v>
      </c>
      <c r="H6" s="394">
        <f>TH!$B$18</f>
        <v>3.6</v>
      </c>
      <c r="I6" s="395">
        <f>IF(G6=100,180*1.1*H6,IF(G6=200,330*1.1*H6,0))</f>
        <v>1306.8000000000002</v>
      </c>
      <c r="J6" s="394" t="s">
        <v>537</v>
      </c>
      <c r="K6" s="397" t="s">
        <v>124</v>
      </c>
      <c r="L6" s="398" t="s">
        <v>606</v>
      </c>
      <c r="M6" s="397" t="s">
        <v>116</v>
      </c>
      <c r="N6" s="398" t="s">
        <v>606</v>
      </c>
      <c r="O6" s="392">
        <f>(IF(L6="HT",VLOOKUP(K6,'tải sàn'!$B$5:$L$50,11,0),IF(L6="TG",VLOOKUP(K6,'tải sàn'!$B$5:$L$50,9,0),0)))+(IF(N6="HT",VLOOKUP(M6,'tải sàn'!$B$5:$L$50,11,0),IF(N6="TG",VLOOKUP(M6,'tải sàn'!$B$5:$L$50,9,0),0)))</f>
        <v>1251.8442259926035</v>
      </c>
      <c r="P6" s="399">
        <f>F6+I6+O6</f>
        <v>2751.1442259926034</v>
      </c>
      <c r="Q6" s="516">
        <v>8</v>
      </c>
      <c r="R6" s="518">
        <f>VLOOKUP(Q6,'dam loai 1 T2'!$B$6:$R$30,15,0)</f>
        <v>9219.6820636352459</v>
      </c>
      <c r="S6" s="512">
        <f>((P6*B6*(C6+(B6/2))/(B6+C6))+(P7*C6*(C6/2))/(B6+C6))+(R6*C6/(B6+C6))</f>
        <v>12352.067143045238</v>
      </c>
      <c r="T6" s="512">
        <f>((P6*B6*(B6/2))/(B6+C6))+(P7*C6*(B6+(C6/2))/(B6+C6))+(R6*B6/(B6+C6))</f>
        <v>12363.338942429327</v>
      </c>
      <c r="U6" s="392">
        <f>(IF(L6="HT",VLOOKUP(K6,'tải sàn'!$B$5:$L$50,10,0),IF(L6="TG",VLOOKUP(K6,'tải sàn'!$B$5:$L$50,8,0),0)))+(IF(N6="HT",VLOOKUP(M6,'tải sàn'!$B$5:$L$50,10,0),IF(N6="TG",VLOOKUP(M6,'tải sàn'!$B$5:$L$50,8,0),0)))</f>
        <v>794.83952631694615</v>
      </c>
      <c r="V6" s="518">
        <f>VLOOKUP(Q6,'dam loai 1 T2'!$B$6:$R$30,17,0)</f>
        <v>2150.4485244372463</v>
      </c>
      <c r="W6" s="512">
        <f>((U6*B6*(C6+(B6/2))/(B6+C6))+(U7*C6*(C6/2))/(B6+C6))+(V6*C6/(B6+C6))</f>
        <v>3098.7402886342002</v>
      </c>
      <c r="X6" s="512">
        <f>((U6*B6*(B6/2))/(B6+C6))+(U7*C6*(B6+(C6/2))/(B6+C6))+(V6*B6/(B6+C6))</f>
        <v>2708.9455473462504</v>
      </c>
    </row>
    <row r="7" spans="1:24" ht="15.75">
      <c r="A7" s="509"/>
      <c r="B7" s="511">
        <v>2.7</v>
      </c>
      <c r="C7" s="511">
        <v>7</v>
      </c>
      <c r="D7" s="509">
        <v>20</v>
      </c>
      <c r="E7" s="509">
        <v>120</v>
      </c>
      <c r="F7" s="515">
        <v>660</v>
      </c>
      <c r="G7" s="394">
        <v>200</v>
      </c>
      <c r="H7" s="394">
        <f>TH!$B$18</f>
        <v>3.6</v>
      </c>
      <c r="I7" s="395">
        <f>IF(G7=100,180*1.1*H7,IF(G7=200,330*1.1*H7,0))</f>
        <v>1306.8000000000002</v>
      </c>
      <c r="J7" s="394" t="s">
        <v>538</v>
      </c>
      <c r="K7" s="397"/>
      <c r="L7" s="398"/>
      <c r="M7" s="397" t="s">
        <v>116</v>
      </c>
      <c r="N7" s="398" t="s">
        <v>606</v>
      </c>
      <c r="O7" s="392">
        <f>(IF(L7="HT",VLOOKUP(K7,'tải sàn'!$B$5:$L$50,11,0),IF(L7="TG",VLOOKUP(K7,'tải sàn'!$B$5:$L$50,9,0),0)))+(IF(N7="HT",VLOOKUP(M7,'tải sàn'!$B$5:$L$50,11,0),IF(N7="TG",VLOOKUP(M7,'tải sàn'!$B$5:$L$50,9,0),0)))</f>
        <v>914.49807559260341</v>
      </c>
      <c r="P7" s="399">
        <f>F7+I7+O7</f>
        <v>2881.2980755926037</v>
      </c>
      <c r="Q7" s="517"/>
      <c r="R7" s="519"/>
      <c r="S7" s="513"/>
      <c r="T7" s="513"/>
      <c r="U7" s="392">
        <f>(IF(L7="HT",VLOOKUP(K7,'tải sàn'!$B$5:$L$50,10,0),IF(L7="TG",VLOOKUP(K7,'tải sàn'!$B$5:$L$50,8,0),0)))+(IF(N7="HT",VLOOKUP(M7,'tải sàn'!$B$5:$L$50,10,0),IF(N7="TG",VLOOKUP(M7,'tải sàn'!$B$5:$L$50,8,0),0)))</f>
        <v>539.7037823169461</v>
      </c>
      <c r="V7" s="519"/>
      <c r="W7" s="513"/>
      <c r="X7" s="513"/>
    </row>
    <row r="8" spans="1:24" ht="15.75">
      <c r="A8" s="508"/>
      <c r="B8" s="510">
        <v>2.7</v>
      </c>
      <c r="C8" s="510">
        <v>2.8</v>
      </c>
      <c r="D8" s="508">
        <f>TH!$B$53/10</f>
        <v>20</v>
      </c>
      <c r="E8" s="508">
        <f>TH!$B$50/10</f>
        <v>35</v>
      </c>
      <c r="F8" s="514">
        <v>220</v>
      </c>
      <c r="G8" s="394">
        <v>200</v>
      </c>
      <c r="H8" s="394">
        <f>TH!$B$18</f>
        <v>3.6</v>
      </c>
      <c r="I8" s="395">
        <f>IF(G8=100,180*1.1*H8,IF(G8=200,330*1.1*H8,0))</f>
        <v>1306.8000000000002</v>
      </c>
      <c r="J8" s="394" t="s">
        <v>537</v>
      </c>
      <c r="K8" s="397" t="s">
        <v>124</v>
      </c>
      <c r="L8" s="398" t="s">
        <v>606</v>
      </c>
      <c r="M8" s="397" t="s">
        <v>116</v>
      </c>
      <c r="N8" s="398" t="s">
        <v>606</v>
      </c>
      <c r="O8" s="392">
        <f>(IF(L8="HT",VLOOKUP(K8,'tải sàn'!$B$5:$L$50,11,0),IF(L8="TG",VLOOKUP(K8,'tải sàn'!$B$5:$L$50,9,0),0)))+(IF(N8="HT",VLOOKUP(M8,'tải sàn'!$B$5:$L$50,11,0),IF(N8="TG",VLOOKUP(M8,'tải sàn'!$B$5:$L$50,9,0),0)))</f>
        <v>1251.8442259926035</v>
      </c>
      <c r="P8" s="399">
        <f>F8+I8+O8</f>
        <v>2778.6442259926034</v>
      </c>
      <c r="Q8" s="516">
        <v>9</v>
      </c>
      <c r="R8" s="518">
        <f>VLOOKUP(Q8,'dam loai 1 T2'!$B$6:$R$30,15,0)</f>
        <v>9773.5714707450079</v>
      </c>
      <c r="S8" s="512">
        <f>((P8*B8*(C8+(B8/2))/(B8+C8))+(P9*C8*(C8/2))/(B8+C8))+(R8*C8/(B8+C8))</f>
        <v>12376.472204846572</v>
      </c>
      <c r="T8" s="512">
        <f>((P8*B8*(B8/2))/(B8+C8))+(P9*C8*(B8+(C8/2))/(B8+C8))+(R8*B8/(B8+C8))</f>
        <v>11735.073287737756</v>
      </c>
      <c r="U8" s="392">
        <f>(IF(L8="HT",VLOOKUP(K8,'tải sàn'!$B$5:$L$50,10,0),IF(L8="TG",VLOOKUP(K8,'tải sàn'!$B$5:$L$50,8,0),0)))+(IF(N8="HT",VLOOKUP(M8,'tải sàn'!$B$5:$L$50,10,0),IF(N8="TG",VLOOKUP(M8,'tải sàn'!$B$5:$L$50,8,0),0)))</f>
        <v>794.83952631694615</v>
      </c>
      <c r="V8" s="518">
        <f>VLOOKUP(Q8,'dam loai 1 T2'!$B$6:$R$30,17,0)</f>
        <v>912.01767446389772</v>
      </c>
      <c r="W8" s="512">
        <f>((U8*B8*(C8+(B8/2))/(B8+C8))+(U9*C8*(C8/2))/(B8+C8))+(V8*C8/(B8+C8))</f>
        <v>2468.2664013750409</v>
      </c>
      <c r="X8" s="512">
        <f>((U8*B8*(B8/2))/(B8+C8))+(U9*C8*(B8+(C8/2))/(B8+C8))+(V8*B8/(B8+C8))</f>
        <v>2100.9885846320608</v>
      </c>
    </row>
    <row r="9" spans="1:24" ht="15.75">
      <c r="A9" s="509"/>
      <c r="B9" s="511">
        <v>2.7</v>
      </c>
      <c r="C9" s="511">
        <v>7</v>
      </c>
      <c r="D9" s="509">
        <v>20</v>
      </c>
      <c r="E9" s="509">
        <v>120</v>
      </c>
      <c r="F9" s="515">
        <v>220</v>
      </c>
      <c r="G9" s="394">
        <v>200</v>
      </c>
      <c r="H9" s="394">
        <f>TH!$B$18</f>
        <v>3.6</v>
      </c>
      <c r="I9" s="395">
        <f>IF(G9=100,180*1.1*H9,IF(G9=200,330*1.1*H9,0))</f>
        <v>1306.8000000000002</v>
      </c>
      <c r="J9" s="394" t="s">
        <v>538</v>
      </c>
      <c r="K9" s="397"/>
      <c r="L9" s="398"/>
      <c r="M9" s="397" t="s">
        <v>116</v>
      </c>
      <c r="N9" s="398" t="s">
        <v>606</v>
      </c>
      <c r="O9" s="392">
        <f>(IF(L9="HT",VLOOKUP(K9,'tải sàn'!$B$5:$L$50,11,0),IF(L9="TG",VLOOKUP(K9,'tải sàn'!$B$5:$L$50,9,0),0)))+(IF(N9="HT",VLOOKUP(M9,'tải sàn'!$B$5:$L$50,11,0),IF(N9="TG",VLOOKUP(M9,'tải sàn'!$B$5:$L$50,9,0),0)))</f>
        <v>914.49807559260341</v>
      </c>
      <c r="P9" s="399">
        <f>F9+I9+O9</f>
        <v>2441.2980755926037</v>
      </c>
      <c r="Q9" s="517"/>
      <c r="R9" s="519"/>
      <c r="S9" s="513"/>
      <c r="T9" s="513"/>
      <c r="U9" s="392">
        <f>(IF(L9="HT",VLOOKUP(K9,'tải sàn'!$B$5:$L$50,10,0),IF(L9="TG",VLOOKUP(K9,'tải sàn'!$B$5:$L$50,8,0),0)))+(IF(N9="HT",VLOOKUP(M9,'tải sàn'!$B$5:$L$50,10,0),IF(N9="TG",VLOOKUP(M9,'tải sàn'!$B$5:$L$50,8,0),0)))</f>
        <v>539.7037823169461</v>
      </c>
      <c r="V9" s="519"/>
      <c r="W9" s="513"/>
      <c r="X9" s="513"/>
    </row>
    <row r="12" spans="1:24" ht="15.75">
      <c r="D12" s="371"/>
      <c r="E12" s="371"/>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dimension ref="A1:X19"/>
  <sheetViews>
    <sheetView workbookViewId="0">
      <selection activeCell="L20" sqref="L20"/>
    </sheetView>
  </sheetViews>
  <sheetFormatPr defaultRowHeight="15"/>
  <sheetData>
    <row r="1" spans="1:24" ht="19.5" thickBot="1">
      <c r="A1" s="524" t="s">
        <v>644</v>
      </c>
      <c r="B1" s="525"/>
      <c r="C1" s="525"/>
      <c r="D1" s="525"/>
      <c r="E1" s="525"/>
      <c r="F1" s="525"/>
      <c r="G1" s="525"/>
      <c r="H1" s="525"/>
      <c r="I1" s="525"/>
      <c r="J1" s="525"/>
      <c r="K1" s="525"/>
      <c r="L1" s="525"/>
      <c r="M1" s="525"/>
      <c r="N1" s="525"/>
      <c r="O1" s="525"/>
      <c r="P1" s="525"/>
      <c r="Q1" s="525"/>
      <c r="R1" s="525"/>
      <c r="S1" s="525"/>
      <c r="T1" s="525"/>
      <c r="U1" s="525"/>
      <c r="V1" s="525"/>
      <c r="W1" s="525"/>
      <c r="X1" s="526"/>
    </row>
    <row r="2" spans="1:24" ht="15.75">
      <c r="A2" s="527" t="s">
        <v>588</v>
      </c>
      <c r="B2" s="520" t="s">
        <v>609</v>
      </c>
      <c r="C2" s="522"/>
      <c r="D2" s="536" t="s">
        <v>610</v>
      </c>
      <c r="E2" s="533"/>
      <c r="F2" s="544" t="s">
        <v>591</v>
      </c>
      <c r="G2" s="520" t="s">
        <v>592</v>
      </c>
      <c r="H2" s="521"/>
      <c r="I2" s="522"/>
      <c r="J2" s="530" t="s">
        <v>611</v>
      </c>
      <c r="K2" s="520" t="s">
        <v>593</v>
      </c>
      <c r="L2" s="521"/>
      <c r="M2" s="521"/>
      <c r="N2" s="522"/>
      <c r="O2" s="536" t="s">
        <v>612</v>
      </c>
      <c r="P2" s="532"/>
      <c r="Q2" s="532"/>
      <c r="R2" s="532"/>
      <c r="S2" s="532"/>
      <c r="T2" s="533"/>
      <c r="U2" s="531" t="s">
        <v>613</v>
      </c>
      <c r="V2" s="531"/>
      <c r="W2" s="531"/>
      <c r="X2" s="531"/>
    </row>
    <row r="3" spans="1:24">
      <c r="A3" s="528"/>
      <c r="B3" s="534" t="s">
        <v>614</v>
      </c>
      <c r="C3" s="534" t="s">
        <v>615</v>
      </c>
      <c r="D3" s="537" t="s">
        <v>616</v>
      </c>
      <c r="E3" s="534" t="s">
        <v>617</v>
      </c>
      <c r="F3" s="530"/>
      <c r="G3" s="523" t="s">
        <v>618</v>
      </c>
      <c r="H3" s="523" t="s">
        <v>619</v>
      </c>
      <c r="I3" s="523" t="s">
        <v>620</v>
      </c>
      <c r="J3" s="530"/>
      <c r="K3" s="520"/>
      <c r="L3" s="521"/>
      <c r="M3" s="521"/>
      <c r="N3" s="522"/>
      <c r="O3" s="539" t="s">
        <v>621</v>
      </c>
      <c r="P3" s="539" t="s">
        <v>622</v>
      </c>
      <c r="Q3" s="539" t="s">
        <v>645</v>
      </c>
      <c r="R3" s="539" t="s">
        <v>624</v>
      </c>
      <c r="S3" s="539" t="s">
        <v>625</v>
      </c>
      <c r="T3" s="539" t="s">
        <v>626</v>
      </c>
      <c r="U3" s="539" t="s">
        <v>622</v>
      </c>
      <c r="V3" s="539" t="s">
        <v>624</v>
      </c>
      <c r="W3" s="539" t="s">
        <v>625</v>
      </c>
      <c r="X3" s="539" t="s">
        <v>626</v>
      </c>
    </row>
    <row r="4" spans="1:24">
      <c r="A4" s="528"/>
      <c r="B4" s="543"/>
      <c r="C4" s="543"/>
      <c r="D4" s="542"/>
      <c r="E4" s="543"/>
      <c r="F4" s="531"/>
      <c r="G4" s="523"/>
      <c r="H4" s="523"/>
      <c r="I4" s="523"/>
      <c r="J4" s="530"/>
      <c r="K4" s="520"/>
      <c r="L4" s="521"/>
      <c r="M4" s="521"/>
      <c r="N4" s="522"/>
      <c r="O4" s="531"/>
      <c r="P4" s="531"/>
      <c r="Q4" s="530"/>
      <c r="R4" s="531"/>
      <c r="S4" s="531"/>
      <c r="T4" s="531"/>
      <c r="U4" s="531"/>
      <c r="V4" s="531"/>
      <c r="W4" s="531"/>
      <c r="X4" s="531"/>
    </row>
    <row r="5" spans="1:24" ht="15.75">
      <c r="A5" s="529"/>
      <c r="B5" s="535"/>
      <c r="C5" s="535"/>
      <c r="D5" s="538"/>
      <c r="E5" s="535"/>
      <c r="F5" s="420" t="s">
        <v>601</v>
      </c>
      <c r="G5" s="523"/>
      <c r="H5" s="523"/>
      <c r="I5" s="523"/>
      <c r="J5" s="531"/>
      <c r="K5" s="520"/>
      <c r="L5" s="521"/>
      <c r="M5" s="532"/>
      <c r="N5" s="533"/>
      <c r="O5" s="420" t="s">
        <v>601</v>
      </c>
      <c r="P5" s="425" t="s">
        <v>538</v>
      </c>
      <c r="Q5" s="530"/>
      <c r="R5" s="420" t="s">
        <v>604</v>
      </c>
      <c r="S5" s="420" t="s">
        <v>604</v>
      </c>
      <c r="T5" s="420" t="s">
        <v>604</v>
      </c>
      <c r="U5" s="420" t="s">
        <v>538</v>
      </c>
      <c r="V5" s="420" t="s">
        <v>604</v>
      </c>
      <c r="W5" s="420" t="s">
        <v>604</v>
      </c>
      <c r="X5" s="420" t="s">
        <v>604</v>
      </c>
    </row>
    <row r="6" spans="1:24" ht="15.75">
      <c r="A6" s="508"/>
      <c r="B6" s="510">
        <v>2.5</v>
      </c>
      <c r="C6" s="510">
        <v>3.5</v>
      </c>
      <c r="D6" s="508">
        <v>20</v>
      </c>
      <c r="E6" s="508">
        <v>60</v>
      </c>
      <c r="F6" s="514">
        <v>330</v>
      </c>
      <c r="G6" s="423"/>
      <c r="H6" s="423">
        <v>3.2</v>
      </c>
      <c r="I6" s="424">
        <v>0</v>
      </c>
      <c r="J6" s="423" t="s">
        <v>537</v>
      </c>
      <c r="K6" s="426" t="s">
        <v>115</v>
      </c>
      <c r="L6" s="427" t="s">
        <v>606</v>
      </c>
      <c r="M6" s="426" t="s">
        <v>118</v>
      </c>
      <c r="N6" s="427" t="s">
        <v>605</v>
      </c>
      <c r="O6" s="421">
        <v>957.84247685185187</v>
      </c>
      <c r="P6" s="437">
        <v>1287.8424768518519</v>
      </c>
      <c r="Q6" s="433">
        <v>9</v>
      </c>
      <c r="R6" s="540">
        <v>4981.6097543068154</v>
      </c>
      <c r="S6" s="512">
        <v>7448.2292980232214</v>
      </c>
      <c r="T6" s="512">
        <v>7587.6222115273576</v>
      </c>
      <c r="U6" s="421">
        <v>957.88194444444446</v>
      </c>
      <c r="V6" s="518">
        <v>2012.6040288800707</v>
      </c>
      <c r="W6" s="512">
        <v>4075.8224022633749</v>
      </c>
      <c r="X6" s="512">
        <v>3780.6134718547914</v>
      </c>
    </row>
    <row r="7" spans="1:24" ht="15.75">
      <c r="A7" s="509"/>
      <c r="B7" s="511">
        <v>2.7</v>
      </c>
      <c r="C7" s="511">
        <v>7</v>
      </c>
      <c r="D7" s="509">
        <v>20</v>
      </c>
      <c r="E7" s="509">
        <v>120</v>
      </c>
      <c r="F7" s="515">
        <v>660</v>
      </c>
      <c r="G7" s="423">
        <v>100</v>
      </c>
      <c r="H7" s="423">
        <v>3.2</v>
      </c>
      <c r="I7" s="424">
        <v>633.60000000000014</v>
      </c>
      <c r="J7" s="423" t="s">
        <v>538</v>
      </c>
      <c r="K7" s="426" t="s">
        <v>115</v>
      </c>
      <c r="L7" s="427" t="s">
        <v>606</v>
      </c>
      <c r="M7" s="426" t="s">
        <v>120</v>
      </c>
      <c r="N7" s="427" t="s">
        <v>606</v>
      </c>
      <c r="O7" s="421">
        <v>989.15301803260991</v>
      </c>
      <c r="P7" s="437">
        <v>1952.75301803261</v>
      </c>
      <c r="Q7" s="434" t="s">
        <v>646</v>
      </c>
      <c r="R7" s="541"/>
      <c r="S7" s="513"/>
      <c r="T7" s="513"/>
      <c r="U7" s="421">
        <v>985.46485260770976</v>
      </c>
      <c r="V7" s="519"/>
      <c r="W7" s="513"/>
      <c r="X7" s="513"/>
    </row>
    <row r="8" spans="1:24" ht="15.75">
      <c r="A8" s="508"/>
      <c r="B8" s="510">
        <v>2.5</v>
      </c>
      <c r="C8" s="510">
        <v>3.5</v>
      </c>
      <c r="D8" s="508">
        <v>20</v>
      </c>
      <c r="E8" s="508">
        <v>60</v>
      </c>
      <c r="F8" s="514">
        <v>330</v>
      </c>
      <c r="G8" s="423">
        <v>100</v>
      </c>
      <c r="H8" s="423">
        <v>3.2</v>
      </c>
      <c r="I8" s="424">
        <v>633.60000000000014</v>
      </c>
      <c r="J8" s="423" t="s">
        <v>537</v>
      </c>
      <c r="K8" s="426" t="s">
        <v>120</v>
      </c>
      <c r="L8" s="427" t="s">
        <v>605</v>
      </c>
      <c r="M8" s="426" t="s">
        <v>118</v>
      </c>
      <c r="N8" s="427" t="s">
        <v>606</v>
      </c>
      <c r="O8" s="421">
        <v>678.94223679698212</v>
      </c>
      <c r="P8" s="437">
        <v>1642.5422367969823</v>
      </c>
      <c r="Q8" s="433">
        <v>9</v>
      </c>
      <c r="R8" s="540">
        <v>4752.5294662540946</v>
      </c>
      <c r="S8" s="512">
        <v>7763.3069849766689</v>
      </c>
      <c r="T8" s="512">
        <v>7061.7493395593192</v>
      </c>
      <c r="U8" s="421">
        <v>598.11171124828536</v>
      </c>
      <c r="V8" s="518">
        <v>1947.5928681657847</v>
      </c>
      <c r="W8" s="512">
        <v>2986.2577964248972</v>
      </c>
      <c r="X8" s="512">
        <v>2741.4115892305999</v>
      </c>
    </row>
    <row r="9" spans="1:24" ht="15.75">
      <c r="A9" s="509"/>
      <c r="B9" s="511">
        <v>2.2999999999999998</v>
      </c>
      <c r="C9" s="511">
        <v>3</v>
      </c>
      <c r="D9" s="509">
        <v>20</v>
      </c>
      <c r="E9" s="509">
        <v>40</v>
      </c>
      <c r="F9" s="515">
        <v>220</v>
      </c>
      <c r="G9" s="423">
        <v>100</v>
      </c>
      <c r="H9" s="423">
        <v>3.2</v>
      </c>
      <c r="I9" s="424">
        <v>633.60000000000014</v>
      </c>
      <c r="J9" s="423" t="s">
        <v>538</v>
      </c>
      <c r="K9" s="426" t="s">
        <v>119</v>
      </c>
      <c r="L9" s="427" t="s">
        <v>605</v>
      </c>
      <c r="M9" s="426" t="s">
        <v>118</v>
      </c>
      <c r="N9" s="427" t="s">
        <v>606</v>
      </c>
      <c r="O9" s="421">
        <v>741.02036179698212</v>
      </c>
      <c r="P9" s="437">
        <v>1704.6203617969823</v>
      </c>
      <c r="Q9" s="434" t="s">
        <v>635</v>
      </c>
      <c r="R9" s="541"/>
      <c r="S9" s="513"/>
      <c r="T9" s="513"/>
      <c r="U9" s="421">
        <v>652.79921124828536</v>
      </c>
      <c r="V9" s="519"/>
      <c r="W9" s="513"/>
      <c r="X9" s="513"/>
    </row>
    <row r="10" spans="1:24" ht="15.75">
      <c r="A10" s="508"/>
      <c r="B10" s="510"/>
      <c r="C10" s="510"/>
      <c r="D10" s="508"/>
      <c r="E10" s="508"/>
      <c r="F10" s="514">
        <v>0</v>
      </c>
      <c r="G10" s="423"/>
      <c r="H10" s="423"/>
      <c r="I10" s="424">
        <v>0</v>
      </c>
      <c r="J10" s="423"/>
      <c r="K10" s="426"/>
      <c r="L10" s="427"/>
      <c r="M10" s="426"/>
      <c r="N10" s="427"/>
      <c r="O10" s="421">
        <v>0</v>
      </c>
      <c r="P10" s="437">
        <v>0</v>
      </c>
      <c r="Q10" s="433"/>
      <c r="R10" s="540" t="s">
        <v>647</v>
      </c>
      <c r="S10" s="512" t="e">
        <v>#DIV/0!</v>
      </c>
      <c r="T10" s="512" t="e">
        <v>#DIV/0!</v>
      </c>
      <c r="U10" s="421">
        <v>0</v>
      </c>
      <c r="V10" s="518" t="s">
        <v>647</v>
      </c>
      <c r="W10" s="512" t="e">
        <v>#DIV/0!</v>
      </c>
      <c r="X10" s="512" t="e">
        <v>#DIV/0!</v>
      </c>
    </row>
    <row r="11" spans="1:24" ht="15.75">
      <c r="A11" s="509"/>
      <c r="B11" s="511"/>
      <c r="C11" s="511"/>
      <c r="D11" s="509"/>
      <c r="E11" s="509"/>
      <c r="F11" s="515">
        <v>0</v>
      </c>
      <c r="G11" s="423"/>
      <c r="H11" s="423"/>
      <c r="I11" s="424">
        <v>0</v>
      </c>
      <c r="J11" s="423"/>
      <c r="K11" s="426"/>
      <c r="L11" s="427"/>
      <c r="M11" s="426"/>
      <c r="N11" s="427"/>
      <c r="O11" s="421">
        <v>0</v>
      </c>
      <c r="P11" s="437">
        <v>0</v>
      </c>
      <c r="Q11" s="434"/>
      <c r="R11" s="541"/>
      <c r="S11" s="513"/>
      <c r="T11" s="513"/>
      <c r="U11" s="421">
        <v>0</v>
      </c>
      <c r="V11" s="519"/>
      <c r="W11" s="513"/>
      <c r="X11" s="513"/>
    </row>
    <row r="12" spans="1:24" ht="15.75">
      <c r="A12" s="508"/>
      <c r="B12" s="510"/>
      <c r="C12" s="510"/>
      <c r="D12" s="508"/>
      <c r="E12" s="508"/>
      <c r="F12" s="514">
        <v>0</v>
      </c>
      <c r="G12" s="423"/>
      <c r="H12" s="423"/>
      <c r="I12" s="424">
        <v>0</v>
      </c>
      <c r="J12" s="423"/>
      <c r="K12" s="426"/>
      <c r="L12" s="427"/>
      <c r="M12" s="426"/>
      <c r="N12" s="427"/>
      <c r="O12" s="421">
        <v>0</v>
      </c>
      <c r="P12" s="437">
        <v>0</v>
      </c>
      <c r="Q12" s="433"/>
      <c r="R12" s="540" t="s">
        <v>647</v>
      </c>
      <c r="S12" s="512" t="e">
        <v>#DIV/0!</v>
      </c>
      <c r="T12" s="512" t="e">
        <v>#DIV/0!</v>
      </c>
      <c r="U12" s="421">
        <v>0</v>
      </c>
      <c r="V12" s="518" t="s">
        <v>647</v>
      </c>
      <c r="W12" s="512" t="e">
        <v>#DIV/0!</v>
      </c>
      <c r="X12" s="512" t="e">
        <v>#DIV/0!</v>
      </c>
    </row>
    <row r="13" spans="1:24" ht="15.75">
      <c r="A13" s="509"/>
      <c r="B13" s="511"/>
      <c r="C13" s="511"/>
      <c r="D13" s="509"/>
      <c r="E13" s="509"/>
      <c r="F13" s="515">
        <v>0</v>
      </c>
      <c r="G13" s="423"/>
      <c r="H13" s="423"/>
      <c r="I13" s="424">
        <v>0</v>
      </c>
      <c r="J13" s="423"/>
      <c r="K13" s="426"/>
      <c r="L13" s="427"/>
      <c r="M13" s="426"/>
      <c r="N13" s="427"/>
      <c r="O13" s="421">
        <v>0</v>
      </c>
      <c r="P13" s="437">
        <v>0</v>
      </c>
      <c r="Q13" s="434"/>
      <c r="R13" s="541"/>
      <c r="S13" s="513"/>
      <c r="T13" s="513"/>
      <c r="U13" s="421">
        <v>0</v>
      </c>
      <c r="V13" s="519"/>
      <c r="W13" s="513"/>
      <c r="X13" s="513"/>
    </row>
    <row r="14" spans="1:24" ht="15.75">
      <c r="A14" s="508"/>
      <c r="B14" s="510"/>
      <c r="C14" s="510"/>
      <c r="D14" s="508"/>
      <c r="E14" s="508"/>
      <c r="F14" s="514">
        <v>0</v>
      </c>
      <c r="G14" s="423"/>
      <c r="H14" s="423"/>
      <c r="I14" s="424">
        <v>0</v>
      </c>
      <c r="J14" s="423"/>
      <c r="K14" s="426"/>
      <c r="L14" s="427"/>
      <c r="M14" s="426"/>
      <c r="N14" s="427"/>
      <c r="O14" s="421">
        <v>0</v>
      </c>
      <c r="P14" s="437">
        <v>0</v>
      </c>
      <c r="Q14" s="433"/>
      <c r="R14" s="540" t="s">
        <v>647</v>
      </c>
      <c r="S14" s="512" t="e">
        <v>#DIV/0!</v>
      </c>
      <c r="T14" s="512" t="e">
        <v>#DIV/0!</v>
      </c>
      <c r="U14" s="421">
        <v>0</v>
      </c>
      <c r="V14" s="518" t="s">
        <v>647</v>
      </c>
      <c r="W14" s="512" t="e">
        <v>#DIV/0!</v>
      </c>
      <c r="X14" s="512" t="e">
        <v>#DIV/0!</v>
      </c>
    </row>
    <row r="15" spans="1:24" ht="15.75">
      <c r="A15" s="509"/>
      <c r="B15" s="511"/>
      <c r="C15" s="511"/>
      <c r="D15" s="509"/>
      <c r="E15" s="509"/>
      <c r="F15" s="515">
        <v>0</v>
      </c>
      <c r="G15" s="423"/>
      <c r="H15" s="423"/>
      <c r="I15" s="424">
        <v>0</v>
      </c>
      <c r="J15" s="423"/>
      <c r="K15" s="426"/>
      <c r="L15" s="427"/>
      <c r="M15" s="426"/>
      <c r="N15" s="427"/>
      <c r="O15" s="421">
        <v>0</v>
      </c>
      <c r="P15" s="437">
        <v>0</v>
      </c>
      <c r="Q15" s="434"/>
      <c r="R15" s="541"/>
      <c r="S15" s="513"/>
      <c r="T15" s="513"/>
      <c r="U15" s="421">
        <v>0</v>
      </c>
      <c r="V15" s="519"/>
      <c r="W15" s="513"/>
      <c r="X15" s="513"/>
    </row>
    <row r="16" spans="1:24" ht="15.75">
      <c r="A16" s="508"/>
      <c r="B16" s="510"/>
      <c r="C16" s="510"/>
      <c r="D16" s="508"/>
      <c r="E16" s="508"/>
      <c r="F16" s="514">
        <v>0</v>
      </c>
      <c r="G16" s="423"/>
      <c r="H16" s="423"/>
      <c r="I16" s="424">
        <v>0</v>
      </c>
      <c r="J16" s="423"/>
      <c r="K16" s="426"/>
      <c r="L16" s="427"/>
      <c r="M16" s="426"/>
      <c r="N16" s="427"/>
      <c r="O16" s="421">
        <v>0</v>
      </c>
      <c r="P16" s="437">
        <v>0</v>
      </c>
      <c r="Q16" s="433"/>
      <c r="R16" s="540" t="s">
        <v>647</v>
      </c>
      <c r="S16" s="512" t="e">
        <v>#DIV/0!</v>
      </c>
      <c r="T16" s="512" t="e">
        <v>#DIV/0!</v>
      </c>
      <c r="U16" s="421">
        <v>0</v>
      </c>
      <c r="V16" s="518" t="s">
        <v>647</v>
      </c>
      <c r="W16" s="512" t="e">
        <v>#DIV/0!</v>
      </c>
      <c r="X16" s="512" t="e">
        <v>#DIV/0!</v>
      </c>
    </row>
    <row r="17" spans="1:24" ht="15.75">
      <c r="A17" s="509"/>
      <c r="B17" s="511"/>
      <c r="C17" s="511"/>
      <c r="D17" s="509"/>
      <c r="E17" s="509"/>
      <c r="F17" s="515">
        <v>0</v>
      </c>
      <c r="G17" s="423"/>
      <c r="H17" s="423"/>
      <c r="I17" s="424">
        <v>0</v>
      </c>
      <c r="J17" s="423"/>
      <c r="K17" s="426"/>
      <c r="L17" s="427"/>
      <c r="M17" s="426"/>
      <c r="N17" s="427"/>
      <c r="O17" s="421">
        <v>0</v>
      </c>
      <c r="P17" s="437">
        <v>0</v>
      </c>
      <c r="Q17" s="434"/>
      <c r="R17" s="541"/>
      <c r="S17" s="513"/>
      <c r="T17" s="513"/>
      <c r="U17" s="421">
        <v>0</v>
      </c>
      <c r="V17" s="519"/>
      <c r="W17" s="513"/>
      <c r="X17" s="513"/>
    </row>
    <row r="18" spans="1:24" ht="15.75">
      <c r="A18" s="508"/>
      <c r="B18" s="510"/>
      <c r="C18" s="510"/>
      <c r="D18" s="508"/>
      <c r="E18" s="508"/>
      <c r="F18" s="514">
        <v>0</v>
      </c>
      <c r="G18" s="423"/>
      <c r="H18" s="423"/>
      <c r="I18" s="424">
        <v>0</v>
      </c>
      <c r="J18" s="423"/>
      <c r="K18" s="426"/>
      <c r="L18" s="427"/>
      <c r="M18" s="426"/>
      <c r="N18" s="427"/>
      <c r="O18" s="421">
        <v>0</v>
      </c>
      <c r="P18" s="437">
        <v>0</v>
      </c>
      <c r="Q18" s="433"/>
      <c r="R18" s="540" t="s">
        <v>647</v>
      </c>
      <c r="S18" s="512" t="e">
        <v>#DIV/0!</v>
      </c>
      <c r="T18" s="512" t="e">
        <v>#DIV/0!</v>
      </c>
      <c r="U18" s="421">
        <v>0</v>
      </c>
      <c r="V18" s="518" t="s">
        <v>647</v>
      </c>
      <c r="W18" s="512" t="e">
        <v>#DIV/0!</v>
      </c>
      <c r="X18" s="512" t="e">
        <v>#DIV/0!</v>
      </c>
    </row>
    <row r="19" spans="1:24" ht="15.75">
      <c r="A19" s="509"/>
      <c r="B19" s="511"/>
      <c r="C19" s="511"/>
      <c r="D19" s="509"/>
      <c r="E19" s="509"/>
      <c r="F19" s="515">
        <v>0</v>
      </c>
      <c r="G19" s="423"/>
      <c r="H19" s="423"/>
      <c r="I19" s="424">
        <v>0</v>
      </c>
      <c r="J19" s="423"/>
      <c r="K19" s="426"/>
      <c r="L19" s="427"/>
      <c r="M19" s="426"/>
      <c r="N19" s="427"/>
      <c r="O19" s="421">
        <v>0</v>
      </c>
      <c r="P19" s="437">
        <v>0</v>
      </c>
      <c r="Q19" s="434"/>
      <c r="R19" s="541"/>
      <c r="S19" s="513"/>
      <c r="T19" s="513"/>
      <c r="U19" s="421">
        <v>0</v>
      </c>
      <c r="V19" s="519"/>
      <c r="W19" s="513"/>
      <c r="X19" s="513"/>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dimension ref="A1:U31"/>
  <sheetViews>
    <sheetView workbookViewId="0">
      <selection activeCell="F19" sqref="F19:G20"/>
    </sheetView>
  </sheetViews>
  <sheetFormatPr defaultRowHeight="15"/>
  <sheetData>
    <row r="1" spans="1:16" ht="15.75" thickBot="1">
      <c r="A1" s="400"/>
      <c r="B1" s="400"/>
      <c r="C1" s="400"/>
      <c r="D1" s="400"/>
      <c r="E1" s="400"/>
      <c r="F1" s="400"/>
      <c r="G1" s="400"/>
      <c r="H1" s="400"/>
      <c r="I1" s="400"/>
      <c r="J1" s="400"/>
      <c r="K1" s="400"/>
    </row>
    <row r="2" spans="1:16" ht="19.5" thickBot="1">
      <c r="A2" s="524" t="s">
        <v>638</v>
      </c>
      <c r="B2" s="525"/>
      <c r="C2" s="525"/>
      <c r="D2" s="525"/>
      <c r="E2" s="525"/>
      <c r="F2" s="525"/>
      <c r="G2" s="525"/>
      <c r="H2" s="525"/>
      <c r="I2" s="525"/>
      <c r="J2" s="525"/>
      <c r="K2" s="526"/>
    </row>
    <row r="3" spans="1:16" ht="15.75">
      <c r="A3" s="544" t="s">
        <v>627</v>
      </c>
      <c r="B3" s="520" t="s">
        <v>592</v>
      </c>
      <c r="C3" s="521"/>
      <c r="D3" s="522"/>
      <c r="E3" s="520" t="s">
        <v>593</v>
      </c>
      <c r="F3" s="521"/>
      <c r="G3" s="521"/>
      <c r="H3" s="522"/>
      <c r="I3" s="536" t="s">
        <v>612</v>
      </c>
      <c r="J3" s="532"/>
      <c r="K3" s="544" t="s">
        <v>613</v>
      </c>
    </row>
    <row r="4" spans="1:16" ht="33">
      <c r="A4" s="530"/>
      <c r="B4" s="523" t="s">
        <v>618</v>
      </c>
      <c r="C4" s="523" t="s">
        <v>619</v>
      </c>
      <c r="D4" s="523" t="s">
        <v>620</v>
      </c>
      <c r="E4" s="520"/>
      <c r="F4" s="521"/>
      <c r="G4" s="521"/>
      <c r="H4" s="522"/>
      <c r="I4" s="404" t="s">
        <v>621</v>
      </c>
      <c r="J4" s="404" t="s">
        <v>597</v>
      </c>
      <c r="K4" s="531"/>
    </row>
    <row r="5" spans="1:16" ht="15.75">
      <c r="A5" s="531"/>
      <c r="B5" s="523"/>
      <c r="C5" s="523"/>
      <c r="D5" s="523"/>
      <c r="E5" s="520"/>
      <c r="F5" s="521"/>
      <c r="G5" s="532"/>
      <c r="H5" s="533"/>
      <c r="I5" s="402" t="s">
        <v>601</v>
      </c>
      <c r="J5" s="402" t="s">
        <v>601</v>
      </c>
      <c r="K5" s="402" t="s">
        <v>601</v>
      </c>
    </row>
    <row r="6" spans="1:16" ht="15.75">
      <c r="A6" s="405" t="s">
        <v>639</v>
      </c>
      <c r="B6" s="405">
        <v>200</v>
      </c>
      <c r="C6" s="405">
        <f>TH!$B$18</f>
        <v>3.6</v>
      </c>
      <c r="D6" s="416">
        <f t="shared" ref="D6:D11" si="0">IF(B6=100,180*1.1*C6,IF(B6=200,330*1.1*C6,0))</f>
        <v>1306.8000000000002</v>
      </c>
      <c r="E6" s="408" t="s">
        <v>117</v>
      </c>
      <c r="F6" s="409" t="s">
        <v>605</v>
      </c>
      <c r="G6" s="408"/>
      <c r="H6" s="409"/>
      <c r="I6" s="403">
        <f>(IF(F6="HT",VLOOKUP(E6,'tải sàn'!$B$5:$L$50,11,0),IF(F6="TG",VLOOKUP(E6,'tải sàn'!$B$5:$L$50,9,0),0)))+(IF(H6="HT",VLOOKUP(G6,'tải sàn'!$B$5:$L$50,11,0),IF(H6="TG",VLOOKUP(G6,'tải sàn'!$B$5:$L$50,9,0),0)))</f>
        <v>565.25</v>
      </c>
      <c r="J6" s="418">
        <f t="shared" ref="J6:J11" si="1">D6+I6</f>
        <v>1872.0500000000002</v>
      </c>
      <c r="K6" s="418">
        <f>(IF(F6="HT",VLOOKUP(E6,'tải sàn'!$B$5:$L$50,10,0),IF(F6="TG",VLOOKUP(E6,'tải sàn'!$B$5:$L$50,8,0),0)))+(IF(H6="HT",VLOOKUP(G6,'tải sàn'!$B$5:$L$50,10,0),IF(H6="TG",VLOOKUP(G6,'tải sàn'!$B$5:$L$50,8,0),0)))</f>
        <v>570</v>
      </c>
    </row>
    <row r="7" spans="1:16" ht="15.75">
      <c r="A7" s="405" t="s">
        <v>640</v>
      </c>
      <c r="B7" s="405">
        <v>100</v>
      </c>
      <c r="C7" s="423">
        <f>TH!$B$18</f>
        <v>3.6</v>
      </c>
      <c r="D7" s="416">
        <f t="shared" si="0"/>
        <v>712.80000000000007</v>
      </c>
      <c r="E7" s="408" t="s">
        <v>117</v>
      </c>
      <c r="F7" s="409" t="s">
        <v>605</v>
      </c>
      <c r="G7" s="408" t="s">
        <v>115</v>
      </c>
      <c r="H7" s="409" t="s">
        <v>606</v>
      </c>
      <c r="I7" s="403">
        <f>(IF(F7="HT",VLOOKUP(E7,'tải sàn'!$B$5:$L$50,11,0),IF(F7="TG",VLOOKUP(E7,'tải sàn'!$B$5:$L$50,9,0),0)))+(IF(H7="HT",VLOOKUP(G7,'tải sàn'!$B$5:$L$50,11,0),IF(H7="TG",VLOOKUP(G7,'tải sàn'!$B$5:$L$50,9,0),0)))</f>
        <v>1084.0684866598631</v>
      </c>
      <c r="J7" s="418">
        <f t="shared" si="1"/>
        <v>1796.8684866598633</v>
      </c>
      <c r="K7" s="418">
        <f>(IF(F7="HT",VLOOKUP(E7,'tải sàn'!$B$5:$L$50,10,0),IF(F7="TG",VLOOKUP(E7,'tải sàn'!$B$5:$L$50,8,0),0)))+(IF(H7="HT",VLOOKUP(G7,'tải sàn'!$B$5:$L$50,10,0),IF(H7="TG",VLOOKUP(G7,'tải sàn'!$B$5:$L$50,8,0),0)))</f>
        <v>962.38372940661907</v>
      </c>
    </row>
    <row r="8" spans="1:16" ht="15.75">
      <c r="A8" s="405" t="s">
        <v>628</v>
      </c>
      <c r="B8" s="405">
        <v>0</v>
      </c>
      <c r="C8" s="423">
        <f>TH!$B$18</f>
        <v>3.6</v>
      </c>
      <c r="D8" s="416">
        <f t="shared" si="0"/>
        <v>0</v>
      </c>
      <c r="E8" s="408" t="s">
        <v>120</v>
      </c>
      <c r="F8" s="409" t="s">
        <v>605</v>
      </c>
      <c r="G8" s="408" t="s">
        <v>119</v>
      </c>
      <c r="H8" s="409" t="s">
        <v>605</v>
      </c>
      <c r="I8" s="403">
        <f>(IF(F8="HT",VLOOKUP(E8,'tải sàn'!$B$5:$L$50,11,0),IF(F8="TG",VLOOKUP(E8,'tải sàn'!$B$5:$L$50,9,0),0)))+(IF(H8="HT",VLOOKUP(G8,'tải sàn'!$B$5:$L$50,11,0),IF(H8="TG",VLOOKUP(G8,'tải sàn'!$B$5:$L$50,9,0),0)))</f>
        <v>535.5</v>
      </c>
      <c r="J8" s="418">
        <f t="shared" si="1"/>
        <v>535.5</v>
      </c>
      <c r="K8" s="418">
        <f>(IF(F8="HT",VLOOKUP(E8,'tải sàn'!$B$5:$L$50,10,0),IF(F8="TG",VLOOKUP(E8,'tải sàn'!$B$5:$L$50,8,0),0)))+(IF(H8="HT",VLOOKUP(G8,'tải sàn'!$B$5:$L$50,10,0),IF(H8="TG",VLOOKUP(G8,'tải sàn'!$B$5:$L$50,8,0),0)))</f>
        <v>472.5</v>
      </c>
    </row>
    <row r="9" spans="1:16" ht="15.75">
      <c r="A9" s="405" t="s">
        <v>641</v>
      </c>
      <c r="B9" s="405">
        <v>0</v>
      </c>
      <c r="C9" s="423">
        <f>TH!$B$18</f>
        <v>3.6</v>
      </c>
      <c r="D9" s="416">
        <f t="shared" si="0"/>
        <v>0</v>
      </c>
      <c r="E9" s="408" t="s">
        <v>215</v>
      </c>
      <c r="F9" s="409" t="s">
        <v>605</v>
      </c>
      <c r="G9" s="408" t="s">
        <v>115</v>
      </c>
      <c r="H9" s="409" t="s">
        <v>606</v>
      </c>
      <c r="I9" s="403">
        <f>(IF(F9="HT",VLOOKUP(E9,'tải sàn'!$B$5:$L$50,11,0),IF(F9="TG",VLOOKUP(E9,'tải sàn'!$B$5:$L$50,9,0),0)))+(IF(H9="HT",VLOOKUP(G9,'tải sàn'!$B$5:$L$50,11,0),IF(H9="TG",VLOOKUP(G9,'tải sàn'!$B$5:$L$50,9,0),0)))</f>
        <v>1858.3184866598631</v>
      </c>
      <c r="J9" s="418">
        <f t="shared" si="1"/>
        <v>1858.3184866598631</v>
      </c>
      <c r="K9" s="418">
        <f>(IF(F9="HT",VLOOKUP(E9,'tải sàn'!$B$5:$L$50,10,0),IF(F9="TG",VLOOKUP(E9,'tải sàn'!$B$5:$L$50,8,0),0)))+(IF(H9="HT",VLOOKUP(G9,'tải sàn'!$B$5:$L$50,10,0),IF(H9="TG",VLOOKUP(G9,'tải sàn'!$B$5:$L$50,8,0),0)))</f>
        <v>623.94622940661907</v>
      </c>
    </row>
    <row r="10" spans="1:16" ht="15.75">
      <c r="A10" s="405"/>
      <c r="B10" s="405"/>
      <c r="C10" s="405"/>
      <c r="D10" s="416">
        <f t="shared" si="0"/>
        <v>0</v>
      </c>
      <c r="E10" s="408"/>
      <c r="F10" s="409"/>
      <c r="G10" s="408"/>
      <c r="H10" s="409"/>
      <c r="I10" s="403">
        <f>(IF(F10="HT",VLOOKUP(E10,'tải sàn'!$B$5:$L$50,11,0),IF(F10="TG",VLOOKUP(E10,'tải sàn'!$B$5:$L$50,9,0),0)))+(IF(H10="HT",VLOOKUP(G10,'tải sàn'!$B$5:$L$50,11,0),IF(H10="TG",VLOOKUP(G10,'tải sàn'!$B$5:$L$50,9,0),0)))</f>
        <v>0</v>
      </c>
      <c r="J10" s="418">
        <f t="shared" si="1"/>
        <v>0</v>
      </c>
      <c r="K10" s="418">
        <f>(IF(F10="HT",VLOOKUP(E10,'tải sàn'!$B$5:$L$50,10,0),IF(F10="TG",VLOOKUP(E10,'tải sàn'!$B$5:$L$50,8,0),0)))+(IF(H10="HT",VLOOKUP(G10,'tải sàn'!$B$5:$L$50,10,0),IF(H10="TG",VLOOKUP(G10,'tải sàn'!$B$5:$L$50,8,0),0)))</f>
        <v>0</v>
      </c>
    </row>
    <row r="11" spans="1:16" ht="15.75">
      <c r="A11" s="405"/>
      <c r="B11" s="405"/>
      <c r="C11" s="405"/>
      <c r="D11" s="416">
        <f t="shared" si="0"/>
        <v>0</v>
      </c>
      <c r="E11" s="408"/>
      <c r="F11" s="409"/>
      <c r="G11" s="408"/>
      <c r="H11" s="409"/>
      <c r="I11" s="403">
        <f>(IF(F11="HT",VLOOKUP(E11,'tải sàn'!$B$5:$L$50,11,0),IF(F11="TG",VLOOKUP(E11,'tải sàn'!$B$5:$L$50,9,0),0)))+(IF(H11="HT",VLOOKUP(G11,'tải sàn'!$B$5:$L$50,11,0),IF(H11="TG",VLOOKUP(G11,'tải sàn'!$B$5:$L$50,9,0),0)))</f>
        <v>0</v>
      </c>
      <c r="J11" s="418">
        <f t="shared" si="1"/>
        <v>0</v>
      </c>
      <c r="K11" s="418">
        <f>(IF(F11="HT",VLOOKUP(E11,'tải sàn'!$B$5:$L$50,10,0),IF(F11="TG",VLOOKUP(E11,'tải sàn'!$B$5:$L$50,8,0),0)))+(IF(H11="HT",VLOOKUP(G11,'tải sàn'!$B$5:$L$50,10,0),IF(H11="TG",VLOOKUP(G11,'tải sàn'!$B$5:$L$50,8,0),0)))</f>
        <v>0</v>
      </c>
    </row>
    <row r="12" spans="1:16" ht="15.75" thickBot="1">
      <c r="A12" s="400"/>
      <c r="B12" s="400"/>
      <c r="C12" s="400"/>
      <c r="D12" s="400"/>
      <c r="E12" s="400"/>
      <c r="F12" s="400"/>
      <c r="G12" s="400"/>
      <c r="H12" s="400"/>
      <c r="I12" s="400"/>
      <c r="J12" s="400"/>
      <c r="K12" s="400"/>
    </row>
    <row r="13" spans="1:16" ht="19.5" thickBot="1">
      <c r="A13" s="524" t="s">
        <v>642</v>
      </c>
      <c r="B13" s="525"/>
      <c r="C13" s="525"/>
      <c r="D13" s="525"/>
      <c r="E13" s="525"/>
      <c r="F13" s="525"/>
      <c r="G13" s="525"/>
      <c r="H13" s="525"/>
      <c r="I13" s="525"/>
      <c r="J13" s="525"/>
      <c r="K13" s="526"/>
    </row>
    <row r="14" spans="1:16">
      <c r="A14" s="530" t="s">
        <v>629</v>
      </c>
      <c r="B14" s="531" t="s">
        <v>630</v>
      </c>
      <c r="C14" s="551" t="s">
        <v>631</v>
      </c>
      <c r="D14" s="552"/>
      <c r="E14" s="556" t="s">
        <v>212</v>
      </c>
      <c r="F14" s="551" t="s">
        <v>632</v>
      </c>
      <c r="G14" s="552"/>
      <c r="H14" s="551" t="s">
        <v>211</v>
      </c>
      <c r="I14" s="552"/>
      <c r="J14" s="551" t="s">
        <v>633</v>
      </c>
      <c r="K14" s="552"/>
      <c r="M14" s="551" t="s">
        <v>633</v>
      </c>
      <c r="N14" s="552"/>
      <c r="O14" s="551" t="s">
        <v>633</v>
      </c>
      <c r="P14" s="552"/>
    </row>
    <row r="15" spans="1:16">
      <c r="A15" s="530"/>
      <c r="B15" s="557"/>
      <c r="C15" s="551"/>
      <c r="D15" s="552"/>
      <c r="E15" s="556"/>
      <c r="F15" s="551"/>
      <c r="G15" s="552"/>
      <c r="H15" s="551"/>
      <c r="I15" s="552"/>
      <c r="J15" s="551"/>
      <c r="K15" s="552"/>
      <c r="M15" s="551"/>
      <c r="N15" s="552"/>
      <c r="O15" s="551"/>
      <c r="P15" s="552"/>
    </row>
    <row r="16" spans="1:16" ht="15.75">
      <c r="A16" s="531"/>
      <c r="B16" s="557"/>
      <c r="C16" s="551"/>
      <c r="D16" s="552"/>
      <c r="E16" s="410" t="s">
        <v>604</v>
      </c>
      <c r="F16" s="553" t="s">
        <v>604</v>
      </c>
      <c r="G16" s="554"/>
      <c r="H16" s="553" t="s">
        <v>604</v>
      </c>
      <c r="I16" s="554"/>
      <c r="J16" s="553" t="s">
        <v>604</v>
      </c>
      <c r="K16" s="554"/>
      <c r="M16" s="553" t="s">
        <v>604</v>
      </c>
      <c r="N16" s="554"/>
      <c r="O16" s="553" t="s">
        <v>604</v>
      </c>
      <c r="P16" s="554"/>
    </row>
    <row r="17" spans="1:21" ht="15.75">
      <c r="A17" s="508" t="s">
        <v>545</v>
      </c>
      <c r="B17" s="411">
        <v>5</v>
      </c>
      <c r="C17" s="414">
        <v>1</v>
      </c>
      <c r="D17" s="412"/>
      <c r="E17" s="413">
        <f>IF(C17=1,VLOOKUP(B17,'dam loai 1 T2'!$B$6:$R$41,15,0),IF(C17=2,(IF(D17="Ri",VLOOKUP(B17,'dam loai 2 T2'!$A$6:$X$50,19,0),IF(D17="Rj",VLOOKUP(B17,'dam loai 2 T2'!$A$6:$X$50,20,0),0))),IF(C17=3,(IF(D17="Ri",VLOOKUP(B17,'dam loai 3 T2'!$A$6:$X$50,19,0),IF(D17="Rj",VLOOKUP(B17,'dam loai 3 T2'!$A$6:$X$50,20,0),0))))))</f>
        <v>6193.6500000000005</v>
      </c>
      <c r="F17" s="545">
        <f>E17+E18</f>
        <v>6193.6500000000005</v>
      </c>
      <c r="G17" s="546"/>
      <c r="H17" s="549">
        <f>IF(C17=1,VLOOKUP(B17,'dam loai 1 T2'!$B$6:$R$41,17,0),IF(C17=2,(IF(D17="Ri",VLOOKUP(B17,'dam loai 2 T2'!$A$6:$X$50,23,0),IF(D17="Rj",VLOOKUP(B17,'dam loai 2 T2'!$A$6:$X$50,24,0),0))),IF(C17=3,(IF(D17="Ri",VLOOKUP(B17,'dam loai 3 T2'!$A$6:$X$50,23,0),IF(D17="Rj",VLOOKUP(B17,'dam loai 3 T2'!$A$6:$X$50,24,0),0))))))</f>
        <v>1710</v>
      </c>
      <c r="I17" s="550"/>
      <c r="J17" s="545">
        <f>H17+H18</f>
        <v>1710</v>
      </c>
      <c r="K17" s="546"/>
      <c r="L17" s="400"/>
      <c r="M17" s="545">
        <v>2.88</v>
      </c>
      <c r="N17" s="546"/>
      <c r="O17" s="558">
        <f>M17/F17*1000</f>
        <v>0.46499237121890963</v>
      </c>
      <c r="P17" s="559"/>
    </row>
    <row r="18" spans="1:21" ht="15.75">
      <c r="A18" s="509"/>
      <c r="B18" s="411"/>
      <c r="C18" s="414"/>
      <c r="D18" s="412"/>
      <c r="E18" s="413" t="b">
        <f>IF(C18=1,VLOOKUP(B18,'dam loai 1 T2'!$B$6:$R$41,15,0),IF(C18=2,(IF(D18="Ri",VLOOKUP(B18,'dam loai 2 T2'!$A$6:$X$50,19,0),IF(D18="Rj",VLOOKUP(B18,'dam loai 2 T2'!$A$6:$X$50,20,0),0))),IF(C18=3,(IF(D18="Ri",VLOOKUP(B18,'dam loai 3 T2'!$A$6:$X$50,19,0),IF(D18="Rj",VLOOKUP(B18,'dam loai 3 T2'!$A$6:$X$50,20,0),0))))))</f>
        <v>0</v>
      </c>
      <c r="F18" s="547"/>
      <c r="G18" s="548"/>
      <c r="H18" s="549" t="b">
        <f>IF(C18=1,VLOOKUP(B18,'dam loai 1 T2'!$B$6:$R$41,17,0),IF(C18=2,(IF(D18="Ri",VLOOKUP(B18,'dam loai 2 T2'!$A$6:$X$50,23,0),IF(D18="Rj",VLOOKUP(B18,'dam loai 2 T2'!$A$6:$X$50,24,0),0))),IF(C18=3,(IF(D18="Ri",VLOOKUP(B18,'dam loai 3 T2'!$A$6:$X$50,23,0),IF(D18="Rj",VLOOKUP(B18,'dam loai 3 T2'!$A$6:$X$50,24,0),0))))))</f>
        <v>0</v>
      </c>
      <c r="I18" s="550"/>
      <c r="J18" s="547"/>
      <c r="K18" s="548"/>
      <c r="L18" s="400"/>
      <c r="M18" s="547"/>
      <c r="N18" s="548"/>
      <c r="O18" s="560"/>
      <c r="P18" s="561"/>
    </row>
    <row r="19" spans="1:21" ht="15.75">
      <c r="A19" s="508" t="s">
        <v>634</v>
      </c>
      <c r="B19" s="411">
        <v>6</v>
      </c>
      <c r="C19" s="414">
        <v>1</v>
      </c>
      <c r="D19" s="412"/>
      <c r="E19" s="431">
        <f>IF(C19=1,VLOOKUP(B19,'dam loai 1 T2'!$B$6:$R$41,15,0),IF(C19=2,(IF(D19="Ri",VLOOKUP(B19,'dam loai 2 T2'!$A$6:$X$50,19,0),IF(D19="Rj",VLOOKUP(B19,'dam loai 2 T2'!$A$6:$X$50,20,0),0))),IF(C19=3,(IF(D19="Ri",VLOOKUP(B19,'dam loai 3 T2'!$A$6:$X$50,19,0),IF(D19="Rj",VLOOKUP(B19,'dam loai 3 T2'!$A$6:$X$50,20,0),0))))))</f>
        <v>5030.0170568699004</v>
      </c>
      <c r="F19" s="545">
        <f>E19+E20</f>
        <v>7903.7170568699003</v>
      </c>
      <c r="G19" s="546"/>
      <c r="H19" s="549">
        <f>IF(C19=1,VLOOKUP(B19,'dam loai 1 T2'!$B$6:$R$41,17,0),IF(C19=2,(IF(D19="Ri",VLOOKUP(B19,'dam loai 2 T2'!$A$6:$X$50,23,0),IF(D19="Rj",VLOOKUP(B19,'dam loai 2 T2'!$A$6:$X$50,24,0),0))),IF(C19=3,(IF(D19="Ri",VLOOKUP(B19,'dam loai 3 T2'!$A$6:$X$50,23,0),IF(D19="Rj",VLOOKUP(B19,'dam loai 3 T2'!$A$6:$X$50,24,0),0))))))</f>
        <v>4489.933166591496</v>
      </c>
      <c r="I19" s="550"/>
      <c r="J19" s="545">
        <f>H19+H20</f>
        <v>4962.433166591496</v>
      </c>
      <c r="K19" s="546"/>
      <c r="L19" s="400"/>
      <c r="M19" s="545">
        <v>6.84</v>
      </c>
      <c r="N19" s="546"/>
      <c r="O19" s="558">
        <f t="shared" ref="O19" si="2">M19/F19*1000</f>
        <v>0.86541559506544841</v>
      </c>
      <c r="P19" s="559"/>
    </row>
    <row r="20" spans="1:21" ht="15.75">
      <c r="A20" s="509"/>
      <c r="B20" s="411">
        <v>10</v>
      </c>
      <c r="C20" s="414">
        <v>1</v>
      </c>
      <c r="D20" s="412"/>
      <c r="E20" s="431">
        <f>IF(C20=1,VLOOKUP(B20,'dam loai 1 T2'!$B$6:$R$41,15,0),IF(C20=2,(IF(D20="Ri",VLOOKUP(B20,'dam loai 2 T2'!$A$6:$X$50,19,0),IF(D20="Rj",VLOOKUP(B20,'dam loai 2 T2'!$A$6:$X$50,20,0),0))),IF(C20=3,(IF(D20="Ri",VLOOKUP(B20,'dam loai 3 T2'!$A$6:$X$50,19,0),IF(D20="Rj",VLOOKUP(B20,'dam loai 3 T2'!$A$6:$X$50,20,0),0))))))</f>
        <v>2873.7000000000003</v>
      </c>
      <c r="F20" s="547"/>
      <c r="G20" s="548"/>
      <c r="H20" s="549">
        <f>IF(C20=1,VLOOKUP(B20,'dam loai 1 T2'!$B$6:$R$41,17,0),IF(C20=2,(IF(D20="Ri",VLOOKUP(B20,'dam loai 2 T2'!$A$6:$X$50,23,0),IF(D20="Rj",VLOOKUP(B20,'dam loai 2 T2'!$A$6:$X$50,24,0),0))),IF(C20=3,(IF(D20="Ri",VLOOKUP(B20,'dam loai 3 T2'!$A$6:$X$50,23,0),IF(D20="Rj",VLOOKUP(B20,'dam loai 3 T2'!$A$6:$X$50,24,0),0))))))</f>
        <v>472.49999999999989</v>
      </c>
      <c r="I20" s="550"/>
      <c r="J20" s="547"/>
      <c r="K20" s="548"/>
      <c r="L20" s="400"/>
      <c r="M20" s="547"/>
      <c r="N20" s="548"/>
      <c r="O20" s="560"/>
      <c r="P20" s="561"/>
    </row>
    <row r="21" spans="1:21" ht="15.75">
      <c r="A21" s="508" t="s">
        <v>636</v>
      </c>
      <c r="B21" s="411">
        <v>7</v>
      </c>
      <c r="C21" s="414">
        <v>1</v>
      </c>
      <c r="D21" s="412"/>
      <c r="E21" s="431">
        <f>IF(C21=1,VLOOKUP(B21,'dam loai 1 T2'!$B$6:$R$41,15,0),IF(C21=2,(IF(D21="Ri",VLOOKUP(B21,'dam loai 2 T2'!$A$6:$X$50,19,0),IF(D21="Rj",VLOOKUP(B21,'dam loai 2 T2'!$A$6:$X$50,20,0),0))),IF(C21=3,(IF(D21="Ri",VLOOKUP(B21,'dam loai 3 T2'!$A$6:$X$50,19,0),IF(D21="Rj",VLOOKUP(B21,'dam loai 3 T2'!$A$6:$X$50,20,0),0))))))</f>
        <v>6170.2691213251874</v>
      </c>
      <c r="F21" s="545">
        <f>E21+E22</f>
        <v>8684.1269657129415</v>
      </c>
      <c r="G21" s="546"/>
      <c r="H21" s="549">
        <f>IF(C21=1,VLOOKUP(B21,'dam loai 1 T2'!$B$6:$R$41,17,0),IF(C21=2,(IF(D21="Ri",VLOOKUP(B21,'dam loai 2 T2'!$A$6:$X$50,23,0),IF(D21="Rj",VLOOKUP(B21,'dam loai 2 T2'!$A$6:$X$50,24,0),0))),IF(C21=3,(IF(D21="Ri",VLOOKUP(B21,'dam loai 3 T2'!$A$6:$X$50,23,0),IF(D21="Rj",VLOOKUP(B21,'dam loai 3 T2'!$A$6:$X$50,24,0),0))))))</f>
        <v>3483.3974332690968</v>
      </c>
      <c r="I21" s="550"/>
      <c r="J21" s="545">
        <f>H21+H22</f>
        <v>4357.6134500329454</v>
      </c>
      <c r="K21" s="546"/>
      <c r="L21" s="400"/>
      <c r="M21" s="545">
        <v>5.94</v>
      </c>
      <c r="N21" s="546"/>
      <c r="O21" s="558">
        <f t="shared" ref="O21" si="3">M21/F21*1000</f>
        <v>0.68400658160026617</v>
      </c>
      <c r="P21" s="559"/>
    </row>
    <row r="22" spans="1:21" ht="15.75">
      <c r="A22" s="509"/>
      <c r="B22" s="411">
        <v>11</v>
      </c>
      <c r="C22" s="414">
        <v>1</v>
      </c>
      <c r="D22" s="412"/>
      <c r="E22" s="431">
        <f>IF(C22=1,VLOOKUP(B22,'dam loai 1 T2'!$B$6:$R$41,15,0),IF(C22=2,(IF(D22="Ri",VLOOKUP(B22,'dam loai 2 T2'!$A$6:$X$50,19,0),IF(D22="Rj",VLOOKUP(B22,'dam loai 2 T2'!$A$6:$X$50,20,0),0))),IF(C22=3,(IF(D22="Ri",VLOOKUP(B22,'dam loai 3 T2'!$A$6:$X$50,19,0),IF(D22="Rj",VLOOKUP(B22,'dam loai 3 T2'!$A$6:$X$50,20,0),0))))))</f>
        <v>2513.857844387755</v>
      </c>
      <c r="F22" s="547"/>
      <c r="G22" s="548"/>
      <c r="H22" s="549">
        <f>IF(C22=1,VLOOKUP(B22,'dam loai 1 T2'!$B$6:$R$41,17,0),IF(C22=2,(IF(D22="Ri",VLOOKUP(B22,'dam loai 2 T2'!$A$6:$X$50,23,0),IF(D22="Rj",VLOOKUP(B22,'dam loai 2 T2'!$A$6:$X$50,24,0),0))),IF(C22=3,(IF(D22="Ri",VLOOKUP(B22,'dam loai 3 T2'!$A$6:$X$50,23,0),IF(D22="Rj",VLOOKUP(B22,'dam loai 3 T2'!$A$6:$X$50,24,0),0))))))</f>
        <v>874.2160167638483</v>
      </c>
      <c r="I22" s="550"/>
      <c r="J22" s="547"/>
      <c r="K22" s="548"/>
      <c r="L22" s="400"/>
      <c r="M22" s="547"/>
      <c r="N22" s="548"/>
      <c r="O22" s="560"/>
      <c r="P22" s="561"/>
    </row>
    <row r="23" spans="1:21" ht="15.75">
      <c r="A23" s="508" t="s">
        <v>637</v>
      </c>
      <c r="B23" s="411">
        <v>8</v>
      </c>
      <c r="C23" s="414">
        <v>1</v>
      </c>
      <c r="D23" s="412"/>
      <c r="E23" s="431">
        <f>IF(C23=1,VLOOKUP(B23,'dam loai 1 T2'!$B$6:$R$41,15,0),IF(C23=2,(IF(D23="Ri",VLOOKUP(B23,'dam loai 2 T2'!$A$6:$X$50,19,0),IF(D23="Rj",VLOOKUP(B23,'dam loai 2 T2'!$A$6:$X$50,20,0),0))),IF(C23=3,(IF(D23="Ri",VLOOKUP(B23,'dam loai 3 T2'!$A$6:$X$50,19,0),IF(D23="Rj",VLOOKUP(B23,'dam loai 3 T2'!$A$6:$X$50,20,0),0))))))</f>
        <v>9219.6820636352459</v>
      </c>
      <c r="F23" s="545">
        <f>E23+E24</f>
        <v>11733.539908023002</v>
      </c>
      <c r="G23" s="546"/>
      <c r="H23" s="549">
        <f>IF(C23=1,VLOOKUP(B23,'dam loai 1 T2'!$B$6:$R$41,17,0),IF(C23=2,(IF(D23="Ri",VLOOKUP(B23,'dam loai 2 T2'!$A$6:$X$50,23,0),IF(D23="Rj",VLOOKUP(B23,'dam loai 2 T2'!$A$6:$X$50,24,0),0))),IF(C23=3,(IF(D23="Ri",VLOOKUP(B23,'dam loai 3 T2'!$A$6:$X$50,23,0),IF(D23="Rj",VLOOKUP(B23,'dam loai 3 T2'!$A$6:$X$50,24,0),0))))))</f>
        <v>2150.4485244372463</v>
      </c>
      <c r="I23" s="550"/>
      <c r="J23" s="545">
        <f>H23+H24</f>
        <v>3024.6645412010948</v>
      </c>
      <c r="K23" s="546"/>
      <c r="L23" s="400"/>
      <c r="M23" s="545">
        <v>4.2300000000000004</v>
      </c>
      <c r="N23" s="546"/>
      <c r="O23" s="558">
        <f t="shared" ref="O23" si="4">M23/F23*1000</f>
        <v>0.36050501665807333</v>
      </c>
      <c r="P23" s="559"/>
    </row>
    <row r="24" spans="1:21" ht="15.75">
      <c r="A24" s="509"/>
      <c r="B24" s="411">
        <v>12</v>
      </c>
      <c r="C24" s="414">
        <v>1</v>
      </c>
      <c r="D24" s="412"/>
      <c r="E24" s="431">
        <f>IF(C24=1,VLOOKUP(B24,'dam loai 1 T2'!$B$6:$R$41,15,0),IF(C24=2,(IF(D24="Ri",VLOOKUP(B24,'dam loai 2 T2'!$A$6:$X$50,19,0),IF(D24="Rj",VLOOKUP(B24,'dam loai 2 T2'!$A$6:$X$50,20,0),0))),IF(C24=3,(IF(D24="Ri",VLOOKUP(B24,'dam loai 3 T2'!$A$6:$X$50,19,0),IF(D24="Rj",VLOOKUP(B24,'dam loai 3 T2'!$A$6:$X$50,20,0),0))))))</f>
        <v>2513.857844387755</v>
      </c>
      <c r="F24" s="547"/>
      <c r="G24" s="548"/>
      <c r="H24" s="549">
        <f>IF(C24=1,VLOOKUP(B24,'dam loai 1 T2'!$B$6:$R$41,17,0),IF(C24=2,(IF(D24="Ri",VLOOKUP(B24,'dam loai 2 T2'!$A$6:$X$50,23,0),IF(D24="Rj",VLOOKUP(B24,'dam loai 2 T2'!$A$6:$X$50,24,0),0))),IF(C24=3,(IF(D24="Ri",VLOOKUP(B24,'dam loai 3 T2'!$A$6:$X$50,23,0),IF(D24="Rj",VLOOKUP(B24,'dam loai 3 T2'!$A$6:$X$50,24,0),0))))))</f>
        <v>874.2160167638483</v>
      </c>
      <c r="I24" s="550"/>
      <c r="J24" s="547"/>
      <c r="K24" s="548"/>
      <c r="L24" s="400"/>
      <c r="M24" s="547"/>
      <c r="N24" s="548"/>
      <c r="O24" s="560"/>
      <c r="P24" s="561"/>
    </row>
    <row r="25" spans="1:21" ht="15.75">
      <c r="A25" s="508" t="s">
        <v>643</v>
      </c>
      <c r="B25" s="411">
        <v>9</v>
      </c>
      <c r="C25" s="432">
        <v>1</v>
      </c>
      <c r="D25" s="412"/>
      <c r="E25" s="431">
        <f>IF(C25=1,VLOOKUP(B25,'dam loai 1 T2'!$B$6:$R$41,15,0),IF(C25=2,(IF(D25="Ri",VLOOKUP(B25,'dam loai 2 T2'!$A$6:$X$50,19,0),IF(D25="Rj",VLOOKUP(B25,'dam loai 2 T2'!$A$6:$X$50,20,0),0))),IF(C25=3,(IF(D25="Ri",VLOOKUP(B25,'dam loai 3 T2'!$A$6:$X$50,19,0),IF(D25="Rj",VLOOKUP(B25,'dam loai 3 T2'!$A$6:$X$50,20,0),0))))))</f>
        <v>9773.5714707450079</v>
      </c>
      <c r="F25" s="545">
        <f>E25+E26</f>
        <v>12647.271470745009</v>
      </c>
      <c r="G25" s="546"/>
      <c r="H25" s="549">
        <f>IF(C25=1,VLOOKUP(B25,'dam loai 1 T2'!$B$6:$R$41,17,0),IF(C25=2,(IF(D25="Ri",VLOOKUP(B25,'dam loai 2 T2'!$A$6:$X$50,23,0),IF(D25="Rj",VLOOKUP(B25,'dam loai 2 T2'!$A$6:$X$50,24,0),0))),IF(C25=3,(IF(D25="Ri",VLOOKUP(B25,'dam loai 3 T2'!$A$6:$X$50,23,0),IF(D25="Rj",VLOOKUP(B25,'dam loai 3 T2'!$A$6:$X$50,24,0),0))))))</f>
        <v>912.01767446389772</v>
      </c>
      <c r="I25" s="550"/>
      <c r="J25" s="545">
        <f>H25+H26</f>
        <v>1384.5176744638975</v>
      </c>
      <c r="K25" s="546"/>
      <c r="L25" s="400"/>
      <c r="M25" s="545">
        <v>2.25</v>
      </c>
      <c r="N25" s="546"/>
      <c r="O25" s="558">
        <f t="shared" ref="O25" si="5">M25/F25*1000</f>
        <v>0.17790398547264361</v>
      </c>
      <c r="P25" s="559"/>
    </row>
    <row r="26" spans="1:21" ht="15.75">
      <c r="A26" s="509"/>
      <c r="B26" s="411">
        <v>13</v>
      </c>
      <c r="C26" s="432">
        <v>1</v>
      </c>
      <c r="D26" s="412"/>
      <c r="E26" s="431">
        <f>IF(C26=1,VLOOKUP(B26,'dam loai 1 T2'!$B$6:$R$41,15,0),IF(C26=2,(IF(D26="Ri",VLOOKUP(B26,'dam loai 2 T2'!$A$6:$X$50,19,0),IF(D26="Rj",VLOOKUP(B26,'dam loai 2 T2'!$A$6:$X$50,20,0),0))),IF(C26=3,(IF(D26="Ri",VLOOKUP(B26,'dam loai 3 T2'!$A$6:$X$50,19,0),IF(D26="Rj",VLOOKUP(B26,'dam loai 3 T2'!$A$6:$X$50,20,0),0))))))</f>
        <v>2873.7000000000003</v>
      </c>
      <c r="F26" s="547"/>
      <c r="G26" s="548"/>
      <c r="H26" s="555">
        <f>IF(C26=1,VLOOKUP(B26,'dam loai 1 T2'!$B$6:$R$41,17,0),IF(C26=2,(IF(D26="Ri",VLOOKUP(B26,'dam loai 2 T2'!$A$6:$X$50,23,0),IF(D26="Rj",VLOOKUP(B26,'dam loai 2 T2'!$A$6:$X$50,24,0),0))),IF(C26=3,(IF(D26="Ri",VLOOKUP(B26,'dam loai 3 T2'!$A$6:$X$50,23,0),IF(D26="Rj",VLOOKUP(B26,'dam loai 3 T2'!$A$6:$X$50,24,0),0))))))</f>
        <v>472.49999999999989</v>
      </c>
      <c r="I26" s="555"/>
      <c r="J26" s="547"/>
      <c r="K26" s="548"/>
      <c r="L26" s="400"/>
      <c r="M26" s="547"/>
      <c r="N26" s="548"/>
      <c r="O26" s="560"/>
      <c r="P26" s="561"/>
    </row>
    <row r="30" spans="1:21" ht="18.75">
      <c r="A30" s="415"/>
      <c r="B30" s="415"/>
      <c r="C30" s="415"/>
      <c r="D30" s="415"/>
      <c r="E30" s="415"/>
      <c r="F30" s="415"/>
      <c r="G30" s="415"/>
      <c r="H30" s="415"/>
      <c r="I30" s="415"/>
      <c r="J30" s="415"/>
      <c r="K30" s="415"/>
      <c r="L30" s="415"/>
      <c r="M30" s="415"/>
      <c r="N30" s="415"/>
      <c r="O30" s="415"/>
      <c r="P30" s="415"/>
      <c r="Q30" s="415"/>
      <c r="R30" s="415"/>
      <c r="S30" s="415"/>
      <c r="T30" s="415"/>
      <c r="U30" s="415"/>
    </row>
    <row r="31" spans="1:21" ht="18.75">
      <c r="A31" s="415"/>
      <c r="B31" s="415"/>
      <c r="C31" s="415"/>
      <c r="D31" s="415"/>
      <c r="E31" s="415"/>
      <c r="F31" s="415"/>
      <c r="G31" s="415"/>
      <c r="H31" s="415"/>
      <c r="I31" s="415"/>
      <c r="J31" s="415"/>
      <c r="K31" s="415"/>
      <c r="L31" s="415"/>
      <c r="M31" s="415"/>
      <c r="N31" s="415"/>
      <c r="O31" s="415"/>
      <c r="P31" s="415"/>
      <c r="Q31" s="415"/>
      <c r="R31" s="415"/>
      <c r="S31" s="415"/>
      <c r="T31" s="415"/>
      <c r="U31" s="415"/>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dimension ref="B1:T28"/>
  <sheetViews>
    <sheetView topLeftCell="A4" workbookViewId="0">
      <selection activeCell="J17" sqref="J17"/>
    </sheetView>
  </sheetViews>
  <sheetFormatPr defaultRowHeight="15"/>
  <cols>
    <col min="3" max="3" width="10.140625" customWidth="1"/>
  </cols>
  <sheetData>
    <row r="1" spans="2:20" ht="15.75" thickBot="1">
      <c r="B1" s="400"/>
      <c r="C1" s="400"/>
      <c r="D1" s="400"/>
      <c r="E1" s="400"/>
      <c r="F1" s="400"/>
      <c r="G1" s="400"/>
      <c r="H1" s="400"/>
      <c r="I1" s="400"/>
      <c r="J1" s="400"/>
      <c r="K1" s="400"/>
      <c r="L1" s="400"/>
      <c r="M1" s="400"/>
      <c r="N1" s="400"/>
      <c r="O1" s="400"/>
      <c r="P1" s="400"/>
      <c r="Q1" s="400"/>
      <c r="R1" s="400"/>
      <c r="S1" s="400"/>
      <c r="T1" s="400"/>
    </row>
    <row r="2" spans="2:20" ht="19.5" thickBot="1">
      <c r="B2" s="503" t="s">
        <v>607</v>
      </c>
      <c r="C2" s="503"/>
      <c r="D2" s="503"/>
      <c r="E2" s="503"/>
      <c r="F2" s="503"/>
      <c r="G2" s="503"/>
      <c r="H2" s="503"/>
      <c r="I2" s="503"/>
      <c r="J2" s="503"/>
      <c r="K2" s="503"/>
      <c r="L2" s="503"/>
      <c r="M2" s="503"/>
      <c r="N2" s="503"/>
      <c r="O2" s="503"/>
      <c r="P2" s="503"/>
      <c r="Q2" s="503"/>
      <c r="R2" s="503"/>
      <c r="S2" s="400"/>
      <c r="T2" s="400"/>
    </row>
    <row r="3" spans="2:20" ht="16.5" thickBot="1">
      <c r="B3" s="507" t="s">
        <v>588</v>
      </c>
      <c r="C3" s="507" t="s">
        <v>589</v>
      </c>
      <c r="D3" s="507" t="s">
        <v>590</v>
      </c>
      <c r="E3" s="507"/>
      <c r="F3" s="507" t="s">
        <v>591</v>
      </c>
      <c r="G3" s="507" t="s">
        <v>592</v>
      </c>
      <c r="H3" s="507"/>
      <c r="I3" s="507"/>
      <c r="J3" s="507" t="s">
        <v>593</v>
      </c>
      <c r="K3" s="507"/>
      <c r="L3" s="507"/>
      <c r="M3" s="507"/>
      <c r="N3" s="507" t="s">
        <v>594</v>
      </c>
      <c r="O3" s="507"/>
      <c r="P3" s="507"/>
      <c r="Q3" s="507" t="s">
        <v>595</v>
      </c>
      <c r="R3" s="507"/>
      <c r="S3" s="400"/>
      <c r="T3" s="400"/>
    </row>
    <row r="4" spans="2:20" ht="18" thickBot="1">
      <c r="B4" s="507"/>
      <c r="C4" s="507"/>
      <c r="D4" s="507"/>
      <c r="E4" s="507"/>
      <c r="F4" s="507"/>
      <c r="G4" s="507"/>
      <c r="H4" s="507"/>
      <c r="I4" s="507"/>
      <c r="J4" s="507"/>
      <c r="K4" s="507"/>
      <c r="L4" s="507"/>
      <c r="M4" s="507"/>
      <c r="N4" s="373" t="s">
        <v>596</v>
      </c>
      <c r="O4" s="373" t="s">
        <v>597</v>
      </c>
      <c r="P4" s="373" t="s">
        <v>598</v>
      </c>
      <c r="Q4" s="373" t="s">
        <v>596</v>
      </c>
      <c r="R4" s="373" t="s">
        <v>598</v>
      </c>
      <c r="S4" s="400"/>
      <c r="T4" s="400"/>
    </row>
    <row r="5" spans="2:20" ht="15.75">
      <c r="B5" s="507"/>
      <c r="C5" s="374" t="s">
        <v>6</v>
      </c>
      <c r="D5" s="374" t="s">
        <v>599</v>
      </c>
      <c r="E5" s="374" t="s">
        <v>600</v>
      </c>
      <c r="F5" s="374" t="s">
        <v>601</v>
      </c>
      <c r="G5" s="374" t="s">
        <v>602</v>
      </c>
      <c r="H5" s="374" t="s">
        <v>603</v>
      </c>
      <c r="I5" s="374" t="s">
        <v>224</v>
      </c>
      <c r="J5" s="507"/>
      <c r="K5" s="507"/>
      <c r="L5" s="507"/>
      <c r="M5" s="507"/>
      <c r="N5" s="374" t="s">
        <v>601</v>
      </c>
      <c r="O5" s="374" t="s">
        <v>601</v>
      </c>
      <c r="P5" s="374" t="s">
        <v>604</v>
      </c>
      <c r="Q5" s="374" t="s">
        <v>601</v>
      </c>
      <c r="R5" s="374" t="s">
        <v>604</v>
      </c>
      <c r="S5" s="400"/>
      <c r="T5" s="400"/>
    </row>
    <row r="6" spans="2:20" ht="15.75">
      <c r="B6" s="384">
        <v>1</v>
      </c>
      <c r="C6" s="385">
        <v>6</v>
      </c>
      <c r="D6" s="371">
        <f>TH!$B$53/10</f>
        <v>20</v>
      </c>
      <c r="E6" s="371">
        <f>TH!$B$50/10</f>
        <v>35</v>
      </c>
      <c r="F6" s="376">
        <f t="shared" ref="F6:F28" si="0">1.1*D6*E6*2500/10000</f>
        <v>192.5</v>
      </c>
      <c r="G6" s="386">
        <v>100</v>
      </c>
      <c r="H6" s="372">
        <f>TH!$B$18</f>
        <v>3.6</v>
      </c>
      <c r="I6" s="377">
        <f t="shared" ref="I6:I14" si="1">IF(G6=100,180*1.1*H6,IF(G6=200,330*1.1*H6,0))</f>
        <v>712.80000000000007</v>
      </c>
      <c r="J6" s="387" t="s">
        <v>117</v>
      </c>
      <c r="K6" s="388" t="s">
        <v>606</v>
      </c>
      <c r="L6" s="387" t="s">
        <v>120</v>
      </c>
      <c r="M6" s="388" t="s">
        <v>606</v>
      </c>
      <c r="N6" s="380">
        <f>(IF(K6="HT",VLOOKUP(J6,'tải sàn'!$B$5:$L$50,11,0),IF(K6="TG",VLOOKUP(J6,'tải sàn'!$B$5:$L$50,9,0),0)))+(IF(M6="HT",VLOOKUP(L6,'tải sàn'!$B$5:$L$50,11,0),IF(M6="TG",VLOOKUP(L6,'tải sàn'!$B$5:$L$50,9,0),0)))</f>
        <v>1151.4563737750625</v>
      </c>
      <c r="O6" s="380">
        <f t="shared" ref="O6:O14" si="2">F6+I6+N6</f>
        <v>2056.7563737750625</v>
      </c>
      <c r="P6" s="381">
        <f t="shared" ref="P6:P14" si="3">O6*C6/2</f>
        <v>6170.2691213251874</v>
      </c>
      <c r="Q6" s="380">
        <f>(IF(K6="HT",VLOOKUP(J6,'tải sàn'!$B$5:$L$50,10,0),IF(K6="TG",VLOOKUP(J6,'tải sàn'!$B$5:$L$50,8,0),0)))+(IF(M6="HT",VLOOKUP(L6,'tải sàn'!$B$5:$L$50,10,0),IF(M6="TG",VLOOKUP(L6,'tải sàn'!$B$5:$L$50,8,0),0)))</f>
        <v>1161.1324777563657</v>
      </c>
      <c r="R6" s="381">
        <f t="shared" ref="R6:R14" si="4">Q6*C6/2</f>
        <v>3483.3974332690968</v>
      </c>
    </row>
    <row r="7" spans="2:20" ht="15.75">
      <c r="B7" s="384">
        <v>2</v>
      </c>
      <c r="C7" s="385">
        <v>3</v>
      </c>
      <c r="D7" s="371">
        <f>TH!$B$53/10</f>
        <v>20</v>
      </c>
      <c r="E7" s="371">
        <f>TH!$B$50/10</f>
        <v>35</v>
      </c>
      <c r="F7" s="376">
        <f t="shared" si="0"/>
        <v>192.5</v>
      </c>
      <c r="G7" s="386">
        <v>100</v>
      </c>
      <c r="H7" s="372">
        <f>TH!$B$18</f>
        <v>3.6</v>
      </c>
      <c r="I7" s="377">
        <f t="shared" si="1"/>
        <v>712.80000000000007</v>
      </c>
      <c r="J7" s="387" t="s">
        <v>115</v>
      </c>
      <c r="K7" s="388" t="s">
        <v>605</v>
      </c>
      <c r="L7" s="387" t="s">
        <v>119</v>
      </c>
      <c r="M7" s="388" t="s">
        <v>606</v>
      </c>
      <c r="N7" s="380">
        <f>(IF(K7="HT",VLOOKUP(J7,'tải sàn'!$B$5:$L$50,11,0),IF(K7="TG",VLOOKUP(J7,'tải sàn'!$B$5:$L$50,9,0),0)))+(IF(M7="HT",VLOOKUP(L7,'tải sàn'!$B$5:$L$50,11,0),IF(M7="TG",VLOOKUP(L7,'tải sàn'!$B$5:$L$50,9,0),0)))</f>
        <v>770.60522959183663</v>
      </c>
      <c r="O7" s="380">
        <f t="shared" si="2"/>
        <v>1675.9052295918368</v>
      </c>
      <c r="P7" s="381">
        <f t="shared" si="3"/>
        <v>2513.857844387755</v>
      </c>
      <c r="Q7" s="380">
        <f>(IF(K7="HT",VLOOKUP(J7,'tải sàn'!$B$5:$L$50,10,0),IF(K7="TG",VLOOKUP(J7,'tải sàn'!$B$5:$L$50,8,0),0)))+(IF(M7="HT",VLOOKUP(L7,'tải sàn'!$B$5:$L$50,10,0),IF(M7="TG",VLOOKUP(L7,'tải sàn'!$B$5:$L$50,8,0),0)))</f>
        <v>582.8106778425655</v>
      </c>
      <c r="R7" s="381">
        <f t="shared" si="4"/>
        <v>874.2160167638483</v>
      </c>
    </row>
    <row r="8" spans="2:20" ht="15.75">
      <c r="B8" s="384">
        <v>3</v>
      </c>
      <c r="C8" s="385">
        <v>5.5</v>
      </c>
      <c r="D8" s="371">
        <f>TH!$B$53/10</f>
        <v>20</v>
      </c>
      <c r="E8" s="371">
        <f>TH!$B$50/10</f>
        <v>35</v>
      </c>
      <c r="F8" s="376">
        <f>1.1*D8*E8*2500/10000</f>
        <v>192.5</v>
      </c>
      <c r="G8" s="386">
        <v>100</v>
      </c>
      <c r="H8" s="372">
        <f>TH!$B$18</f>
        <v>3.6</v>
      </c>
      <c r="I8" s="377">
        <f>IF(G8=100,180*1.1*H8,IF(G8=200,330*1.1*H8,0))</f>
        <v>712.80000000000007</v>
      </c>
      <c r="J8" s="387" t="s">
        <v>116</v>
      </c>
      <c r="K8" s="388" t="s">
        <v>606</v>
      </c>
      <c r="L8" s="387" t="s">
        <v>118</v>
      </c>
      <c r="M8" s="388" t="s">
        <v>606</v>
      </c>
      <c r="N8" s="380">
        <f>(IF(K8="HT",VLOOKUP(J8,'tải sàn'!$B$5:$L$50,11,0),IF(K8="TG",VLOOKUP(J8,'tải sàn'!$B$5:$L$50,9,0),0)))+(IF(M8="HT",VLOOKUP(L8,'tải sàn'!$B$5:$L$50,11,0),IF(M8="TG",VLOOKUP(L8,'tải sàn'!$B$5:$L$50,9,0),0)))</f>
        <v>1320.2892186167105</v>
      </c>
      <c r="O8" s="380">
        <f>F8+I8+N8</f>
        <v>2225.5892186167107</v>
      </c>
      <c r="P8" s="381">
        <f>O8*C8/2</f>
        <v>6120.3703511959548</v>
      </c>
      <c r="Q8" s="380">
        <f>(IF(K8="HT",VLOOKUP(J8,'tải sàn'!$B$5:$L$50,10,0),IF(K8="TG",VLOOKUP(J8,'tải sàn'!$B$5:$L$50,8,0),0)))+(IF(M8="HT",VLOOKUP(L8,'tải sàn'!$B$5:$L$50,10,0),IF(M8="TG",VLOOKUP(L8,'tải sàn'!$B$5:$L$50,8,0),0)))</f>
        <v>846.60464678895983</v>
      </c>
      <c r="R8" s="381">
        <f>Q8*C8/2</f>
        <v>2328.1627786696395</v>
      </c>
    </row>
    <row r="9" spans="2:20" ht="15.75">
      <c r="B9" s="384">
        <v>4</v>
      </c>
      <c r="C9" s="385">
        <v>4</v>
      </c>
      <c r="D9" s="371">
        <f>TH!$B$53/10</f>
        <v>20</v>
      </c>
      <c r="E9" s="371">
        <f>TH!$B$50/10</f>
        <v>35</v>
      </c>
      <c r="F9" s="376">
        <f t="shared" si="0"/>
        <v>192.5</v>
      </c>
      <c r="G9" s="386">
        <v>0</v>
      </c>
      <c r="H9" s="372">
        <f>TH!$B$18</f>
        <v>3.6</v>
      </c>
      <c r="I9" s="377">
        <f t="shared" si="1"/>
        <v>0</v>
      </c>
      <c r="J9" s="387" t="s">
        <v>122</v>
      </c>
      <c r="K9" s="388" t="s">
        <v>605</v>
      </c>
      <c r="L9" s="387" t="s">
        <v>121</v>
      </c>
      <c r="M9" s="388" t="s">
        <v>606</v>
      </c>
      <c r="N9" s="380">
        <f>(IF(K9="HT",VLOOKUP(J9,'tải sàn'!$B$5:$L$50,11,0),IF(K9="TG",VLOOKUP(J9,'tải sàn'!$B$5:$L$50,9,0),0)))+(IF(M9="HT",VLOOKUP(L9,'tải sàn'!$B$5:$L$50,11,0),IF(M9="TG",VLOOKUP(L9,'tải sàn'!$B$5:$L$50,9,0),0)))</f>
        <v>951.27999708412301</v>
      </c>
      <c r="O9" s="380">
        <f t="shared" si="2"/>
        <v>1143.7799970841229</v>
      </c>
      <c r="P9" s="381">
        <f t="shared" si="3"/>
        <v>2287.5599941682458</v>
      </c>
      <c r="Q9" s="380">
        <f>(IF(K9="HT",VLOOKUP(J9,'tải sàn'!$B$5:$L$50,10,0),IF(K9="TG",VLOOKUP(J9,'tải sàn'!$B$5:$L$50,8,0),0)))+(IF(M9="HT",VLOOKUP(L9,'tải sàn'!$B$5:$L$50,10,0),IF(M9="TG",VLOOKUP(L9,'tải sàn'!$B$5:$L$50,8,0),0)))</f>
        <v>719.4554599795888</v>
      </c>
      <c r="R9" s="381">
        <f t="shared" si="4"/>
        <v>1438.9109199591776</v>
      </c>
    </row>
    <row r="10" spans="2:20" ht="15.75">
      <c r="B10" s="384">
        <v>5</v>
      </c>
      <c r="C10" s="385">
        <v>5.5</v>
      </c>
      <c r="D10" s="371">
        <f>TH!$B$53/10</f>
        <v>20</v>
      </c>
      <c r="E10" s="371">
        <f>TH!$B$50/10</f>
        <v>35</v>
      </c>
      <c r="F10" s="376">
        <f>1.1*D10*E10*2500/10000</f>
        <v>192.5</v>
      </c>
      <c r="G10" s="386">
        <v>100</v>
      </c>
      <c r="H10" s="372">
        <f>TH!$B$18</f>
        <v>3.6</v>
      </c>
      <c r="I10" s="377">
        <f>IF(G10=100,180*1.1*H10,IF(G10=200,330*1.1*H10,0))</f>
        <v>712.80000000000007</v>
      </c>
      <c r="J10" s="387" t="s">
        <v>116</v>
      </c>
      <c r="K10" s="388" t="s">
        <v>606</v>
      </c>
      <c r="L10" s="387" t="s">
        <v>118</v>
      </c>
      <c r="M10" s="388" t="s">
        <v>606</v>
      </c>
      <c r="N10" s="380">
        <f>(IF(K10="HT",VLOOKUP(J10,'tải sàn'!$B$5:$L$50,11,0),IF(K10="TG",VLOOKUP(J10,'tải sàn'!$B$5:$L$50,9,0),0)))+(IF(M10="HT",VLOOKUP(L10,'tải sàn'!$B$5:$L$50,11,0),IF(M10="TG",VLOOKUP(L10,'tải sàn'!$B$5:$L$50,9,0),0)))</f>
        <v>1320.2892186167105</v>
      </c>
      <c r="O10" s="380">
        <f>F10+I10+N10</f>
        <v>2225.5892186167107</v>
      </c>
      <c r="P10" s="381">
        <f>O10*C10/2</f>
        <v>6120.3703511959548</v>
      </c>
      <c r="Q10" s="380">
        <f>(IF(K10="HT",VLOOKUP(J10,'tải sàn'!$B$5:$L$50,10,0),IF(K10="TG",VLOOKUP(J10,'tải sàn'!$B$5:$L$50,8,0),0)))+(IF(M10="HT",VLOOKUP(L10,'tải sàn'!$B$5:$L$50,10,0),IF(M10="TG",VLOOKUP(L10,'tải sàn'!$B$5:$L$50,8,0),0)))</f>
        <v>846.60464678895983</v>
      </c>
      <c r="R10" s="381">
        <f>Q10*C10/2</f>
        <v>2328.1627786696395</v>
      </c>
    </row>
    <row r="11" spans="2:20" ht="15.75">
      <c r="B11" s="384">
        <v>6</v>
      </c>
      <c r="C11" s="385">
        <v>3</v>
      </c>
      <c r="D11" s="371">
        <f>TH!$B$53/10</f>
        <v>20</v>
      </c>
      <c r="E11" s="371">
        <f>TH!$B$50/10</f>
        <v>35</v>
      </c>
      <c r="F11" s="376">
        <f t="shared" si="0"/>
        <v>192.5</v>
      </c>
      <c r="G11" s="386">
        <v>0</v>
      </c>
      <c r="H11" s="372">
        <f>TH!$B$18</f>
        <v>3.6</v>
      </c>
      <c r="I11" s="377">
        <f t="shared" si="1"/>
        <v>0</v>
      </c>
      <c r="J11" s="387" t="s">
        <v>115</v>
      </c>
      <c r="K11" s="388" t="s">
        <v>605</v>
      </c>
      <c r="L11" s="387" t="s">
        <v>119</v>
      </c>
      <c r="M11" s="388" t="s">
        <v>606</v>
      </c>
      <c r="N11" s="380">
        <f>(IF(K11="HT",VLOOKUP(J11,'tải sàn'!$B$5:$L$50,11,0),IF(K11="TG",VLOOKUP(J11,'tải sàn'!$B$5:$L$50,9,0),0)))+(IF(M11="HT",VLOOKUP(L11,'tải sàn'!$B$5:$L$50,11,0),IF(M11="TG",VLOOKUP(L11,'tải sàn'!$B$5:$L$50,9,0),0)))</f>
        <v>770.60522959183663</v>
      </c>
      <c r="O11" s="380">
        <f t="shared" si="2"/>
        <v>963.10522959183663</v>
      </c>
      <c r="P11" s="381">
        <f t="shared" si="3"/>
        <v>1444.6578443877549</v>
      </c>
      <c r="Q11" s="380">
        <f>(IF(K11="HT",VLOOKUP(J11,'tải sàn'!$B$5:$L$50,10,0),IF(K11="TG",VLOOKUP(J11,'tải sàn'!$B$5:$L$50,8,0),0)))+(IF(M11="HT",VLOOKUP(L11,'tải sàn'!$B$5:$L$50,10,0),IF(M11="TG",VLOOKUP(L11,'tải sàn'!$B$5:$L$50,8,0),0)))</f>
        <v>582.8106778425655</v>
      </c>
      <c r="R11" s="381">
        <f t="shared" si="4"/>
        <v>874.2160167638483</v>
      </c>
    </row>
    <row r="12" spans="2:20" ht="15.75">
      <c r="B12" s="384">
        <v>7</v>
      </c>
      <c r="C12" s="385">
        <v>6</v>
      </c>
      <c r="D12" s="371">
        <f>TH!$B$53/10</f>
        <v>20</v>
      </c>
      <c r="E12" s="371">
        <f>TH!$B$50/10</f>
        <v>35</v>
      </c>
      <c r="F12" s="376">
        <f t="shared" si="0"/>
        <v>192.5</v>
      </c>
      <c r="G12" s="386">
        <v>0</v>
      </c>
      <c r="H12" s="372">
        <f>TH!$B$18</f>
        <v>3.6</v>
      </c>
      <c r="I12" s="377">
        <f t="shared" si="1"/>
        <v>0</v>
      </c>
      <c r="J12" s="387" t="s">
        <v>117</v>
      </c>
      <c r="K12" s="388" t="s">
        <v>606</v>
      </c>
      <c r="L12" s="387" t="s">
        <v>120</v>
      </c>
      <c r="M12" s="388" t="s">
        <v>606</v>
      </c>
      <c r="N12" s="380">
        <f>(IF(K12="HT",VLOOKUP(J12,'tải sàn'!$B$5:$L$50,11,0),IF(K12="TG",VLOOKUP(J12,'tải sàn'!$B$5:$L$50,9,0),0)))+(IF(M12="HT",VLOOKUP(L12,'tải sàn'!$B$5:$L$50,11,0),IF(M12="TG",VLOOKUP(L12,'tải sàn'!$B$5:$L$50,9,0),0)))</f>
        <v>1151.4563737750625</v>
      </c>
      <c r="O12" s="380">
        <f t="shared" si="2"/>
        <v>1343.9563737750625</v>
      </c>
      <c r="P12" s="381">
        <f t="shared" si="3"/>
        <v>4031.8691213251877</v>
      </c>
      <c r="Q12" s="380">
        <f>(IF(K12="HT",VLOOKUP(J12,'tải sàn'!$B$5:$L$50,10,0),IF(K12="TG",VLOOKUP(J12,'tải sàn'!$B$5:$L$50,8,0),0)))+(IF(M12="HT",VLOOKUP(L12,'tải sàn'!$B$5:$L$50,10,0),IF(M12="TG",VLOOKUP(L12,'tải sàn'!$B$5:$L$50,8,0),0)))</f>
        <v>1161.1324777563657</v>
      </c>
      <c r="R12" s="381">
        <f t="shared" si="4"/>
        <v>3483.3974332690968</v>
      </c>
    </row>
    <row r="13" spans="2:20" ht="15.75">
      <c r="B13" s="384">
        <v>8</v>
      </c>
      <c r="C13" s="385">
        <v>4</v>
      </c>
      <c r="D13" s="371">
        <f>TH!$B$53/10</f>
        <v>20</v>
      </c>
      <c r="E13" s="371">
        <f>TH!$B$50/10</f>
        <v>35</v>
      </c>
      <c r="F13" s="376">
        <f t="shared" si="0"/>
        <v>192.5</v>
      </c>
      <c r="G13" s="386">
        <v>200</v>
      </c>
      <c r="H13" s="372">
        <f>TH!$B$18</f>
        <v>3.6</v>
      </c>
      <c r="I13" s="377">
        <f t="shared" si="1"/>
        <v>1306.8000000000002</v>
      </c>
      <c r="J13" s="387" t="s">
        <v>117</v>
      </c>
      <c r="K13" s="388" t="s">
        <v>605</v>
      </c>
      <c r="L13" s="387"/>
      <c r="M13" s="388"/>
      <c r="N13" s="380">
        <f>(IF(K13="HT",VLOOKUP(J13,'tải sàn'!$B$5:$L$50,11,0),IF(K13="TG",VLOOKUP(J13,'tải sàn'!$B$5:$L$50,9,0),0)))+(IF(M13="HT",VLOOKUP(L13,'tải sàn'!$B$5:$L$50,11,0),IF(M13="TG",VLOOKUP(L13,'tải sàn'!$B$5:$L$50,9,0),0)))</f>
        <v>565.25</v>
      </c>
      <c r="O13" s="380">
        <f t="shared" si="2"/>
        <v>2064.5500000000002</v>
      </c>
      <c r="P13" s="381">
        <f t="shared" si="3"/>
        <v>4129.1000000000004</v>
      </c>
      <c r="Q13" s="380">
        <f>(IF(K13="HT",VLOOKUP(J13,'tải sàn'!$B$5:$L$50,10,0),IF(K13="TG",VLOOKUP(J13,'tải sàn'!$B$5:$L$50,8,0),0)))+(IF(M13="HT",VLOOKUP(L13,'tải sàn'!$B$5:$L$50,10,0),IF(M13="TG",VLOOKUP(L13,'tải sàn'!$B$5:$L$50,8,0),0)))</f>
        <v>570</v>
      </c>
      <c r="R13" s="381">
        <f t="shared" si="4"/>
        <v>1140</v>
      </c>
    </row>
    <row r="14" spans="2:20" ht="15.75">
      <c r="B14" s="384">
        <v>9</v>
      </c>
      <c r="C14" s="385">
        <v>4</v>
      </c>
      <c r="D14" s="371">
        <f>TH!$B$53/10</f>
        <v>20</v>
      </c>
      <c r="E14" s="371">
        <f>TH!$B$50/10</f>
        <v>35</v>
      </c>
      <c r="F14" s="376">
        <f t="shared" si="0"/>
        <v>192.5</v>
      </c>
      <c r="G14" s="386">
        <v>100</v>
      </c>
      <c r="H14" s="372">
        <f>TH!$B$18</f>
        <v>3.6</v>
      </c>
      <c r="I14" s="377">
        <f t="shared" si="1"/>
        <v>712.80000000000007</v>
      </c>
      <c r="J14" s="387" t="s">
        <v>117</v>
      </c>
      <c r="K14" s="388" t="s">
        <v>605</v>
      </c>
      <c r="L14" s="387" t="s">
        <v>124</v>
      </c>
      <c r="M14" s="388" t="s">
        <v>606</v>
      </c>
      <c r="N14" s="380">
        <f>(IF(K14="HT",VLOOKUP(J14,'tải sàn'!$B$5:$L$50,11,0),IF(K14="TG",VLOOKUP(J14,'tải sàn'!$B$5:$L$50,9,0),0)))+(IF(M14="HT",VLOOKUP(L14,'tải sàn'!$B$5:$L$50,11,0),IF(M14="TG",VLOOKUP(L14,'tải sàn'!$B$5:$L$50,9,0),0)))</f>
        <v>902.59615040000006</v>
      </c>
      <c r="O14" s="380">
        <f t="shared" si="2"/>
        <v>1807.8961504000001</v>
      </c>
      <c r="P14" s="381">
        <f t="shared" si="3"/>
        <v>3615.7923008000002</v>
      </c>
      <c r="Q14" s="380">
        <f>(IF(K14="HT",VLOOKUP(J14,'tải sàn'!$B$5:$L$50,10,0),IF(K14="TG",VLOOKUP(J14,'tải sàn'!$B$5:$L$50,8,0),0)))+(IF(M14="HT",VLOOKUP(L14,'tải sàn'!$B$5:$L$50,10,0),IF(M14="TG",VLOOKUP(L14,'tải sàn'!$B$5:$L$50,8,0),0)))</f>
        <v>825.13574399999993</v>
      </c>
      <c r="R14" s="381">
        <f t="shared" si="4"/>
        <v>1650.2714879999999</v>
      </c>
    </row>
    <row r="15" spans="2:20" ht="15.75">
      <c r="B15" s="384">
        <v>10</v>
      </c>
      <c r="C15" s="385">
        <v>4</v>
      </c>
      <c r="D15" s="371">
        <f>TH!$B$53/10</f>
        <v>20</v>
      </c>
      <c r="E15" s="371">
        <f>TH!$B$50/10</f>
        <v>35</v>
      </c>
      <c r="F15" s="376">
        <f t="shared" si="0"/>
        <v>192.5</v>
      </c>
      <c r="G15" s="386">
        <v>100</v>
      </c>
      <c r="H15" s="372">
        <f>TH!$B$18</f>
        <v>3.6</v>
      </c>
      <c r="I15" s="377">
        <f>IF(G15=100,180*1.1*H15,IF(G15=200,330*1.1*H15,0))</f>
        <v>712.80000000000007</v>
      </c>
      <c r="J15" s="387" t="s">
        <v>115</v>
      </c>
      <c r="K15" s="388" t="s">
        <v>606</v>
      </c>
      <c r="L15" s="387" t="s">
        <v>116</v>
      </c>
      <c r="M15" s="388" t="s">
        <v>605</v>
      </c>
      <c r="N15" s="380">
        <f>(IF(K15="HT",VLOOKUP(J15,'tải sàn'!$B$5:$L$50,11,0),IF(K15="TG",VLOOKUP(J15,'tải sàn'!$B$5:$L$50,9,0),0)))+(IF(M15="HT",VLOOKUP(L15,'tải sàn'!$B$5:$L$50,11,0),IF(M15="TG",VLOOKUP(L15,'tải sàn'!$B$5:$L$50,9,0),0)))</f>
        <v>1243.1934866598631</v>
      </c>
      <c r="O15" s="380">
        <f t="shared" ref="O15:O28" si="5">F15+I15+N15</f>
        <v>2148.4934866598633</v>
      </c>
      <c r="P15" s="381">
        <f t="shared" ref="P15:P28" si="6">O15*C15/2</f>
        <v>4296.9869733197265</v>
      </c>
      <c r="Q15" s="380">
        <f>(IF(K15="HT",VLOOKUP(J15,'tải sàn'!$B$5:$L$50,10,0),IF(K15="TG",VLOOKUP(J15,'tải sàn'!$B$5:$L$50,8,0),0)))+(IF(M15="HT",VLOOKUP(L15,'tải sàn'!$B$5:$L$50,10,0),IF(M15="TG",VLOOKUP(L15,'tải sàn'!$B$5:$L$50,8,0),0)))</f>
        <v>819.88372940661895</v>
      </c>
      <c r="R15" s="381">
        <f t="shared" ref="R15:R28" si="7">Q15*C15/2</f>
        <v>1639.7674588132379</v>
      </c>
    </row>
    <row r="16" spans="2:20" ht="15.75">
      <c r="B16" s="384">
        <v>11</v>
      </c>
      <c r="C16" s="385">
        <v>4</v>
      </c>
      <c r="D16" s="371">
        <f>TH!$B$53/10</f>
        <v>20</v>
      </c>
      <c r="E16" s="371">
        <f>TH!$B$50/10</f>
        <v>35</v>
      </c>
      <c r="F16" s="376">
        <f t="shared" si="0"/>
        <v>192.5</v>
      </c>
      <c r="G16" s="386">
        <v>100</v>
      </c>
      <c r="H16" s="372">
        <f>TH!$B$18</f>
        <v>3.6</v>
      </c>
      <c r="I16" s="377">
        <f>IF(G16=100,180*1.1*H16,IF(G16=200,330*1.1*H16,0))</f>
        <v>712.80000000000007</v>
      </c>
      <c r="J16" s="387" t="s">
        <v>116</v>
      </c>
      <c r="K16" s="388" t="s">
        <v>605</v>
      </c>
      <c r="L16" s="387" t="s">
        <v>122</v>
      </c>
      <c r="M16" s="388" t="s">
        <v>605</v>
      </c>
      <c r="N16" s="380">
        <f>(IF(K16="HT",VLOOKUP(J16,'tải sàn'!$B$5:$L$50,11,0),IF(K16="TG",VLOOKUP(J16,'tải sàn'!$B$5:$L$50,9,0),0)))+(IF(M16="HT",VLOOKUP(L16,'tải sàn'!$B$5:$L$50,11,0),IF(M16="TG",VLOOKUP(L16,'tải sàn'!$B$5:$L$50,9,0),0)))</f>
        <v>1289.625</v>
      </c>
      <c r="O16" s="380">
        <f t="shared" si="5"/>
        <v>2194.9250000000002</v>
      </c>
      <c r="P16" s="381">
        <f t="shared" si="6"/>
        <v>4389.8500000000004</v>
      </c>
      <c r="Q16" s="380">
        <f>(IF(K16="HT",VLOOKUP(J16,'tải sàn'!$B$5:$L$50,10,0),IF(K16="TG",VLOOKUP(J16,'tải sàn'!$B$5:$L$50,8,0),0)))+(IF(M16="HT",VLOOKUP(L16,'tải sàn'!$B$5:$L$50,10,0),IF(M16="TG",VLOOKUP(L16,'tải sàn'!$B$5:$L$50,8,0),0)))</f>
        <v>854.99999999999989</v>
      </c>
      <c r="R16" s="381">
        <f t="shared" si="7"/>
        <v>1709.9999999999998</v>
      </c>
    </row>
    <row r="17" spans="2:18" ht="15.75">
      <c r="B17" s="384">
        <v>12</v>
      </c>
      <c r="C17" s="385">
        <v>4</v>
      </c>
      <c r="D17" s="371">
        <f>TH!$B$53/10</f>
        <v>20</v>
      </c>
      <c r="E17" s="371">
        <f>TH!$B$50/10</f>
        <v>35</v>
      </c>
      <c r="F17" s="376">
        <f t="shared" si="0"/>
        <v>192.5</v>
      </c>
      <c r="G17" s="386">
        <v>100</v>
      </c>
      <c r="H17" s="372">
        <f>TH!$B$18</f>
        <v>3.6</v>
      </c>
      <c r="I17" s="377">
        <f>IF(G17=100,180*1.1*H17,IF(G17=200,330*1.1*H17,0))</f>
        <v>712.80000000000007</v>
      </c>
      <c r="J17" s="387" t="s">
        <v>116</v>
      </c>
      <c r="K17" s="388" t="s">
        <v>605</v>
      </c>
      <c r="L17" s="387" t="s">
        <v>122</v>
      </c>
      <c r="M17" s="388" t="s">
        <v>605</v>
      </c>
      <c r="N17" s="380">
        <f>(IF(K17="HT",VLOOKUP(J17,'tải sàn'!$B$5:$L$50,11,0),IF(K17="TG",VLOOKUP(J17,'tải sàn'!$B$5:$L$50,9,0),0)))+(IF(M17="HT",VLOOKUP(L17,'tải sàn'!$B$5:$L$50,11,0),IF(M17="TG",VLOOKUP(L17,'tải sàn'!$B$5:$L$50,9,0),0)))</f>
        <v>1289.625</v>
      </c>
      <c r="O17" s="380">
        <f t="shared" si="5"/>
        <v>2194.9250000000002</v>
      </c>
      <c r="P17" s="381">
        <f t="shared" si="6"/>
        <v>4389.8500000000004</v>
      </c>
      <c r="Q17" s="380">
        <f>(IF(K17="HT",VLOOKUP(J17,'tải sàn'!$B$5:$L$50,10,0),IF(K17="TG",VLOOKUP(J17,'tải sàn'!$B$5:$L$50,8,0),0)))+(IF(M17="HT",VLOOKUP(L17,'tải sàn'!$B$5:$L$50,10,0),IF(M17="TG",VLOOKUP(L17,'tải sàn'!$B$5:$L$50,8,0),0)))</f>
        <v>854.99999999999989</v>
      </c>
      <c r="R17" s="381">
        <f t="shared" si="7"/>
        <v>1709.9999999999998</v>
      </c>
    </row>
    <row r="18" spans="2:18" ht="15.75">
      <c r="B18" s="384">
        <v>13</v>
      </c>
      <c r="C18" s="385">
        <v>4</v>
      </c>
      <c r="D18" s="371">
        <f>TH!$B$53/10</f>
        <v>20</v>
      </c>
      <c r="E18" s="371">
        <f>TH!$B$50/10</f>
        <v>35</v>
      </c>
      <c r="F18" s="376">
        <f t="shared" si="0"/>
        <v>192.5</v>
      </c>
      <c r="G18" s="386">
        <v>100</v>
      </c>
      <c r="H18" s="372">
        <f>TH!$B$18</f>
        <v>3.6</v>
      </c>
      <c r="I18" s="377">
        <f>IF(G18=100,180*1.1*H18,IF(G18=200,330*1.1*H18,0))</f>
        <v>712.80000000000007</v>
      </c>
      <c r="J18" s="387" t="s">
        <v>115</v>
      </c>
      <c r="K18" s="388" t="s">
        <v>606</v>
      </c>
      <c r="L18" s="387" t="s">
        <v>116</v>
      </c>
      <c r="M18" s="388" t="s">
        <v>605</v>
      </c>
      <c r="N18" s="380">
        <f>(IF(K18="HT",VLOOKUP(J18,'tải sàn'!$B$5:$L$50,11,0),IF(K18="TG",VLOOKUP(J18,'tải sàn'!$B$5:$L$50,9,0),0)))+(IF(M18="HT",VLOOKUP(L18,'tải sàn'!$B$5:$L$50,11,0),IF(M18="TG",VLOOKUP(L18,'tải sàn'!$B$5:$L$50,9,0),0)))</f>
        <v>1243.1934866598631</v>
      </c>
      <c r="O18" s="380">
        <f t="shared" si="5"/>
        <v>2148.4934866598633</v>
      </c>
      <c r="P18" s="381">
        <f t="shared" si="6"/>
        <v>4296.9869733197265</v>
      </c>
      <c r="Q18" s="380">
        <f>(IF(K18="HT",VLOOKUP(J18,'tải sàn'!$B$5:$L$50,10,0),IF(K18="TG",VLOOKUP(J18,'tải sàn'!$B$5:$L$50,8,0),0)))+(IF(M18="HT",VLOOKUP(L18,'tải sàn'!$B$5:$L$50,10,0),IF(M18="TG",VLOOKUP(L18,'tải sàn'!$B$5:$L$50,8,0),0)))</f>
        <v>819.88372940661895</v>
      </c>
      <c r="R18" s="381">
        <f t="shared" si="7"/>
        <v>1639.7674588132379</v>
      </c>
    </row>
    <row r="19" spans="2:18" ht="15.75">
      <c r="B19" s="384">
        <v>14</v>
      </c>
      <c r="C19" s="385">
        <v>4</v>
      </c>
      <c r="D19" s="371">
        <f>TH!$B$53/10</f>
        <v>20</v>
      </c>
      <c r="E19" s="371">
        <f>TH!$B$50/10</f>
        <v>35</v>
      </c>
      <c r="F19" s="376">
        <f t="shared" si="0"/>
        <v>192.5</v>
      </c>
      <c r="G19" s="386">
        <v>100</v>
      </c>
      <c r="H19" s="372">
        <f>TH!$B$18</f>
        <v>3.6</v>
      </c>
      <c r="I19" s="377">
        <f t="shared" ref="I19:I28" si="8">IF(G19=100,180*1.1*H19,IF(G19=200,330*1.1*H19,0))</f>
        <v>712.80000000000007</v>
      </c>
      <c r="J19" s="387" t="s">
        <v>117</v>
      </c>
      <c r="K19" s="388" t="s">
        <v>605</v>
      </c>
      <c r="L19" s="387" t="s">
        <v>124</v>
      </c>
      <c r="M19" s="388" t="s">
        <v>606</v>
      </c>
      <c r="N19" s="380">
        <f>(IF(K19="HT",VLOOKUP(J19,'tải sàn'!$B$5:$L$50,11,0),IF(K19="TG",VLOOKUP(J19,'tải sàn'!$B$5:$L$50,9,0),0)))+(IF(M19="HT",VLOOKUP(L19,'tải sàn'!$B$5:$L$50,11,0),IF(M19="TG",VLOOKUP(L19,'tải sàn'!$B$5:$L$50,9,0),0)))</f>
        <v>902.59615040000006</v>
      </c>
      <c r="O19" s="380">
        <f t="shared" si="5"/>
        <v>1807.8961504000001</v>
      </c>
      <c r="P19" s="381">
        <f t="shared" si="6"/>
        <v>3615.7923008000002</v>
      </c>
      <c r="Q19" s="380">
        <f>(IF(K19="HT",VLOOKUP(J19,'tải sàn'!$B$5:$L$50,10,0),IF(K19="TG",VLOOKUP(J19,'tải sàn'!$B$5:$L$50,8,0),0)))+(IF(M19="HT",VLOOKUP(L19,'tải sàn'!$B$5:$L$50,10,0),IF(M19="TG",VLOOKUP(L19,'tải sàn'!$B$5:$L$50,8,0),0)))</f>
        <v>825.13574399999993</v>
      </c>
      <c r="R19" s="381">
        <f t="shared" si="7"/>
        <v>1650.2714879999999</v>
      </c>
    </row>
    <row r="20" spans="2:18" ht="15.75">
      <c r="B20" s="384">
        <v>15</v>
      </c>
      <c r="C20" s="385">
        <v>4</v>
      </c>
      <c r="D20" s="371">
        <f>TH!$B$53/10</f>
        <v>20</v>
      </c>
      <c r="E20" s="371">
        <f>TH!$B$50/10</f>
        <v>35</v>
      </c>
      <c r="F20" s="376">
        <f t="shared" si="0"/>
        <v>192.5</v>
      </c>
      <c r="G20" s="386">
        <v>200</v>
      </c>
      <c r="H20" s="372">
        <f>TH!$B$18</f>
        <v>3.6</v>
      </c>
      <c r="I20" s="377">
        <f t="shared" si="8"/>
        <v>1306.8000000000002</v>
      </c>
      <c r="J20" s="387" t="s">
        <v>117</v>
      </c>
      <c r="K20" s="388" t="s">
        <v>605</v>
      </c>
      <c r="L20" s="387"/>
      <c r="M20" s="388"/>
      <c r="N20" s="380">
        <f>(IF(K20="HT",VLOOKUP(J20,'tải sàn'!$B$5:$L$50,11,0),IF(K20="TG",VLOOKUP(J20,'tải sàn'!$B$5:$L$50,9,0),0)))+(IF(M20="HT",VLOOKUP(L20,'tải sàn'!$B$5:$L$50,11,0),IF(M20="TG",VLOOKUP(L20,'tải sàn'!$B$5:$L$50,9,0),0)))</f>
        <v>565.25</v>
      </c>
      <c r="O20" s="380">
        <f t="shared" si="5"/>
        <v>2064.5500000000002</v>
      </c>
      <c r="P20" s="381">
        <f t="shared" si="6"/>
        <v>4129.1000000000004</v>
      </c>
      <c r="Q20" s="380">
        <f>(IF(K20="HT",VLOOKUP(J20,'tải sàn'!$B$5:$L$50,10,0),IF(K20="TG",VLOOKUP(J20,'tải sàn'!$B$5:$L$50,8,0),0)))+(IF(M20="HT",VLOOKUP(L20,'tải sàn'!$B$5:$L$50,10,0),IF(M20="TG",VLOOKUP(L20,'tải sàn'!$B$5:$L$50,8,0),0)))</f>
        <v>570</v>
      </c>
      <c r="R20" s="381">
        <f t="shared" si="7"/>
        <v>1140</v>
      </c>
    </row>
    <row r="21" spans="2:18" ht="15.75">
      <c r="B21" s="384">
        <v>16</v>
      </c>
      <c r="C21" s="385">
        <v>2</v>
      </c>
      <c r="D21" s="371">
        <f>TH!$B$53/10</f>
        <v>20</v>
      </c>
      <c r="E21" s="371">
        <f>TH!$B$50/10</f>
        <v>35</v>
      </c>
      <c r="F21" s="376">
        <f t="shared" si="0"/>
        <v>192.5</v>
      </c>
      <c r="G21" s="386">
        <v>200</v>
      </c>
      <c r="H21" s="372">
        <f>TH!$B$18</f>
        <v>3.6</v>
      </c>
      <c r="I21" s="377">
        <f t="shared" si="8"/>
        <v>1306.8000000000002</v>
      </c>
      <c r="J21" s="387" t="s">
        <v>120</v>
      </c>
      <c r="K21" s="388" t="s">
        <v>605</v>
      </c>
      <c r="L21" s="387"/>
      <c r="M21" s="388"/>
      <c r="N21" s="380">
        <f>(IF(K21="HT",VLOOKUP(J21,'tải sàn'!$B$5:$L$50,11,0),IF(K21="TG",VLOOKUP(J21,'tải sàn'!$B$5:$L$50,9,0),0)))+(IF(M21="HT",VLOOKUP(L21,'tải sàn'!$B$5:$L$50,11,0),IF(M21="TG",VLOOKUP(L21,'tải sàn'!$B$5:$L$50,9,0),0)))</f>
        <v>267.75</v>
      </c>
      <c r="O21" s="380">
        <f t="shared" si="5"/>
        <v>1767.0500000000002</v>
      </c>
      <c r="P21" s="381">
        <f t="shared" si="6"/>
        <v>1767.0500000000002</v>
      </c>
      <c r="Q21" s="380">
        <f>(IF(K21="HT",VLOOKUP(J21,'tải sàn'!$B$5:$L$50,10,0),IF(K21="TG",VLOOKUP(J21,'tải sàn'!$B$5:$L$50,8,0),0)))+(IF(M21="HT",VLOOKUP(L21,'tải sàn'!$B$5:$L$50,10,0),IF(M21="TG",VLOOKUP(L21,'tải sàn'!$B$5:$L$50,8,0),0)))</f>
        <v>270</v>
      </c>
      <c r="R21" s="381">
        <f t="shared" si="7"/>
        <v>270</v>
      </c>
    </row>
    <row r="22" spans="2:18" ht="15.75">
      <c r="B22" s="384">
        <v>17</v>
      </c>
      <c r="C22" s="385">
        <v>2</v>
      </c>
      <c r="D22" s="371">
        <f>TH!$B$53/10</f>
        <v>20</v>
      </c>
      <c r="E22" s="371">
        <f>TH!$B$50/10</f>
        <v>35</v>
      </c>
      <c r="F22" s="376">
        <f t="shared" si="0"/>
        <v>192.5</v>
      </c>
      <c r="G22" s="386">
        <v>0</v>
      </c>
      <c r="H22" s="372">
        <f>TH!$B$18</f>
        <v>3.6</v>
      </c>
      <c r="I22" s="377">
        <f t="shared" si="8"/>
        <v>0</v>
      </c>
      <c r="J22" s="387" t="s">
        <v>120</v>
      </c>
      <c r="K22" s="388" t="s">
        <v>605</v>
      </c>
      <c r="L22" s="387" t="s">
        <v>119</v>
      </c>
      <c r="M22" s="388" t="s">
        <v>605</v>
      </c>
      <c r="N22" s="380">
        <f>(IF(K22="HT",VLOOKUP(J22,'tải sàn'!$B$5:$L$50,11,0),IF(K22="TG",VLOOKUP(J22,'tải sàn'!$B$5:$L$50,9,0),0)))+(IF(M22="HT",VLOOKUP(L22,'tải sàn'!$B$5:$L$50,11,0),IF(M22="TG",VLOOKUP(L22,'tải sàn'!$B$5:$L$50,9,0),0)))</f>
        <v>535.5</v>
      </c>
      <c r="O22" s="380">
        <f t="shared" si="5"/>
        <v>728</v>
      </c>
      <c r="P22" s="381">
        <f t="shared" si="6"/>
        <v>728</v>
      </c>
      <c r="Q22" s="380">
        <f>(IF(K22="HT",VLOOKUP(J22,'tải sàn'!$B$5:$L$50,10,0),IF(K22="TG",VLOOKUP(J22,'tải sàn'!$B$5:$L$50,8,0),0)))+(IF(M22="HT",VLOOKUP(L22,'tải sàn'!$B$5:$L$50,10,0),IF(M22="TG",VLOOKUP(L22,'tải sàn'!$B$5:$L$50,8,0),0)))</f>
        <v>472.5</v>
      </c>
      <c r="R22" s="381">
        <f t="shared" si="7"/>
        <v>472.5</v>
      </c>
    </row>
    <row r="23" spans="2:18" ht="15.75">
      <c r="B23" s="384">
        <v>18</v>
      </c>
      <c r="C23" s="385">
        <v>2</v>
      </c>
      <c r="D23" s="371">
        <f>TH!$B$53/10</f>
        <v>20</v>
      </c>
      <c r="E23" s="371">
        <f>TH!$B$50/10</f>
        <v>35</v>
      </c>
      <c r="F23" s="376">
        <f t="shared" si="0"/>
        <v>192.5</v>
      </c>
      <c r="G23" s="386">
        <v>0</v>
      </c>
      <c r="H23" s="372">
        <f>TH!$B$18</f>
        <v>3.6</v>
      </c>
      <c r="I23" s="377">
        <f t="shared" si="8"/>
        <v>0</v>
      </c>
      <c r="J23" s="387" t="s">
        <v>119</v>
      </c>
      <c r="K23" s="388" t="s">
        <v>605</v>
      </c>
      <c r="L23" s="387" t="s">
        <v>118</v>
      </c>
      <c r="M23" s="388" t="s">
        <v>605</v>
      </c>
      <c r="N23" s="380">
        <f>(IF(K23="HT",VLOOKUP(J23,'tải sàn'!$B$5:$L$50,11,0),IF(K23="TG",VLOOKUP(J23,'tải sàn'!$B$5:$L$50,9,0),0)))+(IF(M23="HT",VLOOKUP(L23,'tải sàn'!$B$5:$L$50,11,0),IF(M23="TG",VLOOKUP(L23,'tải sàn'!$B$5:$L$50,9,0),0)))</f>
        <v>535.5</v>
      </c>
      <c r="O23" s="380">
        <f t="shared" si="5"/>
        <v>728</v>
      </c>
      <c r="P23" s="381">
        <f t="shared" si="6"/>
        <v>728</v>
      </c>
      <c r="Q23" s="380">
        <f>(IF(K23="HT",VLOOKUP(J23,'tải sàn'!$B$5:$L$50,10,0),IF(K23="TG",VLOOKUP(J23,'tải sàn'!$B$5:$L$50,8,0),0)))+(IF(M23="HT",VLOOKUP(L23,'tải sàn'!$B$5:$L$50,10,0),IF(M23="TG",VLOOKUP(L23,'tải sàn'!$B$5:$L$50,8,0),0)))</f>
        <v>404.99999999999994</v>
      </c>
      <c r="R23" s="381">
        <f t="shared" si="7"/>
        <v>404.99999999999994</v>
      </c>
    </row>
    <row r="24" spans="2:18" ht="15.75">
      <c r="B24" s="384">
        <v>19</v>
      </c>
      <c r="C24" s="385">
        <v>2</v>
      </c>
      <c r="D24" s="371">
        <f>TH!$B$53/10</f>
        <v>20</v>
      </c>
      <c r="E24" s="371">
        <f>TH!$B$50/10</f>
        <v>35</v>
      </c>
      <c r="F24" s="376">
        <f t="shared" si="0"/>
        <v>192.5</v>
      </c>
      <c r="G24" s="386">
        <v>0</v>
      </c>
      <c r="H24" s="372">
        <f>TH!$B$18</f>
        <v>3.6</v>
      </c>
      <c r="I24" s="377">
        <f t="shared" si="8"/>
        <v>0</v>
      </c>
      <c r="J24" s="387" t="s">
        <v>118</v>
      </c>
      <c r="K24" s="388" t="s">
        <v>605</v>
      </c>
      <c r="L24" s="387" t="s">
        <v>121</v>
      </c>
      <c r="M24" s="388" t="s">
        <v>605</v>
      </c>
      <c r="N24" s="380">
        <f>(IF(K24="HT",VLOOKUP(J24,'tải sàn'!$B$5:$L$50,11,0),IF(K24="TG",VLOOKUP(J24,'tải sàn'!$B$5:$L$50,9,0),0)))+(IF(M24="HT",VLOOKUP(L24,'tải sàn'!$B$5:$L$50,11,0),IF(M24="TG",VLOOKUP(L24,'tải sàn'!$B$5:$L$50,9,0),0)))</f>
        <v>535.5</v>
      </c>
      <c r="O24" s="380">
        <f t="shared" si="5"/>
        <v>728</v>
      </c>
      <c r="P24" s="381">
        <f t="shared" si="6"/>
        <v>728</v>
      </c>
      <c r="Q24" s="380">
        <f>(IF(K24="HT",VLOOKUP(J24,'tải sàn'!$B$5:$L$50,10,0),IF(K24="TG",VLOOKUP(J24,'tải sàn'!$B$5:$L$50,8,0),0)))+(IF(M24="HT",VLOOKUP(L24,'tải sàn'!$B$5:$L$50,10,0),IF(M24="TG",VLOOKUP(L24,'tải sàn'!$B$5:$L$50,8,0),0)))</f>
        <v>404.99999999999994</v>
      </c>
      <c r="R24" s="381">
        <f t="shared" si="7"/>
        <v>404.99999999999994</v>
      </c>
    </row>
    <row r="25" spans="2:18" ht="15.75">
      <c r="B25" s="384">
        <v>20</v>
      </c>
      <c r="C25" s="385">
        <v>2</v>
      </c>
      <c r="D25" s="371">
        <f>TH!$B$53/10</f>
        <v>20</v>
      </c>
      <c r="E25" s="371">
        <f>TH!$B$50/10</f>
        <v>35</v>
      </c>
      <c r="F25" s="376">
        <f t="shared" si="0"/>
        <v>192.5</v>
      </c>
      <c r="G25" s="386">
        <v>0</v>
      </c>
      <c r="H25" s="372">
        <f>TH!$B$18</f>
        <v>3.6</v>
      </c>
      <c r="I25" s="377">
        <f t="shared" si="8"/>
        <v>0</v>
      </c>
      <c r="J25" s="387" t="s">
        <v>118</v>
      </c>
      <c r="K25" s="388" t="s">
        <v>605</v>
      </c>
      <c r="L25" s="387" t="s">
        <v>121</v>
      </c>
      <c r="M25" s="388" t="s">
        <v>605</v>
      </c>
      <c r="N25" s="380">
        <f>(IF(K25="HT",VLOOKUP(J25,'tải sàn'!$B$5:$L$50,11,0),IF(K25="TG",VLOOKUP(J25,'tải sàn'!$B$5:$L$50,9,0),0)))+(IF(M25="HT",VLOOKUP(L25,'tải sàn'!$B$5:$L$50,11,0),IF(M25="TG",VLOOKUP(L25,'tải sàn'!$B$5:$L$50,9,0),0)))</f>
        <v>535.5</v>
      </c>
      <c r="O25" s="380">
        <f t="shared" si="5"/>
        <v>728</v>
      </c>
      <c r="P25" s="381">
        <f t="shared" si="6"/>
        <v>728</v>
      </c>
      <c r="Q25" s="380">
        <f>(IF(K25="HT",VLOOKUP(J25,'tải sàn'!$B$5:$L$50,10,0),IF(K25="TG",VLOOKUP(J25,'tải sàn'!$B$5:$L$50,8,0),0)))+(IF(M25="HT",VLOOKUP(L25,'tải sàn'!$B$5:$L$50,10,0),IF(M25="TG",VLOOKUP(L25,'tải sàn'!$B$5:$L$50,8,0),0)))</f>
        <v>404.99999999999994</v>
      </c>
      <c r="R25" s="381">
        <f t="shared" si="7"/>
        <v>404.99999999999994</v>
      </c>
    </row>
    <row r="26" spans="2:18" ht="15.75">
      <c r="B26" s="384">
        <v>21</v>
      </c>
      <c r="C26" s="385">
        <v>2</v>
      </c>
      <c r="D26" s="371">
        <f>TH!$B$53/10</f>
        <v>20</v>
      </c>
      <c r="E26" s="371">
        <f>TH!$B$50/10</f>
        <v>35</v>
      </c>
      <c r="F26" s="376">
        <f t="shared" si="0"/>
        <v>192.5</v>
      </c>
      <c r="G26" s="386">
        <v>0</v>
      </c>
      <c r="H26" s="372">
        <f>TH!$B$18</f>
        <v>3.6</v>
      </c>
      <c r="I26" s="377">
        <f t="shared" si="8"/>
        <v>0</v>
      </c>
      <c r="J26" s="387" t="s">
        <v>119</v>
      </c>
      <c r="K26" s="388" t="s">
        <v>605</v>
      </c>
      <c r="L26" s="387" t="s">
        <v>118</v>
      </c>
      <c r="M26" s="388" t="s">
        <v>605</v>
      </c>
      <c r="N26" s="380">
        <f>(IF(K26="HT",VLOOKUP(J26,'tải sàn'!$B$5:$L$50,11,0),IF(K26="TG",VLOOKUP(J26,'tải sàn'!$B$5:$L$50,9,0),0)))+(IF(M26="HT",VLOOKUP(L26,'tải sàn'!$B$5:$L$50,11,0),IF(M26="TG",VLOOKUP(L26,'tải sàn'!$B$5:$L$50,9,0),0)))</f>
        <v>535.5</v>
      </c>
      <c r="O26" s="380">
        <f t="shared" si="5"/>
        <v>728</v>
      </c>
      <c r="P26" s="381">
        <f t="shared" si="6"/>
        <v>728</v>
      </c>
      <c r="Q26" s="380">
        <f>(IF(K26="HT",VLOOKUP(J26,'tải sàn'!$B$5:$L$50,10,0),IF(K26="TG",VLOOKUP(J26,'tải sàn'!$B$5:$L$50,8,0),0)))+(IF(M26="HT",VLOOKUP(L26,'tải sàn'!$B$5:$L$50,10,0),IF(M26="TG",VLOOKUP(L26,'tải sàn'!$B$5:$L$50,8,0),0)))</f>
        <v>404.99999999999994</v>
      </c>
      <c r="R26" s="381">
        <f t="shared" si="7"/>
        <v>404.99999999999994</v>
      </c>
    </row>
    <row r="27" spans="2:18" ht="15.75">
      <c r="B27" s="384">
        <v>22</v>
      </c>
      <c r="C27" s="385">
        <v>2</v>
      </c>
      <c r="D27" s="371">
        <f>TH!$B$53/10</f>
        <v>20</v>
      </c>
      <c r="E27" s="371">
        <f>TH!$B$50/10</f>
        <v>35</v>
      </c>
      <c r="F27" s="376">
        <f t="shared" si="0"/>
        <v>192.5</v>
      </c>
      <c r="G27" s="386">
        <v>0</v>
      </c>
      <c r="H27" s="372">
        <f>TH!$B$18</f>
        <v>3.6</v>
      </c>
      <c r="I27" s="377">
        <f t="shared" si="8"/>
        <v>0</v>
      </c>
      <c r="J27" s="387" t="s">
        <v>120</v>
      </c>
      <c r="K27" s="388" t="s">
        <v>605</v>
      </c>
      <c r="L27" s="387" t="s">
        <v>119</v>
      </c>
      <c r="M27" s="388" t="s">
        <v>605</v>
      </c>
      <c r="N27" s="380">
        <f>(IF(K27="HT",VLOOKUP(J27,'tải sàn'!$B$5:$L$50,11,0),IF(K27="TG",VLOOKUP(J27,'tải sàn'!$B$5:$L$50,9,0),0)))+(IF(M27="HT",VLOOKUP(L27,'tải sàn'!$B$5:$L$50,11,0),IF(M27="TG",VLOOKUP(L27,'tải sàn'!$B$5:$L$50,9,0),0)))</f>
        <v>535.5</v>
      </c>
      <c r="O27" s="380">
        <f t="shared" si="5"/>
        <v>728</v>
      </c>
      <c r="P27" s="381">
        <f t="shared" si="6"/>
        <v>728</v>
      </c>
      <c r="Q27" s="380">
        <f>(IF(K27="HT",VLOOKUP(J27,'tải sàn'!$B$5:$L$50,10,0),IF(K27="TG",VLOOKUP(J27,'tải sàn'!$B$5:$L$50,8,0),0)))+(IF(M27="HT",VLOOKUP(L27,'tải sàn'!$B$5:$L$50,10,0),IF(M27="TG",VLOOKUP(L27,'tải sàn'!$B$5:$L$50,8,0),0)))</f>
        <v>472.5</v>
      </c>
      <c r="R27" s="381">
        <f t="shared" si="7"/>
        <v>472.5</v>
      </c>
    </row>
    <row r="28" spans="2:18" ht="15.75">
      <c r="B28" s="384">
        <v>23</v>
      </c>
      <c r="C28" s="385">
        <v>2</v>
      </c>
      <c r="D28" s="371">
        <f>TH!$B$53/10</f>
        <v>20</v>
      </c>
      <c r="E28" s="371">
        <f>TH!$B$50/10</f>
        <v>35</v>
      </c>
      <c r="F28" s="376">
        <f t="shared" si="0"/>
        <v>192.5</v>
      </c>
      <c r="G28" s="386">
        <v>200</v>
      </c>
      <c r="H28" s="372">
        <f>TH!$B$18</f>
        <v>3.6</v>
      </c>
      <c r="I28" s="377">
        <f t="shared" si="8"/>
        <v>1306.8000000000002</v>
      </c>
      <c r="J28" s="387" t="s">
        <v>120</v>
      </c>
      <c r="K28" s="388" t="s">
        <v>605</v>
      </c>
      <c r="L28" s="387"/>
      <c r="M28" s="388"/>
      <c r="N28" s="380">
        <f>(IF(K28="HT",VLOOKUP(J28,'tải sàn'!$B$5:$L$50,11,0),IF(K28="TG",VLOOKUP(J28,'tải sàn'!$B$5:$L$50,9,0),0)))+(IF(M28="HT",VLOOKUP(L28,'tải sàn'!$B$5:$L$50,11,0),IF(M28="TG",VLOOKUP(L28,'tải sàn'!$B$5:$L$50,9,0),0)))</f>
        <v>267.75</v>
      </c>
      <c r="O28" s="380">
        <f t="shared" si="5"/>
        <v>1767.0500000000002</v>
      </c>
      <c r="P28" s="381">
        <f t="shared" si="6"/>
        <v>1767.0500000000002</v>
      </c>
      <c r="Q28" s="380">
        <f>(IF(K28="HT",VLOOKUP(J28,'tải sàn'!$B$5:$L$50,10,0),IF(K28="TG",VLOOKUP(J28,'tải sàn'!$B$5:$L$50,8,0),0)))+(IF(M28="HT",VLOOKUP(L28,'tải sàn'!$B$5:$L$50,10,0),IF(M28="TG",VLOOKUP(L28,'tải sàn'!$B$5:$L$50,8,0),0)))</f>
        <v>270</v>
      </c>
      <c r="R28" s="381">
        <f t="shared" si="7"/>
        <v>270</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dimension ref="A1:X12"/>
  <sheetViews>
    <sheetView zoomScale="85" zoomScaleNormal="85" workbookViewId="0">
      <selection activeCell="A6" sqref="A6:A10"/>
    </sheetView>
  </sheetViews>
  <sheetFormatPr defaultRowHeight="15"/>
  <sheetData>
    <row r="1" spans="1:24" ht="15.75" thickBot="1">
      <c r="A1" s="400"/>
      <c r="B1" s="400"/>
      <c r="C1" s="400"/>
      <c r="D1" s="400"/>
      <c r="E1" s="400"/>
      <c r="F1" s="400"/>
      <c r="G1" s="400"/>
      <c r="H1" s="400"/>
      <c r="I1" s="400"/>
      <c r="J1" s="400"/>
      <c r="K1" s="400"/>
      <c r="L1" s="400"/>
      <c r="M1" s="400"/>
      <c r="N1" s="400"/>
      <c r="O1" s="400"/>
      <c r="P1" s="400"/>
      <c r="Q1" s="400"/>
      <c r="R1" s="400"/>
      <c r="S1" s="400"/>
      <c r="T1" s="400"/>
      <c r="U1" s="400"/>
      <c r="V1" s="400"/>
      <c r="W1" s="400"/>
      <c r="X1" s="400"/>
    </row>
    <row r="2" spans="1:24" ht="19.5" thickBot="1">
      <c r="A2" s="524" t="s">
        <v>608</v>
      </c>
      <c r="B2" s="525"/>
      <c r="C2" s="525"/>
      <c r="D2" s="525"/>
      <c r="E2" s="525"/>
      <c r="F2" s="525"/>
      <c r="G2" s="525"/>
      <c r="H2" s="525"/>
      <c r="I2" s="525"/>
      <c r="J2" s="525"/>
      <c r="K2" s="525"/>
      <c r="L2" s="525"/>
      <c r="M2" s="525"/>
      <c r="N2" s="525"/>
      <c r="O2" s="525"/>
      <c r="P2" s="525"/>
      <c r="Q2" s="525"/>
      <c r="R2" s="525"/>
      <c r="S2" s="525"/>
      <c r="T2" s="525"/>
      <c r="U2" s="525"/>
      <c r="V2" s="525"/>
      <c r="W2" s="525"/>
      <c r="X2" s="526"/>
    </row>
    <row r="3" spans="1:24" ht="15.75">
      <c r="A3" s="527" t="s">
        <v>588</v>
      </c>
      <c r="B3" s="520" t="s">
        <v>609</v>
      </c>
      <c r="C3" s="522"/>
      <c r="D3" s="536" t="s">
        <v>610</v>
      </c>
      <c r="E3" s="533"/>
      <c r="F3" s="530" t="s">
        <v>591</v>
      </c>
      <c r="G3" s="520" t="s">
        <v>592</v>
      </c>
      <c r="H3" s="521"/>
      <c r="I3" s="522"/>
      <c r="J3" s="530" t="s">
        <v>611</v>
      </c>
      <c r="K3" s="520" t="s">
        <v>593</v>
      </c>
      <c r="L3" s="521"/>
      <c r="M3" s="521"/>
      <c r="N3" s="522"/>
      <c r="O3" s="536" t="s">
        <v>612</v>
      </c>
      <c r="P3" s="532"/>
      <c r="Q3" s="532"/>
      <c r="R3" s="532"/>
      <c r="S3" s="532"/>
      <c r="T3" s="533"/>
      <c r="U3" s="531" t="s">
        <v>613</v>
      </c>
      <c r="V3" s="531"/>
      <c r="W3" s="531"/>
      <c r="X3" s="531"/>
    </row>
    <row r="4" spans="1:24" ht="33">
      <c r="A4" s="528"/>
      <c r="B4" s="534" t="s">
        <v>614</v>
      </c>
      <c r="C4" s="534" t="s">
        <v>615</v>
      </c>
      <c r="D4" s="537" t="s">
        <v>616</v>
      </c>
      <c r="E4" s="534" t="s">
        <v>617</v>
      </c>
      <c r="F4" s="531"/>
      <c r="G4" s="523" t="s">
        <v>618</v>
      </c>
      <c r="H4" s="523" t="s">
        <v>619</v>
      </c>
      <c r="I4" s="523" t="s">
        <v>620</v>
      </c>
      <c r="J4" s="530"/>
      <c r="K4" s="520"/>
      <c r="L4" s="521"/>
      <c r="M4" s="521"/>
      <c r="N4" s="522"/>
      <c r="O4" s="404" t="s">
        <v>621</v>
      </c>
      <c r="P4" s="404" t="s">
        <v>622</v>
      </c>
      <c r="Q4" s="539" t="s">
        <v>623</v>
      </c>
      <c r="R4" s="401" t="s">
        <v>624</v>
      </c>
      <c r="S4" s="401" t="s">
        <v>625</v>
      </c>
      <c r="T4" s="401" t="s">
        <v>626</v>
      </c>
      <c r="U4" s="404" t="s">
        <v>622</v>
      </c>
      <c r="V4" s="401" t="s">
        <v>624</v>
      </c>
      <c r="W4" s="401" t="s">
        <v>625</v>
      </c>
      <c r="X4" s="401" t="s">
        <v>626</v>
      </c>
    </row>
    <row r="5" spans="1:24" ht="15.75">
      <c r="A5" s="529"/>
      <c r="B5" s="535"/>
      <c r="C5" s="535"/>
      <c r="D5" s="538"/>
      <c r="E5" s="535"/>
      <c r="F5" s="402" t="s">
        <v>601</v>
      </c>
      <c r="G5" s="523"/>
      <c r="H5" s="523"/>
      <c r="I5" s="523"/>
      <c r="J5" s="531"/>
      <c r="K5" s="520"/>
      <c r="L5" s="521"/>
      <c r="M5" s="532"/>
      <c r="N5" s="533"/>
      <c r="O5" s="402" t="s">
        <v>601</v>
      </c>
      <c r="P5" s="407" t="s">
        <v>538</v>
      </c>
      <c r="Q5" s="531"/>
      <c r="R5" s="402" t="s">
        <v>604</v>
      </c>
      <c r="S5" s="402" t="s">
        <v>604</v>
      </c>
      <c r="T5" s="402" t="s">
        <v>604</v>
      </c>
      <c r="U5" s="402" t="s">
        <v>538</v>
      </c>
      <c r="V5" s="402" t="s">
        <v>604</v>
      </c>
      <c r="W5" s="402" t="s">
        <v>604</v>
      </c>
      <c r="X5" s="402" t="s">
        <v>604</v>
      </c>
    </row>
    <row r="6" spans="1:24" ht="15.75">
      <c r="A6" s="508"/>
      <c r="B6" s="510">
        <v>2.7</v>
      </c>
      <c r="C6" s="510">
        <v>2.8</v>
      </c>
      <c r="D6" s="508">
        <f>TH!$B$53/10</f>
        <v>20</v>
      </c>
      <c r="E6" s="508">
        <f>TH!$B$50/10</f>
        <v>35</v>
      </c>
      <c r="F6" s="514">
        <f>1.1*D6*E6*2500/10000</f>
        <v>192.5</v>
      </c>
      <c r="G6" s="405">
        <v>200</v>
      </c>
      <c r="H6" s="405">
        <f>TH!$B$18</f>
        <v>3.6</v>
      </c>
      <c r="I6" s="406">
        <f>IF(G6=100,180*1.1*H6,IF(G6=200,330*1.1*H6,0))</f>
        <v>1306.8000000000002</v>
      </c>
      <c r="J6" s="405" t="s">
        <v>537</v>
      </c>
      <c r="K6" s="408" t="s">
        <v>124</v>
      </c>
      <c r="L6" s="409" t="s">
        <v>606</v>
      </c>
      <c r="M6" s="408" t="s">
        <v>116</v>
      </c>
      <c r="N6" s="409" t="s">
        <v>606</v>
      </c>
      <c r="O6" s="403">
        <f>(IF(L6="HT",VLOOKUP(K6,'tải sàn'!$B$5:$L$50,11,0),IF(L6="TG",VLOOKUP(K6,'tải sàn'!$B$5:$L$50,9,0),0)))+(IF(N6="HT",VLOOKUP(M6,'tải sàn'!$B$5:$L$50,11,0),IF(N6="TG",VLOOKUP(M6,'tải sàn'!$B$5:$L$50,9,0),0)))</f>
        <v>1251.8442259926035</v>
      </c>
      <c r="P6" s="417">
        <f>F6+I6+O6</f>
        <v>2751.1442259926034</v>
      </c>
      <c r="Q6" s="516">
        <v>10</v>
      </c>
      <c r="R6" s="518">
        <f>VLOOKUP(Q6,'dam loai 1 TD'!$B$6:$R$28,15,0)</f>
        <v>4296.9869733197265</v>
      </c>
      <c r="S6" s="512">
        <f>((P6*B6*(C6+(B6/2))/(B6+C6))+(P7*C6*(C6/2))/(B6+C6))+(R6*C6/(B6+C6))</f>
        <v>9845.9678243391572</v>
      </c>
      <c r="T6" s="512">
        <f>((P6*B6*(B6/2))/(B6+C6))+(P7*C6*(B6+(C6/2))/(B6+C6))+(R6*B6/(B6+C6))</f>
        <v>9946.7431708198892</v>
      </c>
      <c r="U6" s="403">
        <f>(IF(L6="HT",VLOOKUP(K6,'tải sàn'!$B$5:$L$50,10,0),IF(L6="TG",VLOOKUP(K6,'tải sàn'!$B$5:$L$50,8,0),0)))+(IF(N6="HT",VLOOKUP(M6,'tải sàn'!$B$5:$L$50,10,0),IF(N6="TG",VLOOKUP(M6,'tải sàn'!$B$5:$L$50,8,0),0)))</f>
        <v>794.83952631694615</v>
      </c>
      <c r="V6" s="518">
        <f>VLOOKUP(Q6,'dam loai 1 TD'!$B$6:$R$28,17,0)</f>
        <v>1639.7674588132379</v>
      </c>
      <c r="W6" s="512">
        <f>((U6*B6*(C6+(B6/2))/(B6+C6))+(U7*C6*(C6/2))/(B6+C6))+(V6*C6/(B6+C6))</f>
        <v>2838.7572006801593</v>
      </c>
      <c r="X6" s="512">
        <f>((U6*B6*(B6/2))/(B6+C6))+(U7*C6*(B6+(C6/2))/(B6+C6))+(V6*B6/(B6+C6))</f>
        <v>2458.2475696762826</v>
      </c>
    </row>
    <row r="7" spans="1:24" ht="15.75">
      <c r="A7" s="509"/>
      <c r="B7" s="511">
        <v>2.7</v>
      </c>
      <c r="C7" s="511">
        <v>7</v>
      </c>
      <c r="D7" s="509">
        <v>20</v>
      </c>
      <c r="E7" s="509">
        <v>120</v>
      </c>
      <c r="F7" s="515">
        <v>660</v>
      </c>
      <c r="G7" s="405">
        <v>200</v>
      </c>
      <c r="H7" s="405">
        <f>TH!$B$18</f>
        <v>3.6</v>
      </c>
      <c r="I7" s="406">
        <f>IF(G7=100,180*1.1*H7,IF(G7=200,330*1.1*H7,0))</f>
        <v>1306.8000000000002</v>
      </c>
      <c r="J7" s="405" t="s">
        <v>538</v>
      </c>
      <c r="K7" s="408"/>
      <c r="L7" s="409"/>
      <c r="M7" s="408" t="s">
        <v>116</v>
      </c>
      <c r="N7" s="409" t="s">
        <v>606</v>
      </c>
      <c r="O7" s="403">
        <f>(IF(L7="HT",VLOOKUP(K7,'tải sàn'!$B$5:$L$50,11,0),IF(L7="TG",VLOOKUP(K7,'tải sàn'!$B$5:$L$50,9,0),0)))+(IF(N7="HT",VLOOKUP(M7,'tải sàn'!$B$5:$L$50,11,0),IF(N7="TG",VLOOKUP(M7,'tải sàn'!$B$5:$L$50,9,0),0)))</f>
        <v>914.49807559260341</v>
      </c>
      <c r="P7" s="417">
        <f>F7+I7+O7</f>
        <v>2881.2980755926037</v>
      </c>
      <c r="Q7" s="517"/>
      <c r="R7" s="519"/>
      <c r="S7" s="513"/>
      <c r="T7" s="513"/>
      <c r="U7" s="403">
        <f>(IF(L7="HT",VLOOKUP(K7,'tải sàn'!$B$5:$L$50,10,0),IF(L7="TG",VLOOKUP(K7,'tải sàn'!$B$5:$L$50,8,0),0)))+(IF(N7="HT",VLOOKUP(M7,'tải sàn'!$B$5:$L$50,10,0),IF(N7="TG",VLOOKUP(M7,'tải sàn'!$B$5:$L$50,8,0),0)))</f>
        <v>539.7037823169461</v>
      </c>
      <c r="V7" s="519"/>
      <c r="W7" s="513"/>
      <c r="X7" s="513"/>
    </row>
    <row r="8" spans="1:24" ht="15.75">
      <c r="A8" s="508"/>
      <c r="B8" s="510">
        <v>2.7</v>
      </c>
      <c r="C8" s="510">
        <v>2.8</v>
      </c>
      <c r="D8" s="508">
        <f>TH!$B$53/10</f>
        <v>20</v>
      </c>
      <c r="E8" s="508">
        <f>TH!$B$50/10</f>
        <v>35</v>
      </c>
      <c r="F8" s="514">
        <v>220</v>
      </c>
      <c r="G8" s="405">
        <v>200</v>
      </c>
      <c r="H8" s="405">
        <f>TH!$B$18</f>
        <v>3.6</v>
      </c>
      <c r="I8" s="406">
        <f>IF(G8=100,180*1.1*H8,IF(G8=200,330*1.1*H8,0))</f>
        <v>1306.8000000000002</v>
      </c>
      <c r="J8" s="405" t="s">
        <v>537</v>
      </c>
      <c r="K8" s="408" t="s">
        <v>124</v>
      </c>
      <c r="L8" s="409" t="s">
        <v>606</v>
      </c>
      <c r="M8" s="408" t="s">
        <v>116</v>
      </c>
      <c r="N8" s="409" t="s">
        <v>606</v>
      </c>
      <c r="O8" s="403">
        <f>(IF(L8="HT",VLOOKUP(K8,'tải sàn'!$B$5:$L$50,11,0),IF(L8="TG",VLOOKUP(K8,'tải sàn'!$B$5:$L$50,9,0),0)))+(IF(N8="HT",VLOOKUP(M8,'tải sàn'!$B$5:$L$50,11,0),IF(N8="TG",VLOOKUP(M8,'tải sàn'!$B$5:$L$50,9,0),0)))</f>
        <v>1251.8442259926035</v>
      </c>
      <c r="P8" s="417">
        <f>F8+I8+O8</f>
        <v>2778.6442259926034</v>
      </c>
      <c r="Q8" s="516">
        <v>13</v>
      </c>
      <c r="R8" s="518">
        <f>VLOOKUP(Q8,'dam loai 1 TD'!$B$6:$R$28,15,0)</f>
        <v>4296.9869733197265</v>
      </c>
      <c r="S8" s="512">
        <f>((P8*B8*(C8+(B8/2))/(B8+C8))+(P9*C8*(C8/2))/(B8+C8))+(R8*C8/(B8+C8))</f>
        <v>9588.3928243391565</v>
      </c>
      <c r="T8" s="512">
        <f>((P8*B8*(B8/2))/(B8+C8))+(P9*C8*(B8+(C8/2))/(B8+C8))+(R8*B8/(B8+C8))</f>
        <v>9046.5681708198899</v>
      </c>
      <c r="U8" s="403">
        <f>(IF(L8="HT",VLOOKUP(K8,'tải sàn'!$B$5:$L$50,10,0),IF(L8="TG",VLOOKUP(K8,'tải sàn'!$B$5:$L$50,8,0),0)))+(IF(N8="HT",VLOOKUP(M8,'tải sàn'!$B$5:$L$50,10,0),IF(N8="TG",VLOOKUP(M8,'tải sàn'!$B$5:$L$50,8,0),0)))</f>
        <v>794.83952631694615</v>
      </c>
      <c r="V8" s="518">
        <f>VLOOKUP(Q8,'dam loai 1 TD'!$B$6:$R$28,17,0)</f>
        <v>1639.7674588132379</v>
      </c>
      <c r="W8" s="512">
        <f>((U8*B8*(C8+(B8/2))/(B8+C8))+(U9*C8*(C8/2))/(B8+C8))+(V8*C8/(B8+C8))</f>
        <v>2838.7572006801593</v>
      </c>
      <c r="X8" s="512">
        <f>((U8*B8*(B8/2))/(B8+C8))+(U9*C8*(B8+(C8/2))/(B8+C8))+(V8*B8/(B8+C8))</f>
        <v>2458.2475696762826</v>
      </c>
    </row>
    <row r="9" spans="1:24" ht="15.75">
      <c r="A9" s="509"/>
      <c r="B9" s="511">
        <v>2.7</v>
      </c>
      <c r="C9" s="511">
        <v>7</v>
      </c>
      <c r="D9" s="509">
        <v>20</v>
      </c>
      <c r="E9" s="509">
        <v>120</v>
      </c>
      <c r="F9" s="515">
        <v>220</v>
      </c>
      <c r="G9" s="405">
        <v>200</v>
      </c>
      <c r="H9" s="405">
        <f>TH!$B$18</f>
        <v>3.6</v>
      </c>
      <c r="I9" s="406">
        <f>IF(G9=100,180*1.1*H9,IF(G9=200,330*1.1*H9,0))</f>
        <v>1306.8000000000002</v>
      </c>
      <c r="J9" s="405" t="s">
        <v>538</v>
      </c>
      <c r="K9" s="408"/>
      <c r="L9" s="409"/>
      <c r="M9" s="408" t="s">
        <v>116</v>
      </c>
      <c r="N9" s="409" t="s">
        <v>606</v>
      </c>
      <c r="O9" s="403">
        <f>(IF(L9="HT",VLOOKUP(K9,'tải sàn'!$B$5:$L$50,11,0),IF(L9="TG",VLOOKUP(K9,'tải sàn'!$B$5:$L$50,9,0),0)))+(IF(N9="HT",VLOOKUP(M9,'tải sàn'!$B$5:$L$50,11,0),IF(N9="TG",VLOOKUP(M9,'tải sàn'!$B$5:$L$50,9,0),0)))</f>
        <v>914.49807559260341</v>
      </c>
      <c r="P9" s="417">
        <f>F9+I9+O9</f>
        <v>2441.2980755926037</v>
      </c>
      <c r="Q9" s="517"/>
      <c r="R9" s="519"/>
      <c r="S9" s="513"/>
      <c r="T9" s="513"/>
      <c r="U9" s="403">
        <f>(IF(L9="HT",VLOOKUP(K9,'tải sàn'!$B$5:$L$50,10,0),IF(L9="TG",VLOOKUP(K9,'tải sàn'!$B$5:$L$50,8,0),0)))+(IF(N9="HT",VLOOKUP(M9,'tải sàn'!$B$5:$L$50,10,0),IF(N9="TG",VLOOKUP(M9,'tải sàn'!$B$5:$L$50,8,0),0)))</f>
        <v>539.7037823169461</v>
      </c>
      <c r="V9" s="519"/>
      <c r="W9" s="513"/>
      <c r="X9" s="513"/>
    </row>
    <row r="12" spans="1:24" ht="15.75">
      <c r="D12" s="371"/>
      <c r="E12" s="371"/>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dimension ref="A1:X19"/>
  <sheetViews>
    <sheetView workbookViewId="0">
      <selection activeCell="M20" sqref="M20"/>
    </sheetView>
  </sheetViews>
  <sheetFormatPr defaultRowHeight="15"/>
  <sheetData>
    <row r="1" spans="1:24" ht="19.5" thickBot="1">
      <c r="A1" s="524" t="s">
        <v>644</v>
      </c>
      <c r="B1" s="525"/>
      <c r="C1" s="525"/>
      <c r="D1" s="525"/>
      <c r="E1" s="525"/>
      <c r="F1" s="525"/>
      <c r="G1" s="525"/>
      <c r="H1" s="525"/>
      <c r="I1" s="525"/>
      <c r="J1" s="525"/>
      <c r="K1" s="525"/>
      <c r="L1" s="525"/>
      <c r="M1" s="525"/>
      <c r="N1" s="525"/>
      <c r="O1" s="525"/>
      <c r="P1" s="525"/>
      <c r="Q1" s="525"/>
      <c r="R1" s="525"/>
      <c r="S1" s="525"/>
      <c r="T1" s="525"/>
      <c r="U1" s="525"/>
      <c r="V1" s="525"/>
      <c r="W1" s="525"/>
      <c r="X1" s="526"/>
    </row>
    <row r="2" spans="1:24" ht="15.75">
      <c r="A2" s="527" t="s">
        <v>588</v>
      </c>
      <c r="B2" s="520" t="s">
        <v>609</v>
      </c>
      <c r="C2" s="522"/>
      <c r="D2" s="536" t="s">
        <v>610</v>
      </c>
      <c r="E2" s="533"/>
      <c r="F2" s="544" t="s">
        <v>591</v>
      </c>
      <c r="G2" s="520" t="s">
        <v>592</v>
      </c>
      <c r="H2" s="521"/>
      <c r="I2" s="522"/>
      <c r="J2" s="530" t="s">
        <v>611</v>
      </c>
      <c r="K2" s="520" t="s">
        <v>593</v>
      </c>
      <c r="L2" s="521"/>
      <c r="M2" s="521"/>
      <c r="N2" s="522"/>
      <c r="O2" s="536" t="s">
        <v>612</v>
      </c>
      <c r="P2" s="532"/>
      <c r="Q2" s="532"/>
      <c r="R2" s="532"/>
      <c r="S2" s="532"/>
      <c r="T2" s="533"/>
      <c r="U2" s="531" t="s">
        <v>613</v>
      </c>
      <c r="V2" s="531"/>
      <c r="W2" s="531"/>
      <c r="X2" s="531"/>
    </row>
    <row r="3" spans="1:24">
      <c r="A3" s="528"/>
      <c r="B3" s="534" t="s">
        <v>614</v>
      </c>
      <c r="C3" s="534" t="s">
        <v>615</v>
      </c>
      <c r="D3" s="537" t="s">
        <v>616</v>
      </c>
      <c r="E3" s="534" t="s">
        <v>617</v>
      </c>
      <c r="F3" s="530"/>
      <c r="G3" s="523" t="s">
        <v>618</v>
      </c>
      <c r="H3" s="523" t="s">
        <v>619</v>
      </c>
      <c r="I3" s="523" t="s">
        <v>620</v>
      </c>
      <c r="J3" s="530"/>
      <c r="K3" s="520"/>
      <c r="L3" s="521"/>
      <c r="M3" s="521"/>
      <c r="N3" s="522"/>
      <c r="O3" s="539" t="s">
        <v>621</v>
      </c>
      <c r="P3" s="539" t="s">
        <v>622</v>
      </c>
      <c r="Q3" s="539" t="s">
        <v>645</v>
      </c>
      <c r="R3" s="539" t="s">
        <v>624</v>
      </c>
      <c r="S3" s="539" t="s">
        <v>625</v>
      </c>
      <c r="T3" s="539" t="s">
        <v>626</v>
      </c>
      <c r="U3" s="539" t="s">
        <v>622</v>
      </c>
      <c r="V3" s="539" t="s">
        <v>624</v>
      </c>
      <c r="W3" s="539" t="s">
        <v>625</v>
      </c>
      <c r="X3" s="539" t="s">
        <v>626</v>
      </c>
    </row>
    <row r="4" spans="1:24">
      <c r="A4" s="528"/>
      <c r="B4" s="543"/>
      <c r="C4" s="543"/>
      <c r="D4" s="542"/>
      <c r="E4" s="543"/>
      <c r="F4" s="531"/>
      <c r="G4" s="523"/>
      <c r="H4" s="523"/>
      <c r="I4" s="523"/>
      <c r="J4" s="530"/>
      <c r="K4" s="520"/>
      <c r="L4" s="521"/>
      <c r="M4" s="521"/>
      <c r="N4" s="522"/>
      <c r="O4" s="531"/>
      <c r="P4" s="531"/>
      <c r="Q4" s="530"/>
      <c r="R4" s="531"/>
      <c r="S4" s="531"/>
      <c r="T4" s="531"/>
      <c r="U4" s="531"/>
      <c r="V4" s="531"/>
      <c r="W4" s="531"/>
      <c r="X4" s="531"/>
    </row>
    <row r="5" spans="1:24" ht="15.75">
      <c r="A5" s="529"/>
      <c r="B5" s="535"/>
      <c r="C5" s="535"/>
      <c r="D5" s="538"/>
      <c r="E5" s="535"/>
      <c r="F5" s="420" t="s">
        <v>601</v>
      </c>
      <c r="G5" s="523"/>
      <c r="H5" s="523"/>
      <c r="I5" s="523"/>
      <c r="J5" s="531"/>
      <c r="K5" s="520"/>
      <c r="L5" s="521"/>
      <c r="M5" s="532"/>
      <c r="N5" s="533"/>
      <c r="O5" s="420" t="s">
        <v>601</v>
      </c>
      <c r="P5" s="425" t="s">
        <v>538</v>
      </c>
      <c r="Q5" s="530"/>
      <c r="R5" s="420" t="s">
        <v>604</v>
      </c>
      <c r="S5" s="420" t="s">
        <v>604</v>
      </c>
      <c r="T5" s="420" t="s">
        <v>604</v>
      </c>
      <c r="U5" s="420" t="s">
        <v>538</v>
      </c>
      <c r="V5" s="420" t="s">
        <v>604</v>
      </c>
      <c r="W5" s="420" t="s">
        <v>604</v>
      </c>
      <c r="X5" s="420" t="s">
        <v>604</v>
      </c>
    </row>
    <row r="6" spans="1:24" ht="15.75">
      <c r="A6" s="508"/>
      <c r="B6" s="510">
        <v>2.5</v>
      </c>
      <c r="C6" s="510">
        <v>3.5</v>
      </c>
      <c r="D6" s="508">
        <v>20</v>
      </c>
      <c r="E6" s="508">
        <v>60</v>
      </c>
      <c r="F6" s="514">
        <v>330</v>
      </c>
      <c r="G6" s="423"/>
      <c r="H6" s="423">
        <v>3.2</v>
      </c>
      <c r="I6" s="424">
        <v>0</v>
      </c>
      <c r="J6" s="423" t="s">
        <v>537</v>
      </c>
      <c r="K6" s="426" t="s">
        <v>115</v>
      </c>
      <c r="L6" s="427" t="s">
        <v>606</v>
      </c>
      <c r="M6" s="426" t="s">
        <v>118</v>
      </c>
      <c r="N6" s="427" t="s">
        <v>605</v>
      </c>
      <c r="O6" s="421">
        <v>957.84247685185187</v>
      </c>
      <c r="P6" s="437">
        <v>1287.8424768518519</v>
      </c>
      <c r="Q6" s="433">
        <v>9</v>
      </c>
      <c r="R6" s="540">
        <v>4981.6097543068154</v>
      </c>
      <c r="S6" s="512">
        <v>7448.2292980232214</v>
      </c>
      <c r="T6" s="512">
        <v>7587.6222115273576</v>
      </c>
      <c r="U6" s="421">
        <v>957.88194444444446</v>
      </c>
      <c r="V6" s="518">
        <v>2012.6040288800707</v>
      </c>
      <c r="W6" s="512">
        <v>4075.8224022633749</v>
      </c>
      <c r="X6" s="512">
        <v>3780.6134718547914</v>
      </c>
    </row>
    <row r="7" spans="1:24" ht="15.75">
      <c r="A7" s="509"/>
      <c r="B7" s="511">
        <v>2.7</v>
      </c>
      <c r="C7" s="511">
        <v>7</v>
      </c>
      <c r="D7" s="509">
        <v>20</v>
      </c>
      <c r="E7" s="509">
        <v>120</v>
      </c>
      <c r="F7" s="515">
        <v>660</v>
      </c>
      <c r="G7" s="423">
        <v>100</v>
      </c>
      <c r="H7" s="423">
        <v>3.2</v>
      </c>
      <c r="I7" s="424">
        <v>633.60000000000014</v>
      </c>
      <c r="J7" s="423" t="s">
        <v>538</v>
      </c>
      <c r="K7" s="426" t="s">
        <v>115</v>
      </c>
      <c r="L7" s="427" t="s">
        <v>606</v>
      </c>
      <c r="M7" s="426" t="s">
        <v>120</v>
      </c>
      <c r="N7" s="427" t="s">
        <v>606</v>
      </c>
      <c r="O7" s="421">
        <v>989.15301803260991</v>
      </c>
      <c r="P7" s="437">
        <v>1952.75301803261</v>
      </c>
      <c r="Q7" s="434" t="s">
        <v>646</v>
      </c>
      <c r="R7" s="541"/>
      <c r="S7" s="513"/>
      <c r="T7" s="513"/>
      <c r="U7" s="421">
        <v>985.46485260770976</v>
      </c>
      <c r="V7" s="519"/>
      <c r="W7" s="513"/>
      <c r="X7" s="513"/>
    </row>
    <row r="8" spans="1:24" ht="15.75">
      <c r="A8" s="508"/>
      <c r="B8" s="510">
        <v>2.5</v>
      </c>
      <c r="C8" s="510">
        <v>3.5</v>
      </c>
      <c r="D8" s="508">
        <v>20</v>
      </c>
      <c r="E8" s="508">
        <v>60</v>
      </c>
      <c r="F8" s="514">
        <v>330</v>
      </c>
      <c r="G8" s="423">
        <v>100</v>
      </c>
      <c r="H8" s="423">
        <v>3.2</v>
      </c>
      <c r="I8" s="424">
        <v>633.60000000000014</v>
      </c>
      <c r="J8" s="423" t="s">
        <v>537</v>
      </c>
      <c r="K8" s="426" t="s">
        <v>120</v>
      </c>
      <c r="L8" s="427" t="s">
        <v>605</v>
      </c>
      <c r="M8" s="426" t="s">
        <v>118</v>
      </c>
      <c r="N8" s="427" t="s">
        <v>606</v>
      </c>
      <c r="O8" s="421">
        <v>678.94223679698212</v>
      </c>
      <c r="P8" s="437">
        <v>1642.5422367969823</v>
      </c>
      <c r="Q8" s="433">
        <v>9</v>
      </c>
      <c r="R8" s="540">
        <v>4752.5294662540946</v>
      </c>
      <c r="S8" s="512">
        <v>7763.3069849766689</v>
      </c>
      <c r="T8" s="512">
        <v>7061.7493395593192</v>
      </c>
      <c r="U8" s="421">
        <v>598.11171124828536</v>
      </c>
      <c r="V8" s="518">
        <v>1947.5928681657847</v>
      </c>
      <c r="W8" s="512">
        <v>2986.2577964248972</v>
      </c>
      <c r="X8" s="512">
        <v>2741.4115892305999</v>
      </c>
    </row>
    <row r="9" spans="1:24" ht="15.75">
      <c r="A9" s="509"/>
      <c r="B9" s="511">
        <v>2.2999999999999998</v>
      </c>
      <c r="C9" s="511">
        <v>3</v>
      </c>
      <c r="D9" s="509">
        <v>20</v>
      </c>
      <c r="E9" s="509">
        <v>40</v>
      </c>
      <c r="F9" s="515">
        <v>220</v>
      </c>
      <c r="G9" s="423">
        <v>100</v>
      </c>
      <c r="H9" s="423">
        <v>3.2</v>
      </c>
      <c r="I9" s="424">
        <v>633.60000000000014</v>
      </c>
      <c r="J9" s="423" t="s">
        <v>538</v>
      </c>
      <c r="K9" s="426" t="s">
        <v>119</v>
      </c>
      <c r="L9" s="427" t="s">
        <v>605</v>
      </c>
      <c r="M9" s="426" t="s">
        <v>118</v>
      </c>
      <c r="N9" s="427" t="s">
        <v>606</v>
      </c>
      <c r="O9" s="421">
        <v>741.02036179698212</v>
      </c>
      <c r="P9" s="437">
        <v>1704.6203617969823</v>
      </c>
      <c r="Q9" s="434" t="s">
        <v>635</v>
      </c>
      <c r="R9" s="541"/>
      <c r="S9" s="513"/>
      <c r="T9" s="513"/>
      <c r="U9" s="421">
        <v>652.79921124828536</v>
      </c>
      <c r="V9" s="519"/>
      <c r="W9" s="513"/>
      <c r="X9" s="513"/>
    </row>
    <row r="10" spans="1:24" ht="15.75">
      <c r="A10" s="508"/>
      <c r="B10" s="510"/>
      <c r="C10" s="510"/>
      <c r="D10" s="508"/>
      <c r="E10" s="508"/>
      <c r="F10" s="514">
        <v>0</v>
      </c>
      <c r="G10" s="423"/>
      <c r="H10" s="423"/>
      <c r="I10" s="424">
        <v>0</v>
      </c>
      <c r="J10" s="423"/>
      <c r="K10" s="426"/>
      <c r="L10" s="427"/>
      <c r="M10" s="426"/>
      <c r="N10" s="427"/>
      <c r="O10" s="421">
        <v>0</v>
      </c>
      <c r="P10" s="437">
        <v>0</v>
      </c>
      <c r="Q10" s="433"/>
      <c r="R10" s="540" t="s">
        <v>647</v>
      </c>
      <c r="S10" s="512" t="e">
        <v>#DIV/0!</v>
      </c>
      <c r="T10" s="512" t="e">
        <v>#DIV/0!</v>
      </c>
      <c r="U10" s="421">
        <v>0</v>
      </c>
      <c r="V10" s="518" t="s">
        <v>647</v>
      </c>
      <c r="W10" s="512" t="e">
        <v>#DIV/0!</v>
      </c>
      <c r="X10" s="512" t="e">
        <v>#DIV/0!</v>
      </c>
    </row>
    <row r="11" spans="1:24" ht="15.75">
      <c r="A11" s="509"/>
      <c r="B11" s="511"/>
      <c r="C11" s="511"/>
      <c r="D11" s="509"/>
      <c r="E11" s="509"/>
      <c r="F11" s="515">
        <v>0</v>
      </c>
      <c r="G11" s="423"/>
      <c r="H11" s="423"/>
      <c r="I11" s="424">
        <v>0</v>
      </c>
      <c r="J11" s="423"/>
      <c r="K11" s="426"/>
      <c r="L11" s="427"/>
      <c r="M11" s="426"/>
      <c r="N11" s="427"/>
      <c r="O11" s="421">
        <v>0</v>
      </c>
      <c r="P11" s="437">
        <v>0</v>
      </c>
      <c r="Q11" s="434"/>
      <c r="R11" s="541"/>
      <c r="S11" s="513"/>
      <c r="T11" s="513"/>
      <c r="U11" s="421">
        <v>0</v>
      </c>
      <c r="V11" s="519"/>
      <c r="W11" s="513"/>
      <c r="X11" s="513"/>
    </row>
    <row r="12" spans="1:24" ht="15.75">
      <c r="A12" s="508"/>
      <c r="B12" s="510"/>
      <c r="C12" s="510"/>
      <c r="D12" s="508"/>
      <c r="E12" s="508"/>
      <c r="F12" s="514">
        <v>0</v>
      </c>
      <c r="G12" s="423"/>
      <c r="H12" s="423"/>
      <c r="I12" s="424">
        <v>0</v>
      </c>
      <c r="J12" s="423"/>
      <c r="K12" s="426"/>
      <c r="L12" s="427"/>
      <c r="M12" s="426"/>
      <c r="N12" s="427"/>
      <c r="O12" s="421">
        <v>0</v>
      </c>
      <c r="P12" s="437">
        <v>0</v>
      </c>
      <c r="Q12" s="433"/>
      <c r="R12" s="540" t="s">
        <v>647</v>
      </c>
      <c r="S12" s="512" t="e">
        <v>#DIV/0!</v>
      </c>
      <c r="T12" s="512" t="e">
        <v>#DIV/0!</v>
      </c>
      <c r="U12" s="421">
        <v>0</v>
      </c>
      <c r="V12" s="518" t="s">
        <v>647</v>
      </c>
      <c r="W12" s="512" t="e">
        <v>#DIV/0!</v>
      </c>
      <c r="X12" s="512" t="e">
        <v>#DIV/0!</v>
      </c>
    </row>
    <row r="13" spans="1:24" ht="15.75">
      <c r="A13" s="509"/>
      <c r="B13" s="511"/>
      <c r="C13" s="511"/>
      <c r="D13" s="509"/>
      <c r="E13" s="509"/>
      <c r="F13" s="515">
        <v>0</v>
      </c>
      <c r="G13" s="423"/>
      <c r="H13" s="423"/>
      <c r="I13" s="424">
        <v>0</v>
      </c>
      <c r="J13" s="423"/>
      <c r="K13" s="426"/>
      <c r="L13" s="427"/>
      <c r="M13" s="426"/>
      <c r="N13" s="427"/>
      <c r="O13" s="421">
        <v>0</v>
      </c>
      <c r="P13" s="437">
        <v>0</v>
      </c>
      <c r="Q13" s="434"/>
      <c r="R13" s="541"/>
      <c r="S13" s="513"/>
      <c r="T13" s="513"/>
      <c r="U13" s="421">
        <v>0</v>
      </c>
      <c r="V13" s="519"/>
      <c r="W13" s="513"/>
      <c r="X13" s="513"/>
    </row>
    <row r="14" spans="1:24" ht="15.75">
      <c r="A14" s="508"/>
      <c r="B14" s="510"/>
      <c r="C14" s="510"/>
      <c r="D14" s="508"/>
      <c r="E14" s="508"/>
      <c r="F14" s="514">
        <v>0</v>
      </c>
      <c r="G14" s="423"/>
      <c r="H14" s="423"/>
      <c r="I14" s="424">
        <v>0</v>
      </c>
      <c r="J14" s="423"/>
      <c r="K14" s="426"/>
      <c r="L14" s="427"/>
      <c r="M14" s="426"/>
      <c r="N14" s="427"/>
      <c r="O14" s="421">
        <v>0</v>
      </c>
      <c r="P14" s="437">
        <v>0</v>
      </c>
      <c r="Q14" s="433"/>
      <c r="R14" s="540" t="s">
        <v>647</v>
      </c>
      <c r="S14" s="512" t="e">
        <v>#DIV/0!</v>
      </c>
      <c r="T14" s="512" t="e">
        <v>#DIV/0!</v>
      </c>
      <c r="U14" s="421">
        <v>0</v>
      </c>
      <c r="V14" s="518" t="s">
        <v>647</v>
      </c>
      <c r="W14" s="512" t="e">
        <v>#DIV/0!</v>
      </c>
      <c r="X14" s="512" t="e">
        <v>#DIV/0!</v>
      </c>
    </row>
    <row r="15" spans="1:24" ht="15.75">
      <c r="A15" s="509"/>
      <c r="B15" s="511"/>
      <c r="C15" s="511"/>
      <c r="D15" s="509"/>
      <c r="E15" s="509"/>
      <c r="F15" s="515">
        <v>0</v>
      </c>
      <c r="G15" s="423"/>
      <c r="H15" s="423"/>
      <c r="I15" s="424">
        <v>0</v>
      </c>
      <c r="J15" s="423"/>
      <c r="K15" s="426"/>
      <c r="L15" s="427"/>
      <c r="M15" s="426"/>
      <c r="N15" s="427"/>
      <c r="O15" s="421">
        <v>0</v>
      </c>
      <c r="P15" s="437">
        <v>0</v>
      </c>
      <c r="Q15" s="434"/>
      <c r="R15" s="541"/>
      <c r="S15" s="513"/>
      <c r="T15" s="513"/>
      <c r="U15" s="421">
        <v>0</v>
      </c>
      <c r="V15" s="519"/>
      <c r="W15" s="513"/>
      <c r="X15" s="513"/>
    </row>
    <row r="16" spans="1:24" ht="15.75">
      <c r="A16" s="508"/>
      <c r="B16" s="510"/>
      <c r="C16" s="510"/>
      <c r="D16" s="508"/>
      <c r="E16" s="508"/>
      <c r="F16" s="514">
        <v>0</v>
      </c>
      <c r="G16" s="423"/>
      <c r="H16" s="423"/>
      <c r="I16" s="424">
        <v>0</v>
      </c>
      <c r="J16" s="423"/>
      <c r="K16" s="426"/>
      <c r="L16" s="427"/>
      <c r="M16" s="426"/>
      <c r="N16" s="427"/>
      <c r="O16" s="421">
        <v>0</v>
      </c>
      <c r="P16" s="437">
        <v>0</v>
      </c>
      <c r="Q16" s="433"/>
      <c r="R16" s="540" t="s">
        <v>647</v>
      </c>
      <c r="S16" s="512" t="e">
        <v>#DIV/0!</v>
      </c>
      <c r="T16" s="512" t="e">
        <v>#DIV/0!</v>
      </c>
      <c r="U16" s="421">
        <v>0</v>
      </c>
      <c r="V16" s="518" t="s">
        <v>647</v>
      </c>
      <c r="W16" s="512" t="e">
        <v>#DIV/0!</v>
      </c>
      <c r="X16" s="512" t="e">
        <v>#DIV/0!</v>
      </c>
    </row>
    <row r="17" spans="1:24" ht="15.75">
      <c r="A17" s="509"/>
      <c r="B17" s="511"/>
      <c r="C17" s="511"/>
      <c r="D17" s="509"/>
      <c r="E17" s="509"/>
      <c r="F17" s="515">
        <v>0</v>
      </c>
      <c r="G17" s="423"/>
      <c r="H17" s="423"/>
      <c r="I17" s="424">
        <v>0</v>
      </c>
      <c r="J17" s="423"/>
      <c r="K17" s="426"/>
      <c r="L17" s="427"/>
      <c r="M17" s="426"/>
      <c r="N17" s="427"/>
      <c r="O17" s="421">
        <v>0</v>
      </c>
      <c r="P17" s="437">
        <v>0</v>
      </c>
      <c r="Q17" s="434"/>
      <c r="R17" s="541"/>
      <c r="S17" s="513"/>
      <c r="T17" s="513"/>
      <c r="U17" s="421">
        <v>0</v>
      </c>
      <c r="V17" s="519"/>
      <c r="W17" s="513"/>
      <c r="X17" s="513"/>
    </row>
    <row r="18" spans="1:24" ht="15.75">
      <c r="A18" s="508"/>
      <c r="B18" s="510"/>
      <c r="C18" s="510"/>
      <c r="D18" s="508"/>
      <c r="E18" s="508"/>
      <c r="F18" s="514">
        <v>0</v>
      </c>
      <c r="G18" s="423"/>
      <c r="H18" s="423"/>
      <c r="I18" s="424">
        <v>0</v>
      </c>
      <c r="J18" s="423"/>
      <c r="K18" s="426"/>
      <c r="L18" s="427"/>
      <c r="M18" s="426"/>
      <c r="N18" s="427"/>
      <c r="O18" s="421">
        <v>0</v>
      </c>
      <c r="P18" s="437">
        <v>0</v>
      </c>
      <c r="Q18" s="433"/>
      <c r="R18" s="540" t="s">
        <v>647</v>
      </c>
      <c r="S18" s="512" t="e">
        <v>#DIV/0!</v>
      </c>
      <c r="T18" s="512" t="e">
        <v>#DIV/0!</v>
      </c>
      <c r="U18" s="421">
        <v>0</v>
      </c>
      <c r="V18" s="518" t="s">
        <v>647</v>
      </c>
      <c r="W18" s="512" t="e">
        <v>#DIV/0!</v>
      </c>
      <c r="X18" s="512" t="e">
        <v>#DIV/0!</v>
      </c>
    </row>
    <row r="19" spans="1:24" ht="15.75">
      <c r="A19" s="509"/>
      <c r="B19" s="511"/>
      <c r="C19" s="511"/>
      <c r="D19" s="509"/>
      <c r="E19" s="509"/>
      <c r="F19" s="515">
        <v>0</v>
      </c>
      <c r="G19" s="423"/>
      <c r="H19" s="423"/>
      <c r="I19" s="424">
        <v>0</v>
      </c>
      <c r="J19" s="423"/>
      <c r="K19" s="426"/>
      <c r="L19" s="427"/>
      <c r="M19" s="426"/>
      <c r="N19" s="427"/>
      <c r="O19" s="421">
        <v>0</v>
      </c>
      <c r="P19" s="437">
        <v>0</v>
      </c>
      <c r="Q19" s="434"/>
      <c r="R19" s="541"/>
      <c r="S19" s="513"/>
      <c r="T19" s="513"/>
      <c r="U19" s="421">
        <v>0</v>
      </c>
      <c r="V19" s="519"/>
      <c r="W19" s="513"/>
      <c r="X19" s="513"/>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dimension ref="A1:N33"/>
  <sheetViews>
    <sheetView topLeftCell="A14" workbookViewId="0">
      <selection activeCell="M28" sqref="M28"/>
    </sheetView>
  </sheetViews>
  <sheetFormatPr defaultRowHeight="15"/>
  <sheetData>
    <row r="1" spans="1:11" ht="15.75" thickBot="1">
      <c r="A1" s="419"/>
      <c r="B1" s="419"/>
      <c r="C1" s="419"/>
      <c r="D1" s="419"/>
      <c r="E1" s="419"/>
      <c r="F1" s="419"/>
      <c r="G1" s="419"/>
      <c r="H1" s="419"/>
      <c r="I1" s="419"/>
      <c r="J1" s="419"/>
      <c r="K1" s="419"/>
    </row>
    <row r="2" spans="1:11" ht="19.5" thickBot="1">
      <c r="A2" s="524" t="s">
        <v>638</v>
      </c>
      <c r="B2" s="525"/>
      <c r="C2" s="525"/>
      <c r="D2" s="525"/>
      <c r="E2" s="525"/>
      <c r="F2" s="525"/>
      <c r="G2" s="525"/>
      <c r="H2" s="525"/>
      <c r="I2" s="525"/>
      <c r="J2" s="525"/>
      <c r="K2" s="526"/>
    </row>
    <row r="3" spans="1:11" ht="15.75">
      <c r="A3" s="544" t="s">
        <v>627</v>
      </c>
      <c r="B3" s="520" t="s">
        <v>592</v>
      </c>
      <c r="C3" s="521"/>
      <c r="D3" s="522"/>
      <c r="E3" s="520" t="s">
        <v>593</v>
      </c>
      <c r="F3" s="521"/>
      <c r="G3" s="521"/>
      <c r="H3" s="522"/>
      <c r="I3" s="536" t="s">
        <v>612</v>
      </c>
      <c r="J3" s="532"/>
      <c r="K3" s="544" t="s">
        <v>613</v>
      </c>
    </row>
    <row r="4" spans="1:11" ht="33">
      <c r="A4" s="530"/>
      <c r="B4" s="523" t="s">
        <v>618</v>
      </c>
      <c r="C4" s="523" t="s">
        <v>619</v>
      </c>
      <c r="D4" s="523" t="s">
        <v>620</v>
      </c>
      <c r="E4" s="520"/>
      <c r="F4" s="521"/>
      <c r="G4" s="521"/>
      <c r="H4" s="522"/>
      <c r="I4" s="422" t="s">
        <v>621</v>
      </c>
      <c r="J4" s="422" t="s">
        <v>597</v>
      </c>
      <c r="K4" s="531"/>
    </row>
    <row r="5" spans="1:11" ht="15.75">
      <c r="A5" s="531"/>
      <c r="B5" s="523"/>
      <c r="C5" s="523"/>
      <c r="D5" s="523"/>
      <c r="E5" s="520"/>
      <c r="F5" s="521"/>
      <c r="G5" s="532"/>
      <c r="H5" s="533"/>
      <c r="I5" s="420" t="s">
        <v>601</v>
      </c>
      <c r="J5" s="420" t="s">
        <v>601</v>
      </c>
      <c r="K5" s="420" t="s">
        <v>601</v>
      </c>
    </row>
    <row r="6" spans="1:11" ht="15.75">
      <c r="A6" s="439" t="s">
        <v>648</v>
      </c>
      <c r="B6" s="423">
        <v>100</v>
      </c>
      <c r="C6" s="423">
        <f>TH!$B$18</f>
        <v>3.6</v>
      </c>
      <c r="D6" s="436">
        <f>IF(B6=100,180*1.1*C6,IF(B6=200,330*1.1*C6,0))</f>
        <v>712.80000000000007</v>
      </c>
      <c r="E6" s="426" t="s">
        <v>117</v>
      </c>
      <c r="F6" s="427" t="s">
        <v>606</v>
      </c>
      <c r="G6" s="426" t="s">
        <v>120</v>
      </c>
      <c r="H6" s="427" t="s">
        <v>606</v>
      </c>
      <c r="I6" s="421">
        <f>(IF(F6="HT",VLOOKUP(E6,'tải sàn'!$B$5:$L$50,11,0),IF(F6="TG",VLOOKUP(E6,'tải sàn'!$B$5:$L$50,9,0),0)))+(IF(H6="HT",VLOOKUP(G6,'tải sàn'!$B$5:$L$50,11,0),IF(H6="TG",VLOOKUP(G6,'tải sàn'!$B$5:$L$50,9,0),0)))</f>
        <v>1151.4563737750625</v>
      </c>
      <c r="J6" s="438">
        <f>D6+I6</f>
        <v>1864.2563737750625</v>
      </c>
      <c r="K6" s="438">
        <f>(IF(F6="HT",VLOOKUP(E6,'tải sàn'!$B$5:$L$50,10,0),IF(F6="TG",VLOOKUP(E6,'tải sàn'!$B$5:$L$50,8,0),0)))+(IF(H6="HT",VLOOKUP(G6,'tải sàn'!$B$5:$L$50,10,0),IF(H6="TG",VLOOKUP(G6,'tải sàn'!$B$5:$L$50,8,0),0)))</f>
        <v>1161.1324777563657</v>
      </c>
    </row>
    <row r="7" spans="1:11" ht="15.75">
      <c r="A7" s="439" t="s">
        <v>649</v>
      </c>
      <c r="B7" s="423">
        <v>100</v>
      </c>
      <c r="C7" s="423">
        <f>TH!$B$18</f>
        <v>3.6</v>
      </c>
      <c r="D7" s="436">
        <f t="shared" ref="D7:D12" si="0">IF(B7=100,180*1.1*C7,IF(B7=200,330*1.1*C7,0))</f>
        <v>712.80000000000007</v>
      </c>
      <c r="E7" s="426" t="s">
        <v>115</v>
      </c>
      <c r="F7" s="427" t="s">
        <v>605</v>
      </c>
      <c r="G7" s="426" t="s">
        <v>119</v>
      </c>
      <c r="H7" s="427" t="s">
        <v>606</v>
      </c>
      <c r="I7" s="421">
        <f>(IF(F7="HT",VLOOKUP(E7,'tải sàn'!$B$5:$L$50,11,0),IF(F7="TG",VLOOKUP(E7,'tải sàn'!$B$5:$L$50,9,0),0)))+(IF(H7="HT",VLOOKUP(G7,'tải sàn'!$B$5:$L$50,11,0),IF(H7="TG",VLOOKUP(G7,'tải sàn'!$B$5:$L$50,9,0),0)))</f>
        <v>770.60522959183663</v>
      </c>
      <c r="J7" s="438">
        <f t="shared" ref="J7:J12" si="1">D7+I7</f>
        <v>1483.4052295918368</v>
      </c>
      <c r="K7" s="438">
        <f>(IF(F7="HT",VLOOKUP(E7,'tải sàn'!$B$5:$L$50,10,0),IF(F7="TG",VLOOKUP(E7,'tải sàn'!$B$5:$L$50,8,0),0)))+(IF(H7="HT",VLOOKUP(G7,'tải sàn'!$B$5:$L$50,10,0),IF(H7="TG",VLOOKUP(G7,'tải sàn'!$B$5:$L$50,8,0),0)))</f>
        <v>582.8106778425655</v>
      </c>
    </row>
    <row r="8" spans="1:11" ht="15.75">
      <c r="A8" s="440" t="s">
        <v>650</v>
      </c>
      <c r="B8" s="423">
        <v>100</v>
      </c>
      <c r="C8" s="423">
        <f>TH!$B$18</f>
        <v>3.6</v>
      </c>
      <c r="D8" s="436">
        <f t="shared" si="0"/>
        <v>712.80000000000007</v>
      </c>
      <c r="E8" s="426" t="s">
        <v>116</v>
      </c>
      <c r="F8" s="427" t="s">
        <v>606</v>
      </c>
      <c r="G8" s="426" t="s">
        <v>118</v>
      </c>
      <c r="H8" s="427" t="s">
        <v>606</v>
      </c>
      <c r="I8" s="421">
        <f>(IF(F8="HT",VLOOKUP(E8,'tải sàn'!$B$5:$L$50,11,0),IF(F8="TG",VLOOKUP(E8,'tải sàn'!$B$5:$L$50,9,0),0)))+(IF(H8="HT",VLOOKUP(G8,'tải sàn'!$B$5:$L$50,11,0),IF(H8="TG",VLOOKUP(G8,'tải sàn'!$B$5:$L$50,9,0),0)))</f>
        <v>1320.2892186167105</v>
      </c>
      <c r="J8" s="438">
        <f t="shared" si="1"/>
        <v>2033.0892186167107</v>
      </c>
      <c r="K8" s="438">
        <f>(IF(F8="HT",VLOOKUP(E8,'tải sàn'!$B$5:$L$50,10,0),IF(F8="TG",VLOOKUP(E8,'tải sàn'!$B$5:$L$50,8,0),0)))+(IF(H8="HT",VLOOKUP(G8,'tải sàn'!$B$5:$L$50,10,0),IF(H8="TG",VLOOKUP(G8,'tải sàn'!$B$5:$L$50,8,0),0)))</f>
        <v>846.60464678895983</v>
      </c>
    </row>
    <row r="9" spans="1:11" ht="15.75">
      <c r="A9" s="440" t="s">
        <v>651</v>
      </c>
      <c r="B9" s="423">
        <v>0</v>
      </c>
      <c r="C9" s="423">
        <f>TH!$B$18</f>
        <v>3.6</v>
      </c>
      <c r="D9" s="436">
        <f t="shared" si="0"/>
        <v>0</v>
      </c>
      <c r="E9" s="426" t="s">
        <v>122</v>
      </c>
      <c r="F9" s="427" t="s">
        <v>605</v>
      </c>
      <c r="G9" s="426" t="s">
        <v>121</v>
      </c>
      <c r="H9" s="427" t="s">
        <v>606</v>
      </c>
      <c r="I9" s="421">
        <f>(IF(F9="HT",VLOOKUP(E9,'tải sàn'!$B$5:$L$50,11,0),IF(F9="TG",VLOOKUP(E9,'tải sàn'!$B$5:$L$50,9,0),0)))+(IF(H9="HT",VLOOKUP(G9,'tải sàn'!$B$5:$L$50,11,0),IF(H9="TG",VLOOKUP(G9,'tải sàn'!$B$5:$L$50,9,0),0)))</f>
        <v>951.27999708412301</v>
      </c>
      <c r="J9" s="438">
        <f t="shared" si="1"/>
        <v>951.27999708412301</v>
      </c>
      <c r="K9" s="438">
        <f>(IF(F9="HT",VLOOKUP(E9,'tải sàn'!$B$5:$L$50,10,0),IF(F9="TG",VLOOKUP(E9,'tải sàn'!$B$5:$L$50,8,0),0)))+(IF(H9="HT",VLOOKUP(G9,'tải sàn'!$B$5:$L$50,10,0),IF(H9="TG",VLOOKUP(G9,'tải sàn'!$B$5:$L$50,8,0),0)))</f>
        <v>719.4554599795888</v>
      </c>
    </row>
    <row r="10" spans="1:11" ht="15.75">
      <c r="A10" s="440" t="s">
        <v>652</v>
      </c>
      <c r="B10" s="423">
        <v>100</v>
      </c>
      <c r="C10" s="423">
        <f>TH!$B$18</f>
        <v>3.6</v>
      </c>
      <c r="D10" s="436">
        <f t="shared" si="0"/>
        <v>712.80000000000007</v>
      </c>
      <c r="E10" s="426" t="s">
        <v>116</v>
      </c>
      <c r="F10" s="427" t="s">
        <v>606</v>
      </c>
      <c r="G10" s="426" t="s">
        <v>118</v>
      </c>
      <c r="H10" s="427" t="s">
        <v>606</v>
      </c>
      <c r="I10" s="421">
        <f>(IF(F10="HT",VLOOKUP(E10,'tải sàn'!$B$5:$L$50,11,0),IF(F10="TG",VLOOKUP(E10,'tải sàn'!$B$5:$L$50,9,0),0)))+(IF(H10="HT",VLOOKUP(G10,'tải sàn'!$B$5:$L$50,11,0),IF(H10="TG",VLOOKUP(G10,'tải sàn'!$B$5:$L$50,9,0),0)))</f>
        <v>1320.2892186167105</v>
      </c>
      <c r="J10" s="438">
        <f t="shared" si="1"/>
        <v>2033.0892186167107</v>
      </c>
      <c r="K10" s="438">
        <f>(IF(F10="HT",VLOOKUP(E10,'tải sàn'!$B$5:$L$50,10,0),IF(F10="TG",VLOOKUP(E10,'tải sàn'!$B$5:$L$50,8,0),0)))+(IF(H10="HT",VLOOKUP(G10,'tải sàn'!$B$5:$L$50,10,0),IF(H10="TG",VLOOKUP(G10,'tải sàn'!$B$5:$L$50,8,0),0)))</f>
        <v>846.60464678895983</v>
      </c>
    </row>
    <row r="11" spans="1:11" ht="15.75">
      <c r="A11" s="440" t="s">
        <v>653</v>
      </c>
      <c r="B11" s="423">
        <v>0</v>
      </c>
      <c r="C11" s="423">
        <f>TH!$B$18</f>
        <v>3.6</v>
      </c>
      <c r="D11" s="436">
        <f t="shared" si="0"/>
        <v>0</v>
      </c>
      <c r="E11" s="426" t="s">
        <v>115</v>
      </c>
      <c r="F11" s="427" t="s">
        <v>605</v>
      </c>
      <c r="G11" s="426" t="s">
        <v>119</v>
      </c>
      <c r="H11" s="427" t="s">
        <v>606</v>
      </c>
      <c r="I11" s="421">
        <f>(IF(F11="HT",VLOOKUP(E11,'tải sàn'!$B$5:$L$50,11,0),IF(F11="TG",VLOOKUP(E11,'tải sàn'!$B$5:$L$50,9,0),0)))+(IF(H11="HT",VLOOKUP(G11,'tải sàn'!$B$5:$L$50,11,0),IF(H11="TG",VLOOKUP(G11,'tải sàn'!$B$5:$L$50,9,0),0)))</f>
        <v>770.60522959183663</v>
      </c>
      <c r="J11" s="438">
        <f>D11+I11</f>
        <v>770.60522959183663</v>
      </c>
      <c r="K11" s="438">
        <f>(IF(F11="HT",VLOOKUP(E11,'tải sàn'!$B$5:$L$50,10,0),IF(F11="TG",VLOOKUP(E11,'tải sàn'!$B$5:$L$50,8,0),0)))+(IF(H11="HT",VLOOKUP(G11,'tải sàn'!$B$5:$L$50,10,0),IF(H11="TG",VLOOKUP(G11,'tải sàn'!$B$5:$L$50,8,0),0)))</f>
        <v>582.8106778425655</v>
      </c>
    </row>
    <row r="12" spans="1:11" ht="15.75">
      <c r="A12" s="440" t="s">
        <v>654</v>
      </c>
      <c r="B12" s="423">
        <v>0</v>
      </c>
      <c r="C12" s="423">
        <f>TH!$B$18</f>
        <v>3.6</v>
      </c>
      <c r="D12" s="436">
        <f t="shared" si="0"/>
        <v>0</v>
      </c>
      <c r="E12" s="426" t="s">
        <v>117</v>
      </c>
      <c r="F12" s="427" t="s">
        <v>606</v>
      </c>
      <c r="G12" s="426" t="s">
        <v>120</v>
      </c>
      <c r="H12" s="427" t="s">
        <v>606</v>
      </c>
      <c r="I12" s="421">
        <f>(IF(F12="HT",VLOOKUP(E12,'tải sàn'!$B$5:$L$50,11,0),IF(F12="TG",VLOOKUP(E12,'tải sàn'!$B$5:$L$50,9,0),0)))+(IF(H12="HT",VLOOKUP(G12,'tải sàn'!$B$5:$L$50,11,0),IF(H12="TG",VLOOKUP(G12,'tải sàn'!$B$5:$L$50,9,0),0)))</f>
        <v>1151.4563737750625</v>
      </c>
      <c r="J12" s="438">
        <f t="shared" si="1"/>
        <v>1151.4563737750625</v>
      </c>
      <c r="K12" s="438">
        <f>(IF(F12="HT",VLOOKUP(E12,'tải sàn'!$B$5:$L$50,10,0),IF(F12="TG",VLOOKUP(E12,'tải sàn'!$B$5:$L$50,8,0),0)))+(IF(H12="HT",VLOOKUP(G12,'tải sàn'!$B$5:$L$50,10,0),IF(H12="TG",VLOOKUP(G12,'tải sàn'!$B$5:$L$50,8,0),0)))</f>
        <v>1161.1324777563657</v>
      </c>
    </row>
    <row r="13" spans="1:11" ht="15.75" thickBot="1">
      <c r="A13" s="441"/>
      <c r="B13" s="419"/>
      <c r="C13" s="419"/>
      <c r="D13" s="419"/>
      <c r="E13" s="419"/>
      <c r="F13" s="419"/>
      <c r="G13" s="419"/>
      <c r="H13" s="419"/>
      <c r="I13" s="419"/>
      <c r="J13" s="419"/>
      <c r="K13" s="419"/>
    </row>
    <row r="14" spans="1:11" ht="19.5" thickBot="1">
      <c r="A14" s="524" t="s">
        <v>642</v>
      </c>
      <c r="B14" s="525"/>
      <c r="C14" s="525"/>
      <c r="D14" s="525"/>
      <c r="E14" s="525"/>
      <c r="F14" s="525"/>
      <c r="G14" s="525"/>
      <c r="H14" s="525"/>
      <c r="I14" s="525"/>
      <c r="J14" s="525"/>
      <c r="K14" s="526"/>
    </row>
    <row r="15" spans="1:11">
      <c r="A15" s="530" t="s">
        <v>629</v>
      </c>
      <c r="B15" s="531" t="s">
        <v>630</v>
      </c>
      <c r="C15" s="551" t="s">
        <v>631</v>
      </c>
      <c r="D15" s="552"/>
      <c r="E15" s="556" t="s">
        <v>212</v>
      </c>
      <c r="F15" s="551" t="s">
        <v>632</v>
      </c>
      <c r="G15" s="552"/>
      <c r="H15" s="551" t="s">
        <v>211</v>
      </c>
      <c r="I15" s="552"/>
      <c r="J15" s="551" t="s">
        <v>633</v>
      </c>
      <c r="K15" s="552"/>
    </row>
    <row r="16" spans="1:11">
      <c r="A16" s="530"/>
      <c r="B16" s="557"/>
      <c r="C16" s="551"/>
      <c r="D16" s="552"/>
      <c r="E16" s="556"/>
      <c r="F16" s="551"/>
      <c r="G16" s="552"/>
      <c r="H16" s="551"/>
      <c r="I16" s="552"/>
      <c r="J16" s="551"/>
      <c r="K16" s="552"/>
    </row>
    <row r="17" spans="1:14" ht="15.75">
      <c r="A17" s="531"/>
      <c r="B17" s="557"/>
      <c r="C17" s="551"/>
      <c r="D17" s="552"/>
      <c r="E17" s="428" t="s">
        <v>604</v>
      </c>
      <c r="F17" s="553" t="s">
        <v>604</v>
      </c>
      <c r="G17" s="554"/>
      <c r="H17" s="553" t="s">
        <v>604</v>
      </c>
      <c r="I17" s="554"/>
      <c r="J17" s="553" t="s">
        <v>604</v>
      </c>
      <c r="K17" s="554"/>
    </row>
    <row r="18" spans="1:14" ht="15.75">
      <c r="A18" s="508">
        <v>1</v>
      </c>
      <c r="B18" s="429">
        <v>16</v>
      </c>
      <c r="C18" s="432">
        <v>1</v>
      </c>
      <c r="D18" s="430"/>
      <c r="E18" s="431">
        <f>IF(C18=1,VLOOKUP(B18,'dam loai 1 TD'!$B$6:$R$41,15,0),IF(C18=2,(IF(D18="Ri",VLOOKUP(B18,'dam loai 2 TD'!$A$6:$X$50,19,0),IF(D18="Rj",VLOOKUP(B18,'dam loai 2 TD'!$A$6:$X$50,20,0),0))),IF(C18=3,(IF(D18="Ri",VLOOKUP(B18,'dam loai 3 TD'!$A$6:$X$50,19,0),IF(D18="Rj",VLOOKUP(B18,'dam loai 3 TD'!$A$6:$X$50,20,0),0))))))</f>
        <v>1767.0500000000002</v>
      </c>
      <c r="F18" s="545">
        <f>E18+E19</f>
        <v>5896.1500000000005</v>
      </c>
      <c r="G18" s="546"/>
      <c r="H18" s="549">
        <f>IF(C18=1,VLOOKUP(B18,'dam loai 1 TD'!$B$6:$R$41,17,0),IF(C18=2,(IF(D18="Ri",VLOOKUP(B18,'dam loai 2 TD'!$A$6:$X$50,23,0),IF(D18="Rj",VLOOKUP(B18,'dam loai 2 TD'!$A$6:$X$50,24,0),0))),IF(C18=3,(IF(D18="Ri",VLOOKUP(B18,'dam loai 3 TD'!$A$6:$X$50,23,0),IF(D18="Rj",VLOOKUP(B18,'dam loai 3 TD'!$A$6:$X$50,24,0),0))))))</f>
        <v>270</v>
      </c>
      <c r="I18" s="550"/>
      <c r="J18" s="545">
        <f>H18+H19</f>
        <v>1410</v>
      </c>
      <c r="K18" s="546"/>
      <c r="L18" s="419"/>
      <c r="M18" s="419"/>
      <c r="N18" s="419"/>
    </row>
    <row r="19" spans="1:14" ht="15.75">
      <c r="A19" s="509"/>
      <c r="B19" s="429">
        <v>8</v>
      </c>
      <c r="C19" s="432">
        <v>1</v>
      </c>
      <c r="D19" s="430"/>
      <c r="E19" s="431">
        <f>IF(C19=1,VLOOKUP(B19,'dam loai 1 TD'!$B$6:$R$41,15,0),IF(C19=2,(IF(D19="Ri",VLOOKUP(B19,'dam loai 2 TD'!$A$6:$X$50,19,0),IF(D19="Rj",VLOOKUP(B19,'dam loai 2 TD'!$A$6:$X$50,20,0),0))),IF(C19=3,(IF(D19="Ri",VLOOKUP(B19,'dam loai 3 TD'!$A$6:$X$50,19,0),IF(D19="Rj",VLOOKUP(B19,'dam loai 3 TD'!$A$6:$X$50,20,0),0))))))</f>
        <v>4129.1000000000004</v>
      </c>
      <c r="F19" s="547"/>
      <c r="G19" s="548"/>
      <c r="H19" s="549">
        <f>IF(C19=1,VLOOKUP(B19,'dam loai 1 TD'!$B$6:$R$41,17,0),IF(C19=2,(IF(D19="Ri",VLOOKUP(B19,'dam loai 2 TD'!$A$6:$X$50,23,0),IF(D19="Rj",VLOOKUP(B19,'dam loai 2 TD'!$A$6:$X$50,24,0),0))),IF(C19=3,(IF(D19="Ri",VLOOKUP(B19,'dam loai 3 TD'!$A$6:$X$50,23,0),IF(D19="Rj",VLOOKUP(B19,'dam loai 3 TD'!$A$6:$X$50,24,0),0))))))</f>
        <v>1140</v>
      </c>
      <c r="I19" s="550"/>
      <c r="J19" s="547"/>
      <c r="K19" s="548"/>
      <c r="L19" s="419"/>
      <c r="M19" s="419"/>
      <c r="N19" s="419"/>
    </row>
    <row r="20" spans="1:14" ht="15.75">
      <c r="A20" s="508">
        <v>2</v>
      </c>
      <c r="B20" s="429">
        <v>17</v>
      </c>
      <c r="C20" s="432">
        <v>1</v>
      </c>
      <c r="D20" s="430"/>
      <c r="E20" s="431">
        <f>IF(C20=1,VLOOKUP(B20,'dam loai 1 TD'!$B$6:$R$41,15,0),IF(C20=2,(IF(D20="Ri",VLOOKUP(B20,'dam loai 2 TD'!$A$6:$X$50,19,0),IF(D20="Rj",VLOOKUP(B20,'dam loai 2 TD'!$A$6:$X$50,20,0),0))),IF(C20=3,(IF(D20="Ri",VLOOKUP(B20,'dam loai 3 TD'!$A$6:$X$50,19,0),IF(D20="Rj",VLOOKUP(B20,'dam loai 3 TD'!$A$6:$X$50,20,0),0))))))</f>
        <v>728</v>
      </c>
      <c r="F20" s="545">
        <f>E20+E21</f>
        <v>4343.7923007999998</v>
      </c>
      <c r="G20" s="546"/>
      <c r="H20" s="549">
        <f>IF(C20=1,VLOOKUP(B20,'dam loai 1 TD'!$B$6:$R$41,17,0),IF(C20=2,(IF(D20="Ri",VLOOKUP(B20,'dam loai 2 TD'!$A$6:$X$50,23,0),IF(D20="Rj",VLOOKUP(B20,'dam loai 2 TD'!$A$6:$X$50,24,0),0))),IF(C20=3,(IF(D20="Ri",VLOOKUP(B20,'dam loai 3 TD'!$A$6:$X$50,23,0),IF(D20="Rj",VLOOKUP(B20,'dam loai 3 TD'!$A$6:$X$50,24,0),0))))))</f>
        <v>472.5</v>
      </c>
      <c r="I20" s="550"/>
      <c r="J20" s="545">
        <f>H20+H21</f>
        <v>2122.7714879999999</v>
      </c>
      <c r="K20" s="546"/>
      <c r="L20" s="419"/>
      <c r="M20" s="419"/>
      <c r="N20" s="419"/>
    </row>
    <row r="21" spans="1:14" ht="15.75">
      <c r="A21" s="509"/>
      <c r="B21" s="429">
        <v>9</v>
      </c>
      <c r="C21" s="432">
        <v>1</v>
      </c>
      <c r="D21" s="430"/>
      <c r="E21" s="431">
        <f>IF(C21=1,VLOOKUP(B21,'dam loai 1 TD'!$B$6:$R$41,15,0),IF(C21=2,(IF(D21="Ri",VLOOKUP(B21,'dam loai 2 TD'!$A$6:$X$50,19,0),IF(D21="Rj",VLOOKUP(B21,'dam loai 2 TD'!$A$6:$X$50,20,0),0))),IF(C21=3,(IF(D21="Ri",VLOOKUP(B21,'dam loai 3 TD'!$A$6:$X$50,19,0),IF(D21="Rj",VLOOKUP(B21,'dam loai 3 TD'!$A$6:$X$50,20,0),0))))))</f>
        <v>3615.7923008000002</v>
      </c>
      <c r="F21" s="547"/>
      <c r="G21" s="548"/>
      <c r="H21" s="549">
        <f>IF(C21=1,VLOOKUP(B21,'dam loai 1 TD'!$B$6:$R$41,17,0),IF(C21=2,(IF(D21="Ri",VLOOKUP(B21,'dam loai 2 TD'!$A$6:$X$50,23,0),IF(D21="Rj",VLOOKUP(B21,'dam loai 2 TD'!$A$6:$X$50,24,0),0))),IF(C21=3,(IF(D21="Ri",VLOOKUP(B21,'dam loai 3 TD'!$A$6:$X$50,23,0),IF(D21="Rj",VLOOKUP(B21,'dam loai 3 TD'!$A$6:$X$50,24,0),0))))))</f>
        <v>1650.2714879999999</v>
      </c>
      <c r="I21" s="550"/>
      <c r="J21" s="547"/>
      <c r="K21" s="548"/>
      <c r="L21" s="419"/>
      <c r="M21" s="419"/>
      <c r="N21" s="435"/>
    </row>
    <row r="22" spans="1:14" ht="15.75">
      <c r="A22" s="508">
        <v>3</v>
      </c>
      <c r="B22" s="429">
        <v>18</v>
      </c>
      <c r="C22" s="432">
        <v>1</v>
      </c>
      <c r="D22" s="430"/>
      <c r="E22" s="431">
        <f>IF(C22=1,VLOOKUP(B22,'dam loai 1 TD'!$B$6:$R$41,15,0),IF(C22=2,(IF(D22="Ri",VLOOKUP(B22,'dam loai 2 TD'!$A$6:$X$50,19,0),IF(D22="Rj",VLOOKUP(B22,'dam loai 2 TD'!$A$6:$X$50,20,0),0))),IF(C22=3,(IF(D22="Ri",VLOOKUP(B22,'dam loai 3 TD'!$A$6:$X$50,19,0),IF(D22="Rj",VLOOKUP(B22,'dam loai 3 TD'!$A$6:$X$50,20,0),0))))))</f>
        <v>728</v>
      </c>
      <c r="F22" s="545">
        <f>E22+E23</f>
        <v>5024.9869733197265</v>
      </c>
      <c r="G22" s="546"/>
      <c r="H22" s="549">
        <f>IF(C22=1,VLOOKUP(B22,'dam loai 1 TD'!$B$6:$R$41,17,0),IF(C22=2,(IF(D22="Ri",VLOOKUP(B22,'dam loai 2 TD'!$A$6:$X$50,23,0),IF(D22="Rj",VLOOKUP(B22,'dam loai 2 TD'!$A$6:$X$50,24,0),0))),IF(C22=3,(IF(D22="Ri",VLOOKUP(B22,'dam loai 3 TD'!$A$6:$X$50,23,0),IF(D22="Rj",VLOOKUP(B22,'dam loai 3 TD'!$A$6:$X$50,24,0),0))))))</f>
        <v>404.99999999999994</v>
      </c>
      <c r="I22" s="550"/>
      <c r="J22" s="545">
        <f>H22+H23</f>
        <v>2044.7674588132379</v>
      </c>
      <c r="K22" s="546"/>
      <c r="L22" s="419"/>
      <c r="M22" s="419"/>
      <c r="N22" s="419"/>
    </row>
    <row r="23" spans="1:14" ht="15.75">
      <c r="A23" s="509"/>
      <c r="B23" s="429">
        <v>10</v>
      </c>
      <c r="C23" s="432">
        <v>1</v>
      </c>
      <c r="D23" s="430"/>
      <c r="E23" s="431">
        <f>IF(C23=1,VLOOKUP(B23,'dam loai 1 TD'!$B$6:$R$41,15,0),IF(C23=2,(IF(D23="Ri",VLOOKUP(B23,'dam loai 2 TD'!$A$6:$X$50,19,0),IF(D23="Rj",VLOOKUP(B23,'dam loai 2 TD'!$A$6:$X$50,20,0),0))),IF(C23=3,(IF(D23="Ri",VLOOKUP(B23,'dam loai 3 TD'!$A$6:$X$50,19,0),IF(D23="Rj",VLOOKUP(B23,'dam loai 3 TD'!$A$6:$X$50,20,0),0))))))</f>
        <v>4296.9869733197265</v>
      </c>
      <c r="F23" s="547"/>
      <c r="G23" s="548"/>
      <c r="H23" s="549">
        <f>IF(C23=1,VLOOKUP(B23,'dam loai 1 TD'!$B$6:$R$41,17,0),IF(C23=2,(IF(D23="Ri",VLOOKUP(B23,'dam loai 2 TD'!$A$6:$X$50,23,0),IF(D23="Rj",VLOOKUP(B23,'dam loai 2 TD'!$A$6:$X$50,24,0),0))),IF(C23=3,(IF(D23="Ri",VLOOKUP(B23,'dam loai 3 TD'!$A$6:$X$50,23,0),IF(D23="Rj",VLOOKUP(B23,'dam loai 3 TD'!$A$6:$X$50,24,0),0))))))</f>
        <v>1639.7674588132379</v>
      </c>
      <c r="I23" s="550"/>
      <c r="J23" s="547"/>
      <c r="K23" s="548"/>
      <c r="L23" s="419"/>
      <c r="M23" s="419"/>
      <c r="N23" s="419"/>
    </row>
    <row r="24" spans="1:14" ht="15.75">
      <c r="A24" s="508">
        <v>4</v>
      </c>
      <c r="B24" s="429">
        <v>19</v>
      </c>
      <c r="C24" s="432">
        <v>1</v>
      </c>
      <c r="D24" s="430"/>
      <c r="E24" s="431">
        <f>IF(C24=1,VLOOKUP(B24,'dam loai 1 TD'!$B$6:$R$41,15,0),IF(C24=2,(IF(D24="Ri",VLOOKUP(B24,'dam loai 2 TD'!$A$6:$X$50,19,0),IF(D24="Rj",VLOOKUP(B24,'dam loai 2 TD'!$A$6:$X$50,20,0),0))),IF(C24=3,(IF(D24="Ri",VLOOKUP(B24,'dam loai 3 TD'!$A$6:$X$50,19,0),IF(D24="Rj",VLOOKUP(B24,'dam loai 3 TD'!$A$6:$X$50,20,0),0))))))</f>
        <v>728</v>
      </c>
      <c r="F24" s="545">
        <f>E24+E25</f>
        <v>5117.8500000000004</v>
      </c>
      <c r="G24" s="546"/>
      <c r="H24" s="549">
        <f>IF(C24=1,VLOOKUP(B24,'dam loai 1 TD'!$B$6:$R$41,17,0),IF(C24=2,(IF(D24="Ri",VLOOKUP(B24,'dam loai 2 TD'!$A$6:$X$50,23,0),IF(D24="Rj",VLOOKUP(B24,'dam loai 2 TD'!$A$6:$X$50,24,0),0))),IF(C24=3,(IF(D24="Ri",VLOOKUP(B24,'dam loai 3 TD'!$A$6:$X$50,23,0),IF(D24="Rj",VLOOKUP(B24,'dam loai 3 TD'!$A$6:$X$50,24,0),0))))))</f>
        <v>404.99999999999994</v>
      </c>
      <c r="I24" s="550"/>
      <c r="J24" s="545">
        <f>H24+H25</f>
        <v>2114.9999999999995</v>
      </c>
      <c r="K24" s="546"/>
      <c r="L24" s="419"/>
      <c r="M24" s="419"/>
      <c r="N24" s="419"/>
    </row>
    <row r="25" spans="1:14" ht="15.75">
      <c r="A25" s="509"/>
      <c r="B25" s="429">
        <v>11</v>
      </c>
      <c r="C25" s="432">
        <v>1</v>
      </c>
      <c r="D25" s="430"/>
      <c r="E25" s="431">
        <f>IF(C25=1,VLOOKUP(B25,'dam loai 1 TD'!$B$6:$R$41,15,0),IF(C25=2,(IF(D25="Ri",VLOOKUP(B25,'dam loai 2 TD'!$A$6:$X$50,19,0),IF(D25="Rj",VLOOKUP(B25,'dam loai 2 TD'!$A$6:$X$50,20,0),0))),IF(C25=3,(IF(D25="Ri",VLOOKUP(B25,'dam loai 3 TD'!$A$6:$X$50,19,0),IF(D25="Rj",VLOOKUP(B25,'dam loai 3 TD'!$A$6:$X$50,20,0),0))))))</f>
        <v>4389.8500000000004</v>
      </c>
      <c r="F25" s="547"/>
      <c r="G25" s="548"/>
      <c r="H25" s="549">
        <f>IF(C25=1,VLOOKUP(B25,'dam loai 1 TD'!$B$6:$R$41,17,0),IF(C25=2,(IF(D25="Ri",VLOOKUP(B25,'dam loai 2 TD'!$A$6:$X$50,23,0),IF(D25="Rj",VLOOKUP(B25,'dam loai 2 TD'!$A$6:$X$50,24,0),0))),IF(C25=3,(IF(D25="Ri",VLOOKUP(B25,'dam loai 3 TD'!$A$6:$X$50,23,0),IF(D25="Rj",VLOOKUP(B25,'dam loai 3 TD'!$A$6:$X$50,24,0),0))))))</f>
        <v>1709.9999999999998</v>
      </c>
      <c r="I25" s="550"/>
      <c r="J25" s="547"/>
      <c r="K25" s="548"/>
      <c r="L25" s="419"/>
      <c r="M25" s="419"/>
      <c r="N25" s="419"/>
    </row>
    <row r="26" spans="1:14" ht="15.75">
      <c r="A26" s="508">
        <v>5</v>
      </c>
      <c r="B26" s="429">
        <v>20</v>
      </c>
      <c r="C26" s="432">
        <v>1</v>
      </c>
      <c r="D26" s="430"/>
      <c r="E26" s="431">
        <f>IF(C26=1,VLOOKUP(B26,'dam loai 1 TD'!$B$6:$R$41,15,0),IF(C26=2,(IF(D26="Ri",VLOOKUP(B26,'dam loai 2 TD'!$A$6:$X$50,19,0),IF(D26="Rj",VLOOKUP(B26,'dam loai 2 TD'!$A$6:$X$50,20,0),0))),IF(C26=3,(IF(D26="Ri",VLOOKUP(B26,'dam loai 3 TD'!$A$6:$X$50,19,0),IF(D26="Rj",VLOOKUP(B26,'dam loai 3 TD'!$A$6:$X$50,20,0),0))))))</f>
        <v>728</v>
      </c>
      <c r="F26" s="545">
        <f t="shared" ref="F26:F32" si="2">E26+E27</f>
        <v>5117.8500000000004</v>
      </c>
      <c r="G26" s="546"/>
      <c r="H26" s="549">
        <f>IF(C26=1,VLOOKUP(B26,'dam loai 1 TD'!$B$6:$R$41,17,0),IF(C26=2,(IF(D26="Ri",VLOOKUP(B26,'dam loai 2 TD'!$A$6:$X$50,23,0),IF(D26="Rj",VLOOKUP(B26,'dam loai 2 TD'!$A$6:$X$50,24,0),0))),IF(C26=3,(IF(D26="Ri",VLOOKUP(B26,'dam loai 3 TD'!$A$6:$X$50,23,0),IF(D26="Rj",VLOOKUP(B26,'dam loai 3 TD'!$A$6:$X$50,24,0),0))))))</f>
        <v>404.99999999999994</v>
      </c>
      <c r="I26" s="550"/>
      <c r="J26" s="545">
        <f>H26+H27</f>
        <v>2114.9999999999995</v>
      </c>
      <c r="K26" s="546"/>
      <c r="L26" s="419"/>
      <c r="M26" s="419"/>
      <c r="N26" s="419"/>
    </row>
    <row r="27" spans="1:14" ht="15.75">
      <c r="A27" s="509"/>
      <c r="B27" s="429">
        <v>12</v>
      </c>
      <c r="C27" s="432">
        <v>1</v>
      </c>
      <c r="D27" s="430"/>
      <c r="E27" s="431">
        <f>IF(C27=1,VLOOKUP(B27,'dam loai 1 TD'!$B$6:$R$41,15,0),IF(C27=2,(IF(D27="Ri",VLOOKUP(B27,'dam loai 2 TD'!$A$6:$X$50,19,0),IF(D27="Rj",VLOOKUP(B27,'dam loai 2 TD'!$A$6:$X$50,20,0),0))),IF(C27=3,(IF(D27="Ri",VLOOKUP(B27,'dam loai 3 TD'!$A$6:$X$50,19,0),IF(D27="Rj",VLOOKUP(B27,'dam loai 3 TD'!$A$6:$X$50,20,0),0))))))</f>
        <v>4389.8500000000004</v>
      </c>
      <c r="F27" s="547"/>
      <c r="G27" s="548"/>
      <c r="H27" s="549">
        <f>IF(C27=1,VLOOKUP(B27,'dam loai 1 TD'!$B$6:$R$41,17,0),IF(C27=2,(IF(D27="Ri",VLOOKUP(B27,'dam loai 2 TD'!$A$6:$X$50,23,0),IF(D27="Rj",VLOOKUP(B27,'dam loai 2 TD'!$A$6:$X$50,24,0),0))),IF(C27=3,(IF(D27="Ri",VLOOKUP(B27,'dam loai 3 TD'!$A$6:$X$50,23,0),IF(D27="Rj",VLOOKUP(B27,'dam loai 3 TD'!$A$6:$X$50,24,0),0))))))</f>
        <v>1709.9999999999998</v>
      </c>
      <c r="I27" s="550"/>
      <c r="J27" s="547"/>
      <c r="K27" s="548"/>
      <c r="L27" s="419"/>
      <c r="M27" s="419"/>
      <c r="N27" s="419"/>
    </row>
    <row r="28" spans="1:14" ht="15.75">
      <c r="A28" s="508">
        <v>6</v>
      </c>
      <c r="B28" s="429">
        <v>21</v>
      </c>
      <c r="C28" s="432">
        <v>1</v>
      </c>
      <c r="D28" s="430"/>
      <c r="E28" s="431">
        <f>IF(C28=1,VLOOKUP(B28,'dam loai 1 TD'!$B$6:$R$41,15,0),IF(C28=2,(IF(D28="Ri",VLOOKUP(B28,'dam loai 2 TD'!$A$6:$X$50,19,0),IF(D28="Rj",VLOOKUP(B28,'dam loai 2 TD'!$A$6:$X$50,20,0),0))),IF(C28=3,(IF(D28="Ri",VLOOKUP(B28,'dam loai 3 TD'!$A$6:$X$50,19,0),IF(D28="Rj",VLOOKUP(B28,'dam loai 3 TD'!$A$6:$X$50,20,0),0))))))</f>
        <v>728</v>
      </c>
      <c r="F28" s="545">
        <f t="shared" si="2"/>
        <v>5024.9869733197265</v>
      </c>
      <c r="G28" s="546"/>
      <c r="H28" s="549">
        <f>IF(C28=1,VLOOKUP(B28,'dam loai 1 TD'!$B$6:$R$41,17,0),IF(C28=2,(IF(D28="Ri",VLOOKUP(B28,'dam loai 2 TD'!$A$6:$X$50,23,0),IF(D28="Rj",VLOOKUP(B28,'dam loai 2 TD'!$A$6:$X$50,24,0),0))),IF(C28=3,(IF(D28="Ri",VLOOKUP(B28,'dam loai 3 TD'!$A$6:$X$50,23,0),IF(D28="Rj",VLOOKUP(B28,'dam loai 3 TD'!$A$6:$X$50,24,0),0))))))</f>
        <v>404.99999999999994</v>
      </c>
      <c r="I28" s="550"/>
      <c r="J28" s="545">
        <f>H28+H29</f>
        <v>2044.7674588132379</v>
      </c>
      <c r="K28" s="546"/>
      <c r="L28" s="419"/>
      <c r="M28" s="419"/>
      <c r="N28" s="419"/>
    </row>
    <row r="29" spans="1:14" ht="15.75">
      <c r="A29" s="509"/>
      <c r="B29" s="429">
        <v>13</v>
      </c>
      <c r="C29" s="432">
        <v>1</v>
      </c>
      <c r="D29" s="430"/>
      <c r="E29" s="431">
        <f>IF(C29=1,VLOOKUP(B29,'dam loai 1 TD'!$B$6:$R$41,15,0),IF(C29=2,(IF(D29="Ri",VLOOKUP(B29,'dam loai 2 TD'!$A$6:$X$50,19,0),IF(D29="Rj",VLOOKUP(B29,'dam loai 2 TD'!$A$6:$X$50,20,0),0))),IF(C29=3,(IF(D29="Ri",VLOOKUP(B29,'dam loai 3 TD'!$A$6:$X$50,19,0),IF(D29="Rj",VLOOKUP(B29,'dam loai 3 TD'!$A$6:$X$50,20,0),0))))))</f>
        <v>4296.9869733197265</v>
      </c>
      <c r="F29" s="547"/>
      <c r="G29" s="548"/>
      <c r="H29" s="549">
        <f>IF(C29=1,VLOOKUP(B29,'dam loai 1 TD'!$B$6:$R$41,17,0),IF(C29=2,(IF(D29="Ri",VLOOKUP(B29,'dam loai 2 TD'!$A$6:$X$50,23,0),IF(D29="Rj",VLOOKUP(B29,'dam loai 2 TD'!$A$6:$X$50,24,0),0))),IF(C29=3,(IF(D29="Ri",VLOOKUP(B29,'dam loai 3 TD'!$A$6:$X$50,23,0),IF(D29="Rj",VLOOKUP(B29,'dam loai 3 TD'!$A$6:$X$50,24,0),0))))))</f>
        <v>1639.7674588132379</v>
      </c>
      <c r="I29" s="550"/>
      <c r="J29" s="547"/>
      <c r="K29" s="548"/>
      <c r="L29" s="419"/>
      <c r="M29" s="419"/>
      <c r="N29" s="419"/>
    </row>
    <row r="30" spans="1:14" ht="15.75">
      <c r="A30" s="508">
        <v>7</v>
      </c>
      <c r="B30" s="429">
        <v>22</v>
      </c>
      <c r="C30" s="432">
        <v>1</v>
      </c>
      <c r="D30" s="430"/>
      <c r="E30" s="431">
        <f>IF(C30=1,VLOOKUP(B30,'dam loai 1 TD'!$B$6:$R$41,15,0),IF(C30=2,(IF(D30="Ri",VLOOKUP(B30,'dam loai 2 TD'!$A$6:$X$50,19,0),IF(D30="Rj",VLOOKUP(B30,'dam loai 2 TD'!$A$6:$X$50,20,0),0))),IF(C30=3,(IF(D30="Ri",VLOOKUP(B30,'dam loai 3 TD'!$A$6:$X$50,19,0),IF(D30="Rj",VLOOKUP(B30,'dam loai 3 TD'!$A$6:$X$50,20,0),0))))))</f>
        <v>728</v>
      </c>
      <c r="F30" s="545">
        <f t="shared" si="2"/>
        <v>4343.7923007999998</v>
      </c>
      <c r="G30" s="546"/>
      <c r="H30" s="549">
        <f>IF(C30=1,VLOOKUP(B30,'dam loai 1 TD'!$B$6:$R$41,17,0),IF(C30=2,(IF(D30="Ri",VLOOKUP(B30,'dam loai 2 TD'!$A$6:$X$50,23,0),IF(D30="Rj",VLOOKUP(B30,'dam loai 2 TD'!$A$6:$X$50,24,0),0))),IF(C30=3,(IF(D30="Ri",VLOOKUP(B30,'dam loai 3 TD'!$A$6:$X$50,23,0),IF(D30="Rj",VLOOKUP(B30,'dam loai 3 TD'!$A$6:$X$50,24,0),0))))))</f>
        <v>472.5</v>
      </c>
      <c r="I30" s="550"/>
      <c r="J30" s="545">
        <f>H30+H31</f>
        <v>2122.7714879999999</v>
      </c>
      <c r="K30" s="546"/>
      <c r="L30" s="419"/>
      <c r="M30" s="419"/>
      <c r="N30" s="419"/>
    </row>
    <row r="31" spans="1:14" ht="15.75">
      <c r="A31" s="509"/>
      <c r="B31" s="429">
        <v>14</v>
      </c>
      <c r="C31" s="432">
        <v>1</v>
      </c>
      <c r="D31" s="430"/>
      <c r="E31" s="431">
        <f>IF(C31=1,VLOOKUP(B31,'dam loai 1 TD'!$B$6:$R$41,15,0),IF(C31=2,(IF(D31="Ri",VLOOKUP(B31,'dam loai 2 TD'!$A$6:$X$50,19,0),IF(D31="Rj",VLOOKUP(B31,'dam loai 2 TD'!$A$6:$X$50,20,0),0))),IF(C31=3,(IF(D31="Ri",VLOOKUP(B31,'dam loai 3 TD'!$A$6:$X$50,19,0),IF(D31="Rj",VLOOKUP(B31,'dam loai 3 TD'!$A$6:$X$50,20,0),0))))))</f>
        <v>3615.7923008000002</v>
      </c>
      <c r="F31" s="547"/>
      <c r="G31" s="548"/>
      <c r="H31" s="549">
        <f>IF(C31=1,VLOOKUP(B31,'dam loai 1 TD'!$B$6:$R$41,17,0),IF(C31=2,(IF(D31="Ri",VLOOKUP(B31,'dam loai 2 TD'!$A$6:$X$50,23,0),IF(D31="Rj",VLOOKUP(B31,'dam loai 2 TD'!$A$6:$X$50,24,0),0))),IF(C31=3,(IF(D31="Ri",VLOOKUP(B31,'dam loai 3 TD'!$A$6:$X$50,23,0),IF(D31="Rj",VLOOKUP(B31,'dam loai 3 TD'!$A$6:$X$50,24,0),0))))))</f>
        <v>1650.2714879999999</v>
      </c>
      <c r="I31" s="550"/>
      <c r="J31" s="547"/>
      <c r="K31" s="548"/>
      <c r="L31" s="419"/>
      <c r="M31" s="419"/>
      <c r="N31" s="419"/>
    </row>
    <row r="32" spans="1:14" ht="15.75">
      <c r="A32" s="508">
        <v>8</v>
      </c>
      <c r="B32" s="429">
        <v>23</v>
      </c>
      <c r="C32" s="432">
        <v>1</v>
      </c>
      <c r="D32" s="430"/>
      <c r="E32" s="431">
        <f>IF(C32=1,VLOOKUP(B32,'dam loai 1 TD'!$B$6:$R$41,15,0),IF(C32=2,(IF(D32="Ri",VLOOKUP(B32,'dam loai 2 TD'!$A$6:$X$50,19,0),IF(D32="Rj",VLOOKUP(B32,'dam loai 2 TD'!$A$6:$X$50,20,0),0))),IF(C32=3,(IF(D32="Ri",VLOOKUP(B32,'dam loai 3 TD'!$A$6:$X$50,19,0),IF(D32="Rj",VLOOKUP(B32,'dam loai 3 TD'!$A$6:$X$50,20,0),0))))))</f>
        <v>1767.0500000000002</v>
      </c>
      <c r="F32" s="545">
        <f t="shared" si="2"/>
        <v>5896.1500000000005</v>
      </c>
      <c r="G32" s="546"/>
      <c r="H32" s="549">
        <f>IF(C32=1,VLOOKUP(B32,'dam loai 1 TD'!$B$6:$R$41,17,0),IF(C32=2,(IF(D32="Ri",VLOOKUP(B32,'dam loai 2 TD'!$A$6:$X$50,23,0),IF(D32="Rj",VLOOKUP(B32,'dam loai 2 TD'!$A$6:$X$50,24,0),0))),IF(C32=3,(IF(D32="Ri",VLOOKUP(B32,'dam loai 3 TD'!$A$6:$X$50,23,0),IF(D32="Rj",VLOOKUP(B32,'dam loai 3 TD'!$A$6:$X$50,24,0),0))))))</f>
        <v>270</v>
      </c>
      <c r="I32" s="550"/>
      <c r="J32" s="545">
        <f>H32+H33</f>
        <v>1410</v>
      </c>
      <c r="K32" s="546"/>
      <c r="L32" s="419"/>
      <c r="M32" s="419"/>
      <c r="N32" s="419"/>
    </row>
    <row r="33" spans="1:14" ht="15.75">
      <c r="A33" s="509"/>
      <c r="B33" s="429">
        <v>15</v>
      </c>
      <c r="C33" s="432">
        <v>1</v>
      </c>
      <c r="D33" s="430"/>
      <c r="E33" s="431">
        <f>IF(C33=1,VLOOKUP(B33,'dam loai 1 TD'!$B$6:$R$41,15,0),IF(C33=2,(IF(D33="Ri",VLOOKUP(B33,'dam loai 2 TD'!$A$6:$X$50,19,0),IF(D33="Rj",VLOOKUP(B33,'dam loai 2 TD'!$A$6:$X$50,20,0),0))),IF(C33=3,(IF(D33="Ri",VLOOKUP(B33,'dam loai 3 TD'!$A$6:$X$50,19,0),IF(D33="Rj",VLOOKUP(B33,'dam loai 3 TD'!$A$6:$X$50,20,0),0))))))</f>
        <v>4129.1000000000004</v>
      </c>
      <c r="F33" s="547"/>
      <c r="G33" s="548"/>
      <c r="H33" s="555">
        <f>IF(C33=1,VLOOKUP(B33,'dam loai 1 TD'!$B$6:$R$41,17,0),IF(C33=2,(IF(D33="Ri",VLOOKUP(B33,'dam loai 2 TD'!$A$6:$X$50,23,0),IF(D33="Rj",VLOOKUP(B33,'dam loai 2 TD'!$A$6:$X$50,24,0),0))),IF(C33=3,(IF(D33="Ri",VLOOKUP(B33,'dam loai 3 TD'!$A$6:$X$50,23,0),IF(D33="Rj",VLOOKUP(B33,'dam loai 3 TD'!$A$6:$X$50,24,0),0))))))</f>
        <v>1140</v>
      </c>
      <c r="I33" s="555"/>
      <c r="J33" s="547"/>
      <c r="K33" s="548"/>
      <c r="L33" s="419"/>
      <c r="M33" s="419"/>
      <c r="N33" s="419"/>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dimension ref="A1:R56"/>
  <sheetViews>
    <sheetView showGridLines="0" topLeftCell="A7" workbookViewId="0">
      <selection activeCell="D17" sqref="D17:E18"/>
    </sheetView>
  </sheetViews>
  <sheetFormatPr defaultRowHeight="15"/>
  <cols>
    <col min="2" max="2" width="10.140625" bestFit="1" customWidth="1"/>
    <col min="12" max="12" width="5.5703125" customWidth="1"/>
    <col min="16" max="18" width="9.140625" hidden="1" customWidth="1"/>
  </cols>
  <sheetData>
    <row r="1" spans="1:18">
      <c r="A1" s="110"/>
      <c r="B1" s="110"/>
      <c r="C1" s="110"/>
      <c r="D1" s="110"/>
      <c r="E1" s="110"/>
      <c r="F1" s="110"/>
      <c r="G1" s="110"/>
      <c r="H1" s="110"/>
      <c r="I1" s="111"/>
      <c r="J1" s="110"/>
      <c r="K1" s="110"/>
      <c r="L1" s="110"/>
      <c r="M1" s="110"/>
      <c r="N1" s="110"/>
      <c r="O1" s="112"/>
      <c r="P1" s="98"/>
      <c r="Q1" s="108"/>
      <c r="R1" s="98"/>
    </row>
    <row r="2" spans="1:18">
      <c r="A2" s="110"/>
      <c r="B2" s="310"/>
      <c r="C2" s="310"/>
      <c r="D2" s="310"/>
      <c r="E2" s="310"/>
      <c r="F2" s="310"/>
      <c r="G2" s="310"/>
      <c r="H2" s="310"/>
      <c r="I2" s="311"/>
      <c r="J2" s="310"/>
      <c r="K2" s="310"/>
      <c r="L2" s="310"/>
      <c r="M2" s="310"/>
      <c r="N2" s="310"/>
      <c r="O2" s="312"/>
      <c r="P2" s="98"/>
      <c r="Q2" s="108"/>
      <c r="R2" s="98"/>
    </row>
    <row r="3" spans="1:18" ht="18.75">
      <c r="A3" s="109"/>
      <c r="B3" s="302"/>
      <c r="C3" s="302"/>
      <c r="D3" s="303" t="s">
        <v>246</v>
      </c>
      <c r="E3" s="302"/>
      <c r="F3" s="302"/>
      <c r="G3" s="302"/>
      <c r="H3" s="302"/>
      <c r="I3" s="304"/>
      <c r="J3" s="302"/>
      <c r="K3" s="302"/>
      <c r="L3" s="302"/>
      <c r="M3" s="305"/>
      <c r="N3" s="302"/>
      <c r="O3" s="305"/>
      <c r="P3" s="90"/>
      <c r="Q3" s="89"/>
      <c r="R3" s="90"/>
    </row>
    <row r="4" spans="1:18" ht="18.75">
      <c r="A4" s="109"/>
      <c r="B4" s="306" t="s">
        <v>247</v>
      </c>
      <c r="C4" s="307" t="s">
        <v>248</v>
      </c>
      <c r="D4" s="308"/>
      <c r="E4" s="309"/>
      <c r="F4" s="310"/>
      <c r="G4" s="310"/>
      <c r="H4" s="310"/>
      <c r="I4" s="311"/>
      <c r="J4" s="310"/>
      <c r="K4" s="312"/>
      <c r="L4" s="310"/>
      <c r="M4" s="312"/>
      <c r="N4" s="310"/>
      <c r="O4" s="305"/>
      <c r="P4" s="91"/>
      <c r="Q4" s="102"/>
      <c r="R4" s="91"/>
    </row>
    <row r="5" spans="1:18" ht="18.75">
      <c r="A5" s="109"/>
      <c r="B5" s="310"/>
      <c r="C5" s="307" t="s">
        <v>249</v>
      </c>
      <c r="D5" s="307"/>
      <c r="E5" s="309"/>
      <c r="F5" s="310"/>
      <c r="G5" s="310"/>
      <c r="H5" s="310"/>
      <c r="I5" s="311"/>
      <c r="J5" s="310"/>
      <c r="K5" s="310"/>
      <c r="L5" s="310"/>
      <c r="M5" s="312"/>
      <c r="N5" s="310"/>
      <c r="O5" s="305"/>
      <c r="P5" s="91"/>
      <c r="Q5" s="102"/>
      <c r="R5" s="91"/>
    </row>
    <row r="6" spans="1:18" ht="18.75">
      <c r="A6" s="109"/>
      <c r="B6" s="312"/>
      <c r="C6" s="313" t="s">
        <v>250</v>
      </c>
      <c r="D6" s="307"/>
      <c r="E6" s="309"/>
      <c r="F6" s="314">
        <f>TH!C21</f>
        <v>25</v>
      </c>
      <c r="G6" s="315" t="s">
        <v>251</v>
      </c>
      <c r="H6" s="316">
        <f>IF(F6=12.5,7.5,IF(F6=15,8.5,IF(F6=20,11.5,IF(F6=25,14.5,"!!!"))))</f>
        <v>14.5</v>
      </c>
      <c r="I6" s="317" t="s">
        <v>252</v>
      </c>
      <c r="J6" s="312"/>
      <c r="K6" s="312"/>
      <c r="L6" s="312"/>
      <c r="M6" s="312"/>
      <c r="N6" s="310"/>
      <c r="O6" s="305"/>
      <c r="P6" s="92"/>
      <c r="Q6" s="102"/>
      <c r="R6" s="91"/>
    </row>
    <row r="7" spans="1:18" ht="15.75">
      <c r="A7" s="109"/>
      <c r="B7" s="312"/>
      <c r="C7" s="307" t="s">
        <v>253</v>
      </c>
      <c r="D7" s="307"/>
      <c r="E7" s="312"/>
      <c r="F7" s="318"/>
      <c r="G7" s="315"/>
      <c r="H7" s="317"/>
      <c r="I7" s="317"/>
      <c r="J7" s="312"/>
      <c r="K7" s="312"/>
      <c r="L7" s="312"/>
      <c r="M7" s="312"/>
      <c r="N7" s="312"/>
      <c r="O7" s="305"/>
      <c r="P7" s="92"/>
      <c r="Q7" s="102"/>
      <c r="R7" s="92"/>
    </row>
    <row r="8" spans="1:18" ht="18.75">
      <c r="A8" s="109"/>
      <c r="B8" s="113" t="s">
        <v>254</v>
      </c>
      <c r="C8" s="113" t="s">
        <v>255</v>
      </c>
      <c r="D8" s="114" t="s">
        <v>256</v>
      </c>
      <c r="E8" s="113" t="s">
        <v>257</v>
      </c>
      <c r="F8" s="114" t="s">
        <v>258</v>
      </c>
      <c r="G8" s="113" t="s">
        <v>259</v>
      </c>
      <c r="H8" s="113" t="s">
        <v>260</v>
      </c>
      <c r="I8" s="115" t="s">
        <v>261</v>
      </c>
      <c r="J8" s="115" t="s">
        <v>262</v>
      </c>
      <c r="K8" s="114" t="s">
        <v>263</v>
      </c>
      <c r="L8" s="116" t="s">
        <v>264</v>
      </c>
      <c r="M8" s="117"/>
      <c r="N8" s="117" t="s">
        <v>263</v>
      </c>
      <c r="O8" s="115" t="s">
        <v>265</v>
      </c>
      <c r="P8" s="97" t="s">
        <v>266</v>
      </c>
      <c r="Q8" s="103" t="s">
        <v>267</v>
      </c>
      <c r="R8" s="104" t="s">
        <v>265</v>
      </c>
    </row>
    <row r="9" spans="1:18" ht="18.75">
      <c r="A9" s="109"/>
      <c r="B9" s="118" t="s">
        <v>268</v>
      </c>
      <c r="C9" s="118"/>
      <c r="D9" s="119" t="s">
        <v>269</v>
      </c>
      <c r="E9" s="120" t="s">
        <v>270</v>
      </c>
      <c r="F9" s="119" t="s">
        <v>270</v>
      </c>
      <c r="G9" s="120" t="s">
        <v>271</v>
      </c>
      <c r="H9" s="120" t="s">
        <v>271</v>
      </c>
      <c r="I9" s="118"/>
      <c r="J9" s="118"/>
      <c r="K9" s="119" t="s">
        <v>272</v>
      </c>
      <c r="L9" s="121" t="s">
        <v>273</v>
      </c>
      <c r="M9" s="122" t="s">
        <v>274</v>
      </c>
      <c r="N9" s="123" t="s">
        <v>275</v>
      </c>
      <c r="O9" s="118"/>
      <c r="P9" s="96" t="s">
        <v>276</v>
      </c>
      <c r="Q9" s="105" t="s">
        <v>275</v>
      </c>
      <c r="R9" s="96"/>
    </row>
    <row r="10" spans="1:18" ht="15.75">
      <c r="A10" s="109"/>
      <c r="B10" s="124">
        <v>1</v>
      </c>
      <c r="C10" s="125">
        <v>2</v>
      </c>
      <c r="D10" s="125">
        <v>3</v>
      </c>
      <c r="E10" s="125">
        <v>4</v>
      </c>
      <c r="F10" s="125">
        <v>5</v>
      </c>
      <c r="G10" s="125">
        <v>6</v>
      </c>
      <c r="H10" s="125">
        <v>7</v>
      </c>
      <c r="I10" s="125">
        <v>8</v>
      </c>
      <c r="J10" s="125">
        <v>9</v>
      </c>
      <c r="K10" s="163">
        <v>11</v>
      </c>
      <c r="L10" s="163">
        <v>12</v>
      </c>
      <c r="M10" s="163">
        <v>13</v>
      </c>
      <c r="N10" s="163">
        <v>14</v>
      </c>
      <c r="O10" s="163">
        <v>15</v>
      </c>
      <c r="P10" s="163">
        <v>16</v>
      </c>
      <c r="Q10" s="163">
        <v>17</v>
      </c>
      <c r="R10" s="163">
        <v>18</v>
      </c>
    </row>
    <row r="11" spans="1:18" ht="18.75">
      <c r="A11" s="109"/>
      <c r="B11" s="567" t="str">
        <f>'momen 1p'!A7</f>
        <v>S4</v>
      </c>
      <c r="C11" s="290" t="s">
        <v>277</v>
      </c>
      <c r="D11" s="345">
        <f>'momen 1p'!H7*100</f>
        <v>12906</v>
      </c>
      <c r="E11" s="292">
        <v>10</v>
      </c>
      <c r="F11" s="293">
        <v>100</v>
      </c>
      <c r="G11" s="294">
        <f>$H$6</f>
        <v>14.5</v>
      </c>
      <c r="H11" s="295">
        <f>TH!$B$27</f>
        <v>225</v>
      </c>
      <c r="I11" s="296">
        <f t="shared" ref="I11:I20" si="0">+D11/(G11*10*F11*E11*E11)</f>
        <v>8.9006896551724144E-3</v>
      </c>
      <c r="J11" s="297">
        <f t="shared" ref="J11:J20" si="1">0.5*(1+SQRT(1-2*I11))</f>
        <v>0.99552967133403203</v>
      </c>
      <c r="K11" s="298">
        <f t="shared" ref="K11:K20" si="2">+D11/(H11*10*J11*E11)</f>
        <v>0.57617569472476216</v>
      </c>
      <c r="L11" s="295">
        <v>10</v>
      </c>
      <c r="M11" s="295">
        <v>150</v>
      </c>
      <c r="N11" s="298">
        <f t="shared" ref="N11:N20" si="3">IF(L11=6,0.283*1000/M11,IF(L11=8,0.503*1000/M11,IF(L11=10,0.785*1000/M11,IF(L11=12,1.131*1000/M11,1.539*1000/M11))))</f>
        <v>5.2333333333333334</v>
      </c>
      <c r="O11" s="299">
        <f t="shared" ref="O11:O16" si="4">N11/E11</f>
        <v>0.52333333333333332</v>
      </c>
      <c r="P11" s="99" t="str">
        <f t="shared" ref="P11:P16" si="5">"Ø"&amp;L11&amp;"a"&amp;M11</f>
        <v>Ø10a150</v>
      </c>
      <c r="Q11" s="106">
        <f>VLOOKUP(P11,'tra thep'!$E$11:$F$62,2,)</f>
        <v>5.23</v>
      </c>
      <c r="R11" s="95">
        <f t="shared" ref="R11:R16" si="6">M11/E11</f>
        <v>15</v>
      </c>
    </row>
    <row r="12" spans="1:18" ht="18.75">
      <c r="A12" s="109"/>
      <c r="B12" s="568"/>
      <c r="C12" s="290" t="s">
        <v>279</v>
      </c>
      <c r="D12" s="345">
        <f>'momen 1p'!H8*100</f>
        <v>25812</v>
      </c>
      <c r="E12" s="292">
        <v>10</v>
      </c>
      <c r="F12" s="293">
        <v>100</v>
      </c>
      <c r="G12" s="294">
        <f t="shared" ref="G12:G20" si="7">$H$6</f>
        <v>14.5</v>
      </c>
      <c r="H12" s="295">
        <f>TH!$B$27</f>
        <v>225</v>
      </c>
      <c r="I12" s="296">
        <f t="shared" si="0"/>
        <v>1.7801379310344829E-2</v>
      </c>
      <c r="J12" s="297">
        <f t="shared" si="1"/>
        <v>0.99101864561829789</v>
      </c>
      <c r="K12" s="298">
        <f t="shared" si="2"/>
        <v>1.1575967869749417</v>
      </c>
      <c r="L12" s="295">
        <v>10</v>
      </c>
      <c r="M12" s="295">
        <v>150</v>
      </c>
      <c r="N12" s="298">
        <f t="shared" si="3"/>
        <v>5.2333333333333334</v>
      </c>
      <c r="O12" s="299">
        <f t="shared" si="4"/>
        <v>0.52333333333333332</v>
      </c>
      <c r="P12" s="161" t="str">
        <f t="shared" si="5"/>
        <v>Ø10a150</v>
      </c>
      <c r="Q12" s="162">
        <f>VLOOKUP(P12,'tra thep'!$E$11:$F$62,2,)</f>
        <v>5.23</v>
      </c>
      <c r="R12" s="130">
        <f t="shared" si="6"/>
        <v>15</v>
      </c>
    </row>
    <row r="13" spans="1:18" ht="18.75">
      <c r="A13" s="109"/>
      <c r="B13" s="567" t="str">
        <f>'momen 1p'!A9</f>
        <v>S6</v>
      </c>
      <c r="C13" s="290" t="s">
        <v>277</v>
      </c>
      <c r="D13" s="345">
        <f>'momen 1p'!H9*100</f>
        <v>11286</v>
      </c>
      <c r="E13" s="292">
        <v>10</v>
      </c>
      <c r="F13" s="293">
        <v>100</v>
      </c>
      <c r="G13" s="294">
        <f t="shared" si="7"/>
        <v>14.5</v>
      </c>
      <c r="H13" s="295">
        <f>TH!$B$27</f>
        <v>225</v>
      </c>
      <c r="I13" s="296">
        <f t="shared" si="0"/>
        <v>7.7834482758620685E-3</v>
      </c>
      <c r="J13" s="297">
        <f t="shared" si="1"/>
        <v>0.99609301130137773</v>
      </c>
      <c r="K13" s="298">
        <f t="shared" si="2"/>
        <v>0.50356743226686085</v>
      </c>
      <c r="L13" s="295">
        <v>10</v>
      </c>
      <c r="M13" s="295">
        <v>150</v>
      </c>
      <c r="N13" s="298">
        <f t="shared" si="3"/>
        <v>5.2333333333333334</v>
      </c>
      <c r="O13" s="299">
        <f t="shared" si="4"/>
        <v>0.52333333333333332</v>
      </c>
      <c r="P13" s="161" t="str">
        <f t="shared" si="5"/>
        <v>Ø10a150</v>
      </c>
      <c r="Q13" s="162">
        <f>VLOOKUP(P13,'tra thep'!$E$11:$F$62,2,)</f>
        <v>5.23</v>
      </c>
      <c r="R13" s="130">
        <f t="shared" si="6"/>
        <v>15</v>
      </c>
    </row>
    <row r="14" spans="1:18" ht="18.75">
      <c r="A14" s="109"/>
      <c r="B14" s="568"/>
      <c r="C14" s="290" t="s">
        <v>279</v>
      </c>
      <c r="D14" s="345">
        <f>'momen 1p'!H10*100</f>
        <v>22572</v>
      </c>
      <c r="E14" s="292">
        <v>10</v>
      </c>
      <c r="F14" s="293">
        <v>100</v>
      </c>
      <c r="G14" s="294">
        <f t="shared" si="7"/>
        <v>14.5</v>
      </c>
      <c r="H14" s="295">
        <f>TH!$B$27</f>
        <v>225</v>
      </c>
      <c r="I14" s="296">
        <f t="shared" si="0"/>
        <v>1.5566896551724137E-2</v>
      </c>
      <c r="J14" s="297">
        <f t="shared" si="1"/>
        <v>0.99215500782186283</v>
      </c>
      <c r="K14" s="298">
        <f t="shared" si="2"/>
        <v>1.0111323251821154</v>
      </c>
      <c r="L14" s="295">
        <v>10</v>
      </c>
      <c r="M14" s="295">
        <v>150</v>
      </c>
      <c r="N14" s="298">
        <f t="shared" si="3"/>
        <v>5.2333333333333334</v>
      </c>
      <c r="O14" s="299">
        <f t="shared" si="4"/>
        <v>0.52333333333333332</v>
      </c>
      <c r="P14" s="161" t="str">
        <f t="shared" si="5"/>
        <v>Ø10a150</v>
      </c>
      <c r="Q14" s="162">
        <f>VLOOKUP(P14,'tra thep'!$E$11:$F$62,2,)</f>
        <v>5.23</v>
      </c>
      <c r="R14" s="130">
        <f t="shared" si="6"/>
        <v>15</v>
      </c>
    </row>
    <row r="15" spans="1:18" ht="18.75">
      <c r="A15" s="109"/>
      <c r="B15" s="567" t="str">
        <f>'momen 1p'!A11</f>
        <v>S7</v>
      </c>
      <c r="C15" s="290" t="s">
        <v>277</v>
      </c>
      <c r="D15" s="345">
        <f>'momen 1p'!H11*100</f>
        <v>11286</v>
      </c>
      <c r="E15" s="292">
        <v>10</v>
      </c>
      <c r="F15" s="293">
        <v>100</v>
      </c>
      <c r="G15" s="294">
        <f t="shared" si="7"/>
        <v>14.5</v>
      </c>
      <c r="H15" s="295">
        <f>TH!$B$27</f>
        <v>225</v>
      </c>
      <c r="I15" s="296">
        <f t="shared" si="0"/>
        <v>7.7834482758620685E-3</v>
      </c>
      <c r="J15" s="297">
        <f t="shared" si="1"/>
        <v>0.99609301130137773</v>
      </c>
      <c r="K15" s="298">
        <f t="shared" si="2"/>
        <v>0.50356743226686085</v>
      </c>
      <c r="L15" s="295">
        <v>10</v>
      </c>
      <c r="M15" s="295">
        <v>150</v>
      </c>
      <c r="N15" s="298">
        <f t="shared" si="3"/>
        <v>5.2333333333333334</v>
      </c>
      <c r="O15" s="299">
        <f t="shared" si="4"/>
        <v>0.52333333333333332</v>
      </c>
      <c r="P15" s="161" t="str">
        <f t="shared" si="5"/>
        <v>Ø10a150</v>
      </c>
      <c r="Q15" s="162">
        <f>VLOOKUP(P15,'tra thep'!$E$11:$F$62,2,)</f>
        <v>5.23</v>
      </c>
      <c r="R15" s="130">
        <f t="shared" si="6"/>
        <v>15</v>
      </c>
    </row>
    <row r="16" spans="1:18" ht="18.75">
      <c r="A16" s="109"/>
      <c r="B16" s="568"/>
      <c r="C16" s="290" t="s">
        <v>279</v>
      </c>
      <c r="D16" s="345">
        <f>'momen 1p'!H12*100</f>
        <v>22572</v>
      </c>
      <c r="E16" s="292">
        <v>10</v>
      </c>
      <c r="F16" s="293">
        <v>100</v>
      </c>
      <c r="G16" s="294">
        <f t="shared" si="7"/>
        <v>14.5</v>
      </c>
      <c r="H16" s="295">
        <f>TH!$B$27</f>
        <v>225</v>
      </c>
      <c r="I16" s="296">
        <f t="shared" si="0"/>
        <v>1.5566896551724137E-2</v>
      </c>
      <c r="J16" s="297">
        <f t="shared" si="1"/>
        <v>0.99215500782186283</v>
      </c>
      <c r="K16" s="298">
        <f t="shared" si="2"/>
        <v>1.0111323251821154</v>
      </c>
      <c r="L16" s="295">
        <v>10</v>
      </c>
      <c r="M16" s="295">
        <v>150</v>
      </c>
      <c r="N16" s="298">
        <f t="shared" si="3"/>
        <v>5.2333333333333334</v>
      </c>
      <c r="O16" s="299">
        <f t="shared" si="4"/>
        <v>0.52333333333333332</v>
      </c>
      <c r="P16" s="161" t="str">
        <f t="shared" si="5"/>
        <v>Ø10a150</v>
      </c>
      <c r="Q16" s="162">
        <f>VLOOKUP(P16,'tra thep'!$E$11:$F$62,2,)</f>
        <v>5.23</v>
      </c>
      <c r="R16" s="130">
        <f t="shared" si="6"/>
        <v>15</v>
      </c>
    </row>
    <row r="17" spans="1:18" ht="18.75">
      <c r="A17" s="90"/>
      <c r="B17" s="567" t="s">
        <v>478</v>
      </c>
      <c r="C17" s="290" t="s">
        <v>277</v>
      </c>
      <c r="D17" s="345">
        <f>'momen 1p'!H13*100</f>
        <v>1707</v>
      </c>
      <c r="E17" s="292">
        <v>10</v>
      </c>
      <c r="F17" s="293">
        <v>100</v>
      </c>
      <c r="G17" s="294">
        <f t="shared" si="7"/>
        <v>14.5</v>
      </c>
      <c r="H17" s="295">
        <f>TH!$B$27</f>
        <v>225</v>
      </c>
      <c r="I17" s="296">
        <f t="shared" si="0"/>
        <v>1.1772413793103447E-3</v>
      </c>
      <c r="J17" s="297">
        <f t="shared" si="1"/>
        <v>0.99941103242754337</v>
      </c>
      <c r="K17" s="298">
        <f t="shared" si="2"/>
        <v>7.591137600551448E-2</v>
      </c>
      <c r="L17" s="295">
        <v>10</v>
      </c>
      <c r="M17" s="295">
        <v>150</v>
      </c>
      <c r="N17" s="298">
        <f t="shared" si="3"/>
        <v>5.2333333333333334</v>
      </c>
      <c r="O17" s="299">
        <f>N17/E17</f>
        <v>0.52333333333333332</v>
      </c>
      <c r="P17" s="91"/>
      <c r="Q17" s="107"/>
      <c r="R17" s="91"/>
    </row>
    <row r="18" spans="1:18" ht="18.75">
      <c r="A18" s="90"/>
      <c r="B18" s="568"/>
      <c r="C18" s="290" t="s">
        <v>279</v>
      </c>
      <c r="D18" s="345">
        <f>'momen 1p'!H14*100</f>
        <v>3414</v>
      </c>
      <c r="E18" s="292">
        <v>10</v>
      </c>
      <c r="F18" s="293">
        <v>100</v>
      </c>
      <c r="G18" s="294">
        <f t="shared" si="7"/>
        <v>14.5</v>
      </c>
      <c r="H18" s="295">
        <f>TH!$B$27</f>
        <v>225</v>
      </c>
      <c r="I18" s="296">
        <f t="shared" si="0"/>
        <v>2.3544827586206895E-3</v>
      </c>
      <c r="J18" s="297">
        <f t="shared" si="1"/>
        <v>0.99882136945071798</v>
      </c>
      <c r="K18" s="298">
        <f t="shared" si="2"/>
        <v>0.15191238190746367</v>
      </c>
      <c r="L18" s="295">
        <v>10</v>
      </c>
      <c r="M18" s="295">
        <v>150</v>
      </c>
      <c r="N18" s="298">
        <f t="shared" si="3"/>
        <v>5.2333333333333334</v>
      </c>
      <c r="O18" s="299">
        <f>N18/E18</f>
        <v>0.52333333333333332</v>
      </c>
      <c r="P18" s="91"/>
      <c r="Q18" s="107"/>
      <c r="R18" s="91"/>
    </row>
    <row r="19" spans="1:18" ht="18.75">
      <c r="A19" s="90"/>
      <c r="B19" s="567" t="s">
        <v>479</v>
      </c>
      <c r="C19" s="290" t="s">
        <v>277</v>
      </c>
      <c r="D19" s="345">
        <f>'momen 1p'!H15*100</f>
        <v>1707</v>
      </c>
      <c r="E19" s="292">
        <v>10</v>
      </c>
      <c r="F19" s="293">
        <v>100</v>
      </c>
      <c r="G19" s="294">
        <f t="shared" si="7"/>
        <v>14.5</v>
      </c>
      <c r="H19" s="295">
        <f>TH!$B$27</f>
        <v>225</v>
      </c>
      <c r="I19" s="296">
        <f t="shared" si="0"/>
        <v>1.1772413793103447E-3</v>
      </c>
      <c r="J19" s="297">
        <f t="shared" si="1"/>
        <v>0.99941103242754337</v>
      </c>
      <c r="K19" s="298">
        <f t="shared" si="2"/>
        <v>7.591137600551448E-2</v>
      </c>
      <c r="L19" s="295">
        <v>10</v>
      </c>
      <c r="M19" s="295">
        <v>150</v>
      </c>
      <c r="N19" s="298">
        <f t="shared" si="3"/>
        <v>5.2333333333333334</v>
      </c>
      <c r="O19" s="299">
        <f>N19/E19</f>
        <v>0.52333333333333332</v>
      </c>
      <c r="P19" s="91"/>
      <c r="Q19" s="107"/>
      <c r="R19" s="91"/>
    </row>
    <row r="20" spans="1:18" ht="18.75">
      <c r="A20" s="90"/>
      <c r="B20" s="568"/>
      <c r="C20" s="290" t="s">
        <v>279</v>
      </c>
      <c r="D20" s="345">
        <f>'momen 1p'!H16*100</f>
        <v>3414</v>
      </c>
      <c r="E20" s="292">
        <v>10</v>
      </c>
      <c r="F20" s="293">
        <v>100</v>
      </c>
      <c r="G20" s="294">
        <f t="shared" si="7"/>
        <v>14.5</v>
      </c>
      <c r="H20" s="295">
        <f>TH!$B$27</f>
        <v>225</v>
      </c>
      <c r="I20" s="296">
        <f t="shared" si="0"/>
        <v>2.3544827586206895E-3</v>
      </c>
      <c r="J20" s="297">
        <f t="shared" si="1"/>
        <v>0.99882136945071798</v>
      </c>
      <c r="K20" s="298">
        <f t="shared" si="2"/>
        <v>0.15191238190746367</v>
      </c>
      <c r="L20" s="295">
        <v>10</v>
      </c>
      <c r="M20" s="295">
        <v>150</v>
      </c>
      <c r="N20" s="298">
        <f t="shared" si="3"/>
        <v>5.2333333333333334</v>
      </c>
      <c r="O20" s="299">
        <f>N20/E20</f>
        <v>0.52333333333333332</v>
      </c>
      <c r="P20" s="91"/>
      <c r="Q20" s="107"/>
      <c r="R20" s="91"/>
    </row>
    <row r="21" spans="1:18">
      <c r="A21" s="90"/>
      <c r="B21" s="91"/>
      <c r="C21" s="91"/>
      <c r="D21" s="91"/>
      <c r="E21" s="91"/>
      <c r="F21" s="91"/>
      <c r="G21" s="91"/>
      <c r="H21" s="91"/>
      <c r="I21" s="94"/>
      <c r="J21" s="91"/>
      <c r="K21" s="91"/>
      <c r="L21" s="91"/>
      <c r="M21" s="100"/>
      <c r="N21" s="91"/>
      <c r="O21" s="92"/>
      <c r="P21" s="91"/>
      <c r="Q21" s="107"/>
      <c r="R21" s="91"/>
    </row>
    <row r="22" spans="1:18">
      <c r="A22" s="90"/>
      <c r="B22" s="91"/>
      <c r="C22" s="91"/>
      <c r="D22" s="91"/>
      <c r="E22" s="91"/>
      <c r="F22" s="91"/>
      <c r="G22" s="91"/>
      <c r="H22" s="91"/>
      <c r="I22" s="94"/>
      <c r="J22" s="91"/>
      <c r="K22" s="91"/>
      <c r="L22" s="91"/>
      <c r="M22" s="91"/>
      <c r="N22" s="91"/>
      <c r="O22" s="92"/>
      <c r="P22" s="91"/>
      <c r="Q22" s="107"/>
      <c r="R22" s="91"/>
    </row>
    <row r="23" spans="1:18">
      <c r="A23" s="90"/>
      <c r="B23" s="91"/>
      <c r="C23" s="91"/>
      <c r="D23" s="91"/>
      <c r="E23" s="91"/>
      <c r="F23" s="91"/>
      <c r="G23" s="91"/>
      <c r="H23" s="91"/>
      <c r="I23" s="94"/>
      <c r="J23" s="91"/>
      <c r="K23" s="91"/>
      <c r="L23" s="91"/>
      <c r="M23" s="91"/>
      <c r="N23" s="91"/>
      <c r="O23" s="92"/>
      <c r="P23" s="91"/>
      <c r="Q23" s="107"/>
      <c r="R23" s="91"/>
    </row>
    <row r="24" spans="1:18">
      <c r="A24" s="90"/>
      <c r="B24" s="91"/>
      <c r="C24" s="91"/>
      <c r="D24" s="91"/>
      <c r="E24" s="91"/>
      <c r="F24" s="91"/>
      <c r="G24" s="91"/>
      <c r="H24" s="91"/>
      <c r="I24" s="94"/>
      <c r="J24" s="91"/>
      <c r="K24" s="91"/>
      <c r="L24" s="91"/>
      <c r="M24" s="91"/>
      <c r="N24" s="91"/>
      <c r="O24" s="92"/>
      <c r="P24" s="91"/>
      <c r="Q24" s="107"/>
      <c r="R24" s="91"/>
    </row>
    <row r="25" spans="1:18">
      <c r="A25" s="90"/>
      <c r="B25" s="91"/>
      <c r="C25" s="91"/>
      <c r="D25" s="91"/>
      <c r="E25" s="91"/>
      <c r="F25" s="91"/>
      <c r="G25" s="91"/>
      <c r="H25" s="91"/>
      <c r="I25" s="94"/>
      <c r="J25" s="91"/>
      <c r="K25" s="91"/>
      <c r="L25" s="91"/>
      <c r="M25" s="91"/>
      <c r="N25" s="91"/>
      <c r="O25" s="92"/>
      <c r="P25" s="91"/>
      <c r="Q25" s="107"/>
      <c r="R25" s="91"/>
    </row>
    <row r="26" spans="1:18">
      <c r="A26" s="90"/>
      <c r="B26" s="91"/>
      <c r="C26" s="91"/>
      <c r="D26" s="91"/>
      <c r="E26" s="91"/>
      <c r="F26" s="91"/>
      <c r="G26" s="91"/>
      <c r="H26" s="91"/>
      <c r="I26" s="94"/>
      <c r="J26" s="91"/>
      <c r="K26" s="91"/>
      <c r="L26" s="91"/>
      <c r="M26" s="91"/>
      <c r="N26" s="91"/>
      <c r="O26" s="92"/>
      <c r="P26" s="91"/>
      <c r="Q26" s="107"/>
      <c r="R26" s="91"/>
    </row>
    <row r="27" spans="1:18">
      <c r="A27" s="90"/>
      <c r="B27" s="91"/>
      <c r="C27" s="91"/>
      <c r="D27" s="91"/>
      <c r="E27" s="91"/>
      <c r="F27" s="91"/>
      <c r="G27" s="91"/>
      <c r="H27" s="91"/>
      <c r="I27" s="94"/>
      <c r="J27" s="91"/>
      <c r="K27" s="91"/>
      <c r="L27" s="91"/>
      <c r="M27" s="91"/>
      <c r="N27" s="91"/>
      <c r="O27" s="92"/>
      <c r="P27" s="91"/>
      <c r="Q27" s="107"/>
      <c r="R27" s="91"/>
    </row>
    <row r="28" spans="1:18">
      <c r="A28" s="90"/>
      <c r="B28" s="91"/>
      <c r="C28" s="91"/>
      <c r="D28" s="91"/>
      <c r="E28" s="91"/>
      <c r="F28" s="91"/>
      <c r="G28" s="91"/>
      <c r="H28" s="91"/>
      <c r="I28" s="94"/>
      <c r="J28" s="91"/>
      <c r="K28" s="91"/>
      <c r="L28" s="91"/>
      <c r="M28" s="91"/>
      <c r="N28" s="91"/>
      <c r="O28" s="92"/>
      <c r="P28" s="91"/>
      <c r="Q28" s="107"/>
      <c r="R28" s="91"/>
    </row>
    <row r="29" spans="1:18">
      <c r="A29" s="90"/>
      <c r="B29" s="91"/>
      <c r="C29" s="91"/>
      <c r="D29" s="91"/>
      <c r="E29" s="91"/>
      <c r="F29" s="91"/>
      <c r="G29" s="91"/>
      <c r="H29" s="91"/>
      <c r="I29" s="94"/>
      <c r="J29" s="91"/>
      <c r="K29" s="91"/>
      <c r="L29" s="91"/>
      <c r="M29" s="91"/>
      <c r="N29" s="91"/>
      <c r="O29" s="92"/>
      <c r="P29" s="91"/>
      <c r="Q29" s="107"/>
      <c r="R29" s="91"/>
    </row>
    <row r="30" spans="1:18">
      <c r="A30" s="90"/>
      <c r="B30" s="91"/>
      <c r="C30" s="91"/>
      <c r="D30" s="91"/>
      <c r="E30" s="91"/>
      <c r="F30" s="91"/>
      <c r="G30" s="91"/>
      <c r="H30" s="91"/>
      <c r="I30" s="94"/>
      <c r="J30" s="91"/>
      <c r="K30" s="91"/>
      <c r="L30" s="91"/>
      <c r="M30" s="91"/>
      <c r="N30" s="91"/>
      <c r="O30" s="92"/>
      <c r="P30" s="91"/>
      <c r="Q30" s="107"/>
      <c r="R30" s="91"/>
    </row>
    <row r="31" spans="1:18">
      <c r="A31" s="90"/>
      <c r="B31" s="91"/>
      <c r="C31" s="91"/>
      <c r="D31" s="91"/>
      <c r="E31" s="91"/>
      <c r="F31" s="91"/>
      <c r="G31" s="91"/>
      <c r="H31" s="91"/>
      <c r="I31" s="94"/>
      <c r="J31" s="91"/>
      <c r="K31" s="91"/>
      <c r="L31" s="91"/>
      <c r="M31" s="91"/>
      <c r="N31" s="91"/>
      <c r="O31" s="92"/>
      <c r="P31" s="91"/>
      <c r="Q31" s="107"/>
      <c r="R31" s="91"/>
    </row>
    <row r="32" spans="1:18">
      <c r="A32" s="90"/>
      <c r="B32" s="91"/>
      <c r="C32" s="91"/>
      <c r="D32" s="91"/>
      <c r="E32" s="91"/>
      <c r="F32" s="91"/>
      <c r="G32" s="91"/>
      <c r="H32" s="91"/>
      <c r="I32" s="94"/>
      <c r="J32" s="91"/>
      <c r="K32" s="91"/>
      <c r="L32" s="91"/>
      <c r="M32" s="91"/>
      <c r="N32" s="91"/>
      <c r="O32" s="92"/>
      <c r="P32" s="91"/>
      <c r="Q32" s="107"/>
      <c r="R32" s="91"/>
    </row>
    <row r="33" spans="1:18">
      <c r="A33" s="90"/>
      <c r="B33" s="91"/>
      <c r="C33" s="91"/>
      <c r="D33" s="91"/>
      <c r="E33" s="91"/>
      <c r="F33" s="91"/>
      <c r="G33" s="91"/>
      <c r="H33" s="91"/>
      <c r="I33" s="94"/>
      <c r="J33" s="91"/>
      <c r="K33" s="91"/>
      <c r="L33" s="91"/>
      <c r="M33" s="91"/>
      <c r="N33" s="91"/>
      <c r="O33" s="92"/>
      <c r="P33" s="91"/>
      <c r="Q33" s="107"/>
      <c r="R33" s="91"/>
    </row>
    <row r="34" spans="1:18">
      <c r="A34" s="90"/>
      <c r="B34" s="91"/>
      <c r="C34" s="91"/>
      <c r="D34" s="91"/>
      <c r="E34" s="91"/>
      <c r="F34" s="91"/>
      <c r="G34" s="91"/>
      <c r="H34" s="91"/>
      <c r="I34" s="94"/>
      <c r="J34" s="91"/>
      <c r="K34" s="91"/>
      <c r="L34" s="91"/>
      <c r="M34" s="91"/>
      <c r="N34" s="91"/>
      <c r="O34" s="92"/>
      <c r="P34" s="91"/>
      <c r="Q34" s="107"/>
      <c r="R34" s="91"/>
    </row>
    <row r="35" spans="1:18">
      <c r="A35" s="90"/>
      <c r="B35" s="91"/>
      <c r="C35" s="91"/>
      <c r="D35" s="91"/>
      <c r="E35" s="91"/>
      <c r="F35" s="91"/>
      <c r="G35" s="91"/>
      <c r="H35" s="91"/>
      <c r="I35" s="94"/>
      <c r="J35" s="91"/>
      <c r="K35" s="91"/>
      <c r="L35" s="91"/>
      <c r="M35" s="91"/>
      <c r="N35" s="91"/>
      <c r="O35" s="92"/>
      <c r="P35" s="91"/>
      <c r="Q35" s="107"/>
      <c r="R35" s="91"/>
    </row>
    <row r="36" spans="1:18">
      <c r="A36" s="90"/>
      <c r="B36" s="91"/>
      <c r="C36" s="91"/>
      <c r="D36" s="91"/>
      <c r="E36" s="91"/>
      <c r="F36" s="91"/>
      <c r="G36" s="91"/>
      <c r="H36" s="91"/>
      <c r="I36" s="94"/>
      <c r="J36" s="91"/>
      <c r="K36" s="91"/>
      <c r="L36" s="91"/>
      <c r="M36" s="91"/>
      <c r="N36" s="91"/>
      <c r="O36" s="92"/>
      <c r="P36" s="91"/>
      <c r="Q36" s="107"/>
      <c r="R36" s="91"/>
    </row>
    <row r="37" spans="1:18">
      <c r="A37" s="90"/>
      <c r="B37" s="91"/>
      <c r="C37" s="91"/>
      <c r="D37" s="91"/>
      <c r="E37" s="91"/>
      <c r="F37" s="91"/>
      <c r="G37" s="91"/>
      <c r="H37" s="91"/>
      <c r="I37" s="94"/>
      <c r="J37" s="91"/>
      <c r="K37" s="91"/>
      <c r="L37" s="91"/>
      <c r="M37" s="91"/>
      <c r="N37" s="91"/>
      <c r="O37" s="92"/>
      <c r="P37" s="91"/>
      <c r="Q37" s="107"/>
      <c r="R37" s="91"/>
    </row>
    <row r="38" spans="1:18">
      <c r="A38" s="90"/>
      <c r="B38" s="91"/>
      <c r="C38" s="91"/>
      <c r="D38" s="91"/>
      <c r="E38" s="91"/>
      <c r="F38" s="91"/>
      <c r="G38" s="91"/>
      <c r="H38" s="91"/>
      <c r="I38" s="94"/>
      <c r="J38" s="91"/>
      <c r="K38" s="91"/>
      <c r="L38" s="91"/>
      <c r="M38" s="91"/>
      <c r="N38" s="91"/>
      <c r="O38" s="92"/>
      <c r="P38" s="91"/>
      <c r="Q38" s="107"/>
      <c r="R38" s="91"/>
    </row>
    <row r="39" spans="1:18">
      <c r="A39" s="90"/>
      <c r="B39" s="91"/>
      <c r="C39" s="91"/>
      <c r="D39" s="91"/>
      <c r="E39" s="91"/>
      <c r="F39" s="91"/>
      <c r="G39" s="91"/>
      <c r="H39" s="91"/>
      <c r="I39" s="94"/>
      <c r="J39" s="91"/>
      <c r="K39" s="91"/>
      <c r="L39" s="91"/>
      <c r="M39" s="91"/>
      <c r="N39" s="91"/>
      <c r="O39" s="92"/>
      <c r="P39" s="91"/>
      <c r="Q39" s="107"/>
      <c r="R39" s="91"/>
    </row>
    <row r="40" spans="1:18">
      <c r="A40" s="90"/>
      <c r="B40" s="91"/>
      <c r="C40" s="91"/>
      <c r="D40" s="91"/>
      <c r="E40" s="91"/>
      <c r="F40" s="91"/>
      <c r="G40" s="91"/>
      <c r="H40" s="91"/>
      <c r="I40" s="94"/>
      <c r="J40" s="91"/>
      <c r="K40" s="91"/>
      <c r="L40" s="91"/>
      <c r="M40" s="91"/>
      <c r="N40" s="91"/>
      <c r="O40" s="92"/>
      <c r="P40" s="91"/>
      <c r="Q40" s="107"/>
      <c r="R40" s="91"/>
    </row>
    <row r="41" spans="1:18">
      <c r="A41" s="90"/>
      <c r="B41" s="91"/>
      <c r="C41" s="91"/>
      <c r="D41" s="91"/>
      <c r="E41" s="91"/>
      <c r="F41" s="91"/>
      <c r="G41" s="91"/>
      <c r="H41" s="91"/>
      <c r="I41" s="94"/>
      <c r="J41" s="91"/>
      <c r="K41" s="91"/>
      <c r="L41" s="91"/>
      <c r="M41" s="91"/>
      <c r="N41" s="91"/>
      <c r="O41" s="92"/>
      <c r="P41" s="91"/>
      <c r="Q41" s="107"/>
      <c r="R41" s="91"/>
    </row>
    <row r="42" spans="1:18">
      <c r="A42" s="90"/>
      <c r="B42" s="90"/>
      <c r="C42" s="90"/>
      <c r="D42" s="90"/>
      <c r="E42" s="90"/>
      <c r="F42" s="90"/>
      <c r="G42" s="90"/>
      <c r="H42" s="90"/>
      <c r="I42" s="93"/>
      <c r="J42" s="90"/>
      <c r="K42" s="90"/>
      <c r="L42" s="90"/>
      <c r="M42" s="90"/>
      <c r="N42" s="90"/>
      <c r="O42" s="89"/>
      <c r="P42" s="90"/>
      <c r="Q42" s="101"/>
      <c r="R42" s="90"/>
    </row>
    <row r="43" spans="1:18">
      <c r="A43" s="90"/>
      <c r="B43" s="90"/>
      <c r="C43" s="90"/>
      <c r="D43" s="90"/>
      <c r="E43" s="90"/>
      <c r="F43" s="90"/>
      <c r="G43" s="90"/>
      <c r="H43" s="90"/>
      <c r="I43" s="93"/>
      <c r="J43" s="90"/>
      <c r="K43" s="90"/>
      <c r="L43" s="90"/>
      <c r="M43" s="90"/>
      <c r="N43" s="90"/>
      <c r="O43" s="89"/>
      <c r="P43" s="90"/>
      <c r="Q43" s="101"/>
      <c r="R43" s="90"/>
    </row>
    <row r="44" spans="1:18">
      <c r="A44" s="90"/>
      <c r="B44" s="90"/>
      <c r="C44" s="90"/>
      <c r="D44" s="90"/>
      <c r="E44" s="90"/>
      <c r="F44" s="90"/>
      <c r="G44" s="90"/>
      <c r="H44" s="90"/>
      <c r="I44" s="93"/>
      <c r="J44" s="90"/>
      <c r="K44" s="90"/>
      <c r="L44" s="90"/>
      <c r="M44" s="90"/>
      <c r="N44" s="90"/>
      <c r="O44" s="89"/>
      <c r="P44" s="90"/>
      <c r="Q44" s="101"/>
      <c r="R44" s="90"/>
    </row>
    <row r="45" spans="1:18">
      <c r="A45" s="90"/>
      <c r="B45" s="90"/>
      <c r="C45" s="90"/>
      <c r="D45" s="90"/>
      <c r="E45" s="90"/>
      <c r="F45" s="90"/>
      <c r="G45" s="90"/>
      <c r="H45" s="90"/>
      <c r="I45" s="93"/>
      <c r="J45" s="90"/>
      <c r="K45" s="90"/>
      <c r="L45" s="90"/>
      <c r="M45" s="90"/>
      <c r="N45" s="90"/>
      <c r="O45" s="89"/>
      <c r="P45" s="90"/>
      <c r="Q45" s="101"/>
      <c r="R45" s="90"/>
    </row>
    <row r="46" spans="1:18">
      <c r="A46" s="90"/>
      <c r="B46" s="90"/>
      <c r="C46" s="90"/>
      <c r="D46" s="90"/>
      <c r="E46" s="90"/>
      <c r="F46" s="90"/>
      <c r="G46" s="90"/>
      <c r="H46" s="90"/>
      <c r="I46" s="93"/>
      <c r="J46" s="90"/>
      <c r="K46" s="90"/>
      <c r="L46" s="90"/>
      <c r="M46" s="90"/>
      <c r="N46" s="90"/>
      <c r="O46" s="89"/>
      <c r="P46" s="90"/>
      <c r="Q46" s="101"/>
      <c r="R46" s="90"/>
    </row>
    <row r="47" spans="1:18">
      <c r="A47" s="90"/>
      <c r="B47" s="90"/>
      <c r="C47" s="90"/>
      <c r="D47" s="90"/>
      <c r="E47" s="90"/>
      <c r="F47" s="90"/>
      <c r="G47" s="90"/>
      <c r="H47" s="90"/>
      <c r="I47" s="93"/>
      <c r="J47" s="90"/>
      <c r="K47" s="90"/>
      <c r="L47" s="90"/>
      <c r="M47" s="90"/>
      <c r="N47" s="90"/>
      <c r="O47" s="89"/>
      <c r="P47" s="90"/>
      <c r="Q47" s="101"/>
      <c r="R47" s="90"/>
    </row>
    <row r="48" spans="1:18">
      <c r="A48" s="90"/>
      <c r="B48" s="90"/>
      <c r="C48" s="90"/>
      <c r="D48" s="90"/>
      <c r="E48" s="90"/>
      <c r="F48" s="90"/>
      <c r="G48" s="90"/>
      <c r="H48" s="90"/>
      <c r="I48" s="93"/>
      <c r="J48" s="90"/>
      <c r="K48" s="90"/>
      <c r="L48" s="90"/>
      <c r="M48" s="90"/>
      <c r="N48" s="90"/>
      <c r="O48" s="89"/>
      <c r="P48" s="90"/>
      <c r="Q48" s="101"/>
      <c r="R48" s="90"/>
    </row>
    <row r="49" spans="1:18">
      <c r="A49" s="90"/>
      <c r="B49" s="90"/>
      <c r="C49" s="90"/>
      <c r="D49" s="90"/>
      <c r="E49" s="90"/>
      <c r="F49" s="90"/>
      <c r="G49" s="90"/>
      <c r="H49" s="90"/>
      <c r="I49" s="93"/>
      <c r="J49" s="90"/>
      <c r="K49" s="90"/>
      <c r="L49" s="90"/>
      <c r="M49" s="90"/>
      <c r="N49" s="90"/>
      <c r="O49" s="89"/>
      <c r="P49" s="90"/>
      <c r="Q49" s="101"/>
      <c r="R49" s="90"/>
    </row>
    <row r="50" spans="1:18">
      <c r="A50" s="90"/>
      <c r="B50" s="90"/>
      <c r="C50" s="90"/>
      <c r="D50" s="90"/>
      <c r="E50" s="90"/>
      <c r="F50" s="90"/>
      <c r="G50" s="90"/>
      <c r="H50" s="90"/>
      <c r="I50" s="93"/>
      <c r="J50" s="90"/>
      <c r="K50" s="90"/>
      <c r="L50" s="90"/>
      <c r="M50" s="90"/>
      <c r="N50" s="90"/>
      <c r="O50" s="89"/>
      <c r="P50" s="90"/>
      <c r="Q50" s="101"/>
      <c r="R50" s="90"/>
    </row>
    <row r="51" spans="1:18">
      <c r="A51" s="90"/>
      <c r="B51" s="90"/>
      <c r="C51" s="90"/>
      <c r="D51" s="90"/>
      <c r="E51" s="90"/>
      <c r="F51" s="90"/>
      <c r="G51" s="90"/>
      <c r="H51" s="90"/>
      <c r="I51" s="93"/>
      <c r="J51" s="90"/>
      <c r="K51" s="90"/>
      <c r="L51" s="90"/>
      <c r="M51" s="90"/>
      <c r="N51" s="90"/>
      <c r="O51" s="89"/>
      <c r="P51" s="90"/>
      <c r="Q51" s="101"/>
      <c r="R51" s="90"/>
    </row>
    <row r="52" spans="1:18">
      <c r="A52" s="90"/>
      <c r="B52" s="90"/>
      <c r="C52" s="90"/>
      <c r="D52" s="90"/>
      <c r="E52" s="90"/>
      <c r="F52" s="90"/>
      <c r="G52" s="90"/>
      <c r="H52" s="90"/>
      <c r="I52" s="93"/>
      <c r="J52" s="90"/>
      <c r="K52" s="90"/>
      <c r="L52" s="90"/>
      <c r="M52" s="90"/>
      <c r="N52" s="90"/>
      <c r="O52" s="89"/>
      <c r="P52" s="90"/>
      <c r="Q52" s="101"/>
      <c r="R52" s="90"/>
    </row>
    <row r="53" spans="1:18">
      <c r="A53" s="90"/>
      <c r="B53" s="90"/>
      <c r="C53" s="90"/>
      <c r="D53" s="90"/>
      <c r="E53" s="90"/>
      <c r="F53" s="90"/>
      <c r="G53" s="90"/>
      <c r="H53" s="90"/>
      <c r="I53" s="93"/>
      <c r="J53" s="90"/>
      <c r="K53" s="90"/>
      <c r="L53" s="90"/>
      <c r="M53" s="90"/>
      <c r="N53" s="90"/>
      <c r="O53" s="89"/>
      <c r="P53" s="90"/>
      <c r="Q53" s="101"/>
      <c r="R53" s="90"/>
    </row>
    <row r="54" spans="1:18">
      <c r="A54" s="90"/>
      <c r="B54" s="90"/>
      <c r="C54" s="90"/>
      <c r="D54" s="90"/>
      <c r="E54" s="90"/>
      <c r="F54" s="90"/>
      <c r="G54" s="90"/>
      <c r="H54" s="90"/>
      <c r="I54" s="93"/>
      <c r="J54" s="90"/>
      <c r="K54" s="90"/>
      <c r="L54" s="90"/>
      <c r="M54" s="90"/>
      <c r="N54" s="90"/>
      <c r="O54" s="89"/>
      <c r="P54" s="90"/>
      <c r="Q54" s="101"/>
      <c r="R54" s="90"/>
    </row>
    <row r="55" spans="1:18">
      <c r="A55" s="90"/>
      <c r="B55" s="90"/>
      <c r="C55" s="90"/>
      <c r="D55" s="90"/>
      <c r="E55" s="90"/>
      <c r="F55" s="90"/>
      <c r="G55" s="90"/>
      <c r="H55" s="90"/>
      <c r="I55" s="93"/>
      <c r="J55" s="90"/>
      <c r="K55" s="90"/>
      <c r="L55" s="90"/>
      <c r="M55" s="90"/>
      <c r="N55" s="90"/>
      <c r="O55" s="89"/>
      <c r="P55" s="90"/>
      <c r="Q55" s="101"/>
      <c r="R55" s="90"/>
    </row>
    <row r="56" spans="1:18">
      <c r="A56" s="90"/>
      <c r="B56" s="90"/>
      <c r="C56" s="90"/>
      <c r="D56" s="90"/>
      <c r="E56" s="90"/>
      <c r="F56" s="90"/>
      <c r="G56" s="90"/>
      <c r="H56" s="90"/>
      <c r="I56" s="93"/>
      <c r="J56" s="90"/>
      <c r="K56" s="90"/>
      <c r="L56" s="90"/>
      <c r="M56" s="90"/>
      <c r="N56" s="90"/>
      <c r="O56" s="89"/>
      <c r="P56" s="90"/>
      <c r="Q56" s="101"/>
      <c r="R56" s="90"/>
    </row>
  </sheetData>
  <mergeCells count="5">
    <mergeCell ref="B11:B12"/>
    <mergeCell ref="B13:B14"/>
    <mergeCell ref="B15:B16"/>
    <mergeCell ref="B17:B18"/>
    <mergeCell ref="B19:B20"/>
  </mergeCells>
  <conditionalFormatting sqref="N11:N16">
    <cfRule type="cellIs" dxfId="5" priority="6" operator="lessThan">
      <formula>$K$11</formula>
    </cfRule>
  </conditionalFormatting>
  <conditionalFormatting sqref="N12">
    <cfRule type="cellIs" dxfId="4" priority="4" operator="lessThan">
      <formula>$K$12</formula>
    </cfRule>
  </conditionalFormatting>
  <conditionalFormatting sqref="N13">
    <cfRule type="cellIs" dxfId="3" priority="3" operator="lessThan">
      <formula>$K$13</formula>
    </cfRule>
  </conditionalFormatting>
  <conditionalFormatting sqref="N17:N18">
    <cfRule type="cellIs" dxfId="2" priority="2" operator="lessThan">
      <formula>$K$11</formula>
    </cfRule>
  </conditionalFormatting>
  <conditionalFormatting sqref="N19:N20">
    <cfRule type="cellIs" dxfId="1" priority="1" operator="lessThan">
      <formula>$K$11</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dimension ref="A1:T145"/>
  <sheetViews>
    <sheetView topLeftCell="A5" workbookViewId="0">
      <selection activeCell="F20" sqref="F20"/>
    </sheetView>
  </sheetViews>
  <sheetFormatPr defaultRowHeight="15"/>
  <cols>
    <col min="4" max="4" width="0" hidden="1" customWidth="1"/>
  </cols>
  <sheetData>
    <row r="1" spans="1:20">
      <c r="A1" s="569" t="s">
        <v>455</v>
      </c>
      <c r="B1" s="569"/>
      <c r="C1" s="569"/>
      <c r="D1" s="281"/>
      <c r="E1" s="200"/>
      <c r="F1" s="200"/>
      <c r="G1" s="200"/>
      <c r="H1" s="190"/>
      <c r="I1" s="200"/>
      <c r="J1" s="191"/>
      <c r="K1" s="191"/>
      <c r="L1" s="191"/>
      <c r="M1" s="191"/>
      <c r="N1" s="191"/>
      <c r="O1" s="191"/>
      <c r="P1" s="191"/>
      <c r="Q1" s="191"/>
      <c r="R1" s="191"/>
      <c r="S1" s="191"/>
      <c r="T1" s="191"/>
    </row>
    <row r="2" spans="1:20" ht="15.75">
      <c r="A2" s="190"/>
      <c r="B2" s="207" t="s">
        <v>456</v>
      </c>
      <c r="C2" s="206">
        <v>9</v>
      </c>
      <c r="D2" s="240"/>
      <c r="E2" s="190"/>
      <c r="F2" s="190"/>
      <c r="G2" s="190"/>
      <c r="H2" s="190"/>
      <c r="I2" s="190"/>
      <c r="J2" s="190"/>
      <c r="K2" s="190"/>
      <c r="L2" s="190"/>
      <c r="M2" s="190"/>
      <c r="N2" s="191"/>
      <c r="O2" s="191"/>
      <c r="P2" s="191"/>
      <c r="Q2" s="191"/>
      <c r="R2" s="191"/>
      <c r="S2" s="191"/>
      <c r="T2" s="191"/>
    </row>
    <row r="3" spans="1:20">
      <c r="A3" s="202"/>
      <c r="B3" s="203"/>
      <c r="C3" s="202"/>
      <c r="D3" s="252"/>
      <c r="E3" s="202"/>
      <c r="F3" s="202"/>
      <c r="G3" s="202"/>
      <c r="H3" s="202"/>
      <c r="I3" s="202"/>
      <c r="J3" s="202"/>
      <c r="K3" s="202"/>
      <c r="L3" s="202"/>
      <c r="M3" s="202"/>
      <c r="N3" s="204"/>
      <c r="O3" s="204"/>
      <c r="P3" s="204"/>
      <c r="Q3" s="204"/>
      <c r="R3" s="204"/>
      <c r="S3" s="204"/>
      <c r="T3" s="204"/>
    </row>
    <row r="4" spans="1:20" ht="15.75">
      <c r="A4" s="191"/>
      <c r="B4" s="196"/>
      <c r="C4" s="190"/>
      <c r="D4" s="241"/>
      <c r="E4" s="193" t="s">
        <v>457</v>
      </c>
      <c r="F4" s="191"/>
      <c r="G4" s="191"/>
      <c r="H4" s="191"/>
      <c r="I4" s="191"/>
      <c r="J4" s="191"/>
      <c r="K4" s="191"/>
      <c r="L4" s="191"/>
      <c r="M4" s="191"/>
      <c r="N4" s="191"/>
      <c r="O4" s="191"/>
      <c r="P4" s="191"/>
      <c r="Q4" s="191"/>
      <c r="R4" s="191"/>
      <c r="S4" s="191"/>
      <c r="T4" s="191"/>
    </row>
    <row r="5" spans="1:20">
      <c r="A5" s="191"/>
      <c r="B5" s="196"/>
      <c r="C5" s="191"/>
      <c r="D5" s="243"/>
      <c r="E5" s="191"/>
      <c r="F5" s="191"/>
      <c r="G5" s="191"/>
      <c r="H5" s="191"/>
      <c r="I5" s="191"/>
      <c r="J5" s="191"/>
      <c r="K5" s="191"/>
      <c r="L5" s="191"/>
      <c r="M5" s="191"/>
      <c r="N5" s="191"/>
      <c r="O5" s="191"/>
      <c r="P5" s="191"/>
      <c r="Q5" s="191"/>
      <c r="R5" s="191"/>
      <c r="S5" s="191"/>
      <c r="T5" s="191"/>
    </row>
    <row r="6" spans="1:20" ht="17.25">
      <c r="A6" s="204"/>
      <c r="B6" s="194"/>
      <c r="C6" s="208" t="s">
        <v>458</v>
      </c>
      <c r="D6" s="277"/>
      <c r="E6" s="209" t="s">
        <v>220</v>
      </c>
      <c r="F6" s="210" t="s">
        <v>220</v>
      </c>
      <c r="G6" s="211"/>
      <c r="H6" s="209" t="s">
        <v>384</v>
      </c>
      <c r="I6" s="212" t="s">
        <v>222</v>
      </c>
      <c r="J6" s="212" t="s">
        <v>223</v>
      </c>
      <c r="K6" s="213"/>
      <c r="L6" s="214" t="s">
        <v>459</v>
      </c>
      <c r="M6" s="204"/>
      <c r="N6" s="191"/>
      <c r="O6" s="191"/>
      <c r="P6" s="191"/>
      <c r="Q6" s="191"/>
      <c r="R6" s="191"/>
      <c r="S6" s="191"/>
      <c r="T6" s="191"/>
    </row>
    <row r="7" spans="1:20" ht="17.25">
      <c r="A7" s="191"/>
      <c r="B7" s="195"/>
      <c r="C7" s="215" t="s">
        <v>226</v>
      </c>
      <c r="D7" s="278"/>
      <c r="E7" s="216" t="s">
        <v>227</v>
      </c>
      <c r="F7" s="216" t="s">
        <v>228</v>
      </c>
      <c r="G7" s="217"/>
      <c r="H7" s="218" t="s">
        <v>385</v>
      </c>
      <c r="I7" s="219" t="s">
        <v>229</v>
      </c>
      <c r="J7" s="219" t="s">
        <v>229</v>
      </c>
      <c r="K7" s="220"/>
      <c r="L7" s="221" t="s">
        <v>460</v>
      </c>
      <c r="M7" s="191"/>
      <c r="N7" s="191"/>
      <c r="O7" s="191"/>
      <c r="P7" s="191"/>
      <c r="Q7" s="191"/>
      <c r="R7" s="191"/>
      <c r="S7" s="191"/>
      <c r="T7" s="191"/>
    </row>
    <row r="8" spans="1:20" ht="18.75">
      <c r="A8" s="191"/>
      <c r="B8" s="195"/>
      <c r="C8" s="215" t="s">
        <v>232</v>
      </c>
      <c r="D8" s="278"/>
      <c r="E8" s="218" t="s">
        <v>461</v>
      </c>
      <c r="F8" s="216" t="s">
        <v>462</v>
      </c>
      <c r="G8" s="217"/>
      <c r="H8" s="218" t="s">
        <v>386</v>
      </c>
      <c r="I8" s="219" t="s">
        <v>463</v>
      </c>
      <c r="J8" s="219" t="s">
        <v>464</v>
      </c>
      <c r="K8" s="222"/>
      <c r="L8" s="221" t="s">
        <v>465</v>
      </c>
      <c r="M8" s="191"/>
      <c r="N8" s="191"/>
      <c r="O8" s="191"/>
      <c r="P8" s="191"/>
      <c r="Q8" s="191"/>
      <c r="R8" s="191"/>
      <c r="S8" s="191"/>
      <c r="T8" s="191"/>
    </row>
    <row r="9" spans="1:20" ht="17.25">
      <c r="A9" s="191"/>
      <c r="B9" s="195"/>
      <c r="C9" s="215" t="s">
        <v>239</v>
      </c>
      <c r="D9" s="278"/>
      <c r="E9" s="223"/>
      <c r="F9" s="224"/>
      <c r="G9" s="217"/>
      <c r="H9" s="218" t="s">
        <v>387</v>
      </c>
      <c r="I9" s="225"/>
      <c r="J9" s="225"/>
      <c r="K9" s="222"/>
      <c r="L9" s="221" t="s">
        <v>466</v>
      </c>
      <c r="M9" s="191"/>
      <c r="N9" s="197"/>
      <c r="O9" s="192"/>
      <c r="P9" s="192"/>
      <c r="Q9" s="191"/>
      <c r="R9" s="191"/>
      <c r="S9" s="191"/>
      <c r="T9" s="191"/>
    </row>
    <row r="10" spans="1:20" ht="18">
      <c r="A10" s="191"/>
      <c r="B10" s="195"/>
      <c r="C10" s="226"/>
      <c r="D10" s="279"/>
      <c r="E10" s="227" t="s">
        <v>64</v>
      </c>
      <c r="F10" s="228" t="s">
        <v>64</v>
      </c>
      <c r="G10" s="229"/>
      <c r="H10" s="230"/>
      <c r="I10" s="231" t="s">
        <v>467</v>
      </c>
      <c r="J10" s="231" t="s">
        <v>467</v>
      </c>
      <c r="K10" s="232"/>
      <c r="L10" s="233" t="s">
        <v>468</v>
      </c>
      <c r="M10" s="191"/>
      <c r="N10" s="197"/>
      <c r="O10" s="205"/>
      <c r="P10" s="192"/>
      <c r="Q10" s="191"/>
      <c r="R10" s="191"/>
      <c r="S10" s="191"/>
      <c r="T10" s="191"/>
    </row>
    <row r="11" spans="1:20">
      <c r="A11" s="191"/>
      <c r="B11" s="195"/>
      <c r="C11" s="234">
        <v>1</v>
      </c>
      <c r="D11" s="280"/>
      <c r="E11" s="235">
        <v>2</v>
      </c>
      <c r="F11" s="235">
        <v>3</v>
      </c>
      <c r="G11" s="235">
        <v>4</v>
      </c>
      <c r="H11" s="235">
        <v>5</v>
      </c>
      <c r="I11" s="235">
        <v>6</v>
      </c>
      <c r="J11" s="235">
        <v>7</v>
      </c>
      <c r="K11" s="235">
        <v>8</v>
      </c>
      <c r="L11" s="236">
        <v>9</v>
      </c>
      <c r="M11" s="191"/>
      <c r="N11" s="197"/>
      <c r="O11" s="199"/>
      <c r="P11" s="192"/>
      <c r="Q11" s="191"/>
      <c r="R11" s="191"/>
      <c r="S11" s="191"/>
      <c r="T11" s="191"/>
    </row>
    <row r="12" spans="1:20">
      <c r="A12" s="191"/>
      <c r="B12" s="196"/>
      <c r="C12" s="319" t="s">
        <v>215</v>
      </c>
      <c r="D12" s="320" t="s">
        <v>470</v>
      </c>
      <c r="E12" s="321">
        <f>VLOOKUP(C12,'tải sàn'!$B$5:$F$16,4,0)</f>
        <v>3.8</v>
      </c>
      <c r="F12" s="321">
        <f>VLOOKUP(C12,'tải sàn'!$B$5:$F$16,5,0)</f>
        <v>5.8</v>
      </c>
      <c r="G12" s="322">
        <f>IF(F12/E12&lt;=2,ROUND(F12/E12,2),"1P")</f>
        <v>1.53</v>
      </c>
      <c r="H12" s="323">
        <f>VLOOKUP(G12,'du lieu'!$D$18:$BF$118,HLOOKUP($C$2,'du lieu'!$D$130:$BF$131,2))</f>
        <v>2.068E-2</v>
      </c>
      <c r="I12" s="320">
        <f>VLOOKUP(C12,'tải sàn'!$B$5:$F$16,2,0)</f>
        <v>195.00000000000003</v>
      </c>
      <c r="J12" s="320">
        <f>VLOOKUP(C12,'tải sàn'!$B$5:$F$16,3,0)</f>
        <v>1128</v>
      </c>
      <c r="K12" s="324">
        <f>+(I12+J12)*E12*F12</f>
        <v>29158.92</v>
      </c>
      <c r="L12" s="325">
        <f>H12*K12</f>
        <v>603.00646559999996</v>
      </c>
      <c r="M12" s="191"/>
      <c r="N12" s="198"/>
      <c r="O12" s="205"/>
      <c r="P12" s="192"/>
      <c r="Q12" s="191"/>
      <c r="R12" s="191"/>
      <c r="S12" s="191"/>
      <c r="T12" s="191"/>
    </row>
    <row r="13" spans="1:20">
      <c r="A13" s="191"/>
      <c r="B13" s="196"/>
      <c r="C13" s="326" t="str">
        <f>C12</f>
        <v>S1A</v>
      </c>
      <c r="D13" s="327" t="s">
        <v>471</v>
      </c>
      <c r="E13" s="328"/>
      <c r="F13" s="321"/>
      <c r="G13" s="322"/>
      <c r="H13" s="323">
        <f>VLOOKUP(G12,'du lieu'!$D$18:$BF$118,HLOOKUP($C$2,'du lieu'!$D$133:$BF$134,2))</f>
        <v>8.879999999999999E-3</v>
      </c>
      <c r="I13" s="320"/>
      <c r="J13" s="320"/>
      <c r="K13" s="324"/>
      <c r="L13" s="329">
        <f>H13*K12</f>
        <v>258.93120959999993</v>
      </c>
      <c r="M13" s="191"/>
      <c r="N13" s="197"/>
      <c r="O13" s="199"/>
      <c r="P13" s="192"/>
      <c r="Q13" s="191"/>
      <c r="R13" s="191"/>
      <c r="S13" s="191"/>
      <c r="T13" s="191"/>
    </row>
    <row r="14" spans="1:20">
      <c r="A14" s="191"/>
      <c r="B14" s="196"/>
      <c r="C14" s="326" t="str">
        <f>C12</f>
        <v>S1A</v>
      </c>
      <c r="D14" s="327" t="s">
        <v>472</v>
      </c>
      <c r="E14" s="328"/>
      <c r="F14" s="321"/>
      <c r="G14" s="322"/>
      <c r="H14" s="323">
        <f>VLOOKUP(G12,'du lieu'!$D$18:$BF$118,HLOOKUP($C$2,'du lieu'!$D$136:$BF$137,2))</f>
        <v>4.6100000000000002E-2</v>
      </c>
      <c r="I14" s="330"/>
      <c r="J14" s="330"/>
      <c r="K14" s="324"/>
      <c r="L14" s="329">
        <f>H14*K12</f>
        <v>1344.226212</v>
      </c>
      <c r="M14" s="191"/>
      <c r="N14" s="197"/>
      <c r="O14" s="205"/>
      <c r="P14" s="192"/>
      <c r="Q14" s="191"/>
      <c r="R14" s="191"/>
      <c r="S14" s="191"/>
      <c r="T14" s="191"/>
    </row>
    <row r="15" spans="1:20">
      <c r="A15" s="191"/>
      <c r="B15" s="196"/>
      <c r="C15" s="331" t="str">
        <f>C12</f>
        <v>S1A</v>
      </c>
      <c r="D15" s="332" t="s">
        <v>473</v>
      </c>
      <c r="E15" s="333"/>
      <c r="F15" s="334"/>
      <c r="G15" s="335"/>
      <c r="H15" s="336">
        <f>VLOOKUP(G12,'du lieu'!$D$18:$BF$118,HLOOKUP($C$2,'du lieu'!$D$139:$BF$140,2))</f>
        <v>1.9699999999999999E-2</v>
      </c>
      <c r="I15" s="337"/>
      <c r="J15" s="337"/>
      <c r="K15" s="324"/>
      <c r="L15" s="329">
        <f>H15*K12</f>
        <v>574.43072399999994</v>
      </c>
      <c r="M15" s="191"/>
      <c r="N15" s="190"/>
      <c r="O15" s="200"/>
      <c r="P15" s="191"/>
      <c r="Q15" s="191"/>
      <c r="R15" s="191"/>
      <c r="S15" s="191"/>
      <c r="T15" s="191"/>
    </row>
    <row r="16" spans="1:20">
      <c r="A16" s="191"/>
      <c r="B16" s="196"/>
      <c r="C16" s="319" t="s">
        <v>218</v>
      </c>
      <c r="D16" s="320" t="s">
        <v>470</v>
      </c>
      <c r="E16" s="321">
        <f>VLOOKUP(C16,'tải sàn'!$B$5:$F$16,4,0)</f>
        <v>3.8</v>
      </c>
      <c r="F16" s="321">
        <f>VLOOKUP(C16,'tải sàn'!$B$5:$F$16,5,0)</f>
        <v>5.8</v>
      </c>
      <c r="G16" s="322">
        <f>IF(F16/E16&lt;=2,ROUND(F16/E16,2),"1P")</f>
        <v>1.53</v>
      </c>
      <c r="H16" s="323">
        <f>VLOOKUP(G16,'du lieu'!$D$18:$BF$118,HLOOKUP($C$2,'du lieu'!$D$130:$BF$131,2))</f>
        <v>2.068E-2</v>
      </c>
      <c r="I16" s="320">
        <f>VLOOKUP(C16,'tải sàn'!$B$5:$F$16,2,0)</f>
        <v>840</v>
      </c>
      <c r="J16" s="320">
        <f>VLOOKUP(C16,'tải sàn'!$B$5:$F$16,3,0)</f>
        <v>476</v>
      </c>
      <c r="K16" s="338">
        <f>+(I16+J16)*E16*F16</f>
        <v>29004.639999999999</v>
      </c>
      <c r="L16" s="325">
        <f>H16*K16</f>
        <v>599.81595519999996</v>
      </c>
      <c r="M16" s="191"/>
      <c r="N16" s="190"/>
      <c r="O16" s="191"/>
      <c r="P16" s="191"/>
      <c r="Q16" s="191"/>
      <c r="R16" s="191"/>
      <c r="S16" s="191"/>
      <c r="T16" s="191"/>
    </row>
    <row r="17" spans="1:20">
      <c r="A17" s="191"/>
      <c r="B17" s="196"/>
      <c r="C17" s="326" t="str">
        <f>C16</f>
        <v>S1B</v>
      </c>
      <c r="D17" s="327" t="s">
        <v>471</v>
      </c>
      <c r="E17" s="328"/>
      <c r="F17" s="321"/>
      <c r="G17" s="322"/>
      <c r="H17" s="323">
        <f>VLOOKUP(G16,'du lieu'!$D$18:$BF$118,HLOOKUP($C$2,'du lieu'!$D$133:$BF$134,2))</f>
        <v>8.879999999999999E-3</v>
      </c>
      <c r="I17" s="320"/>
      <c r="J17" s="320"/>
      <c r="K17" s="339"/>
      <c r="L17" s="329">
        <f>H17*K16</f>
        <v>257.56120319999997</v>
      </c>
      <c r="M17" s="191"/>
      <c r="N17" s="190"/>
      <c r="O17" s="191"/>
      <c r="P17" s="191"/>
      <c r="Q17" s="191"/>
      <c r="R17" s="191"/>
      <c r="S17" s="191"/>
      <c r="T17" s="191"/>
    </row>
    <row r="18" spans="1:20">
      <c r="A18" s="191"/>
      <c r="B18" s="196"/>
      <c r="C18" s="326" t="str">
        <f>C16</f>
        <v>S1B</v>
      </c>
      <c r="D18" s="327" t="s">
        <v>472</v>
      </c>
      <c r="E18" s="328"/>
      <c r="F18" s="321"/>
      <c r="G18" s="322"/>
      <c r="H18" s="323">
        <f>VLOOKUP(G16,'du lieu'!$D$18:$BF$118,HLOOKUP($C$2,'du lieu'!$D$136:$BF$137,2))</f>
        <v>4.6100000000000002E-2</v>
      </c>
      <c r="I18" s="330"/>
      <c r="J18" s="330"/>
      <c r="K18" s="339"/>
      <c r="L18" s="329">
        <f>H18*K16</f>
        <v>1337.113904</v>
      </c>
      <c r="M18" s="191"/>
      <c r="N18" s="190"/>
      <c r="O18" s="191"/>
      <c r="P18" s="191"/>
      <c r="Q18" s="191"/>
      <c r="R18" s="191"/>
      <c r="S18" s="191"/>
      <c r="T18" s="191"/>
    </row>
    <row r="19" spans="1:20">
      <c r="A19" s="191"/>
      <c r="B19" s="196"/>
      <c r="C19" s="331" t="str">
        <f>C16</f>
        <v>S1B</v>
      </c>
      <c r="D19" s="332" t="s">
        <v>473</v>
      </c>
      <c r="E19" s="333"/>
      <c r="F19" s="334"/>
      <c r="G19" s="335"/>
      <c r="H19" s="336">
        <f>VLOOKUP(G16,'du lieu'!$D$18:$BF$118,HLOOKUP($C$2,'du lieu'!$D$139:$BF$140,2))</f>
        <v>1.9699999999999999E-2</v>
      </c>
      <c r="I19" s="337"/>
      <c r="J19" s="337"/>
      <c r="K19" s="340"/>
      <c r="L19" s="329">
        <f>H19*K16</f>
        <v>571.39140799999996</v>
      </c>
      <c r="M19" s="191"/>
      <c r="N19" s="190"/>
      <c r="O19" s="191"/>
      <c r="P19" s="191"/>
      <c r="Q19" s="191"/>
      <c r="R19" s="191"/>
      <c r="S19" s="191"/>
      <c r="T19" s="191"/>
    </row>
    <row r="20" spans="1:20">
      <c r="A20" s="191"/>
      <c r="B20" s="196"/>
      <c r="C20" s="319" t="s">
        <v>117</v>
      </c>
      <c r="D20" s="320" t="s">
        <v>470</v>
      </c>
      <c r="E20" s="321">
        <f>VLOOKUP(C20,'tải sàn'!$B$5:$F$16,4,0)</f>
        <v>3.8</v>
      </c>
      <c r="F20" s="321">
        <f>VLOOKUP(C20,'tải sàn'!$B$5:$F$16,5,0)</f>
        <v>5.8</v>
      </c>
      <c r="G20" s="322">
        <f>IF(F20/E20&lt;=2,ROUND(F20/E20,2),"1P")</f>
        <v>1.53</v>
      </c>
      <c r="H20" s="323">
        <f>VLOOKUP(G20,'du lieu'!$D$18:$BF$118,HLOOKUP($C$2,'du lieu'!$D$130:$BF$131,2))</f>
        <v>2.068E-2</v>
      </c>
      <c r="I20" s="320">
        <f>VLOOKUP(C20,'tải sàn'!$B$5:$F$16,2,0)</f>
        <v>480</v>
      </c>
      <c r="J20" s="320">
        <f>VLOOKUP(C20,'tải sàn'!$B$5:$F$16,3,0)</f>
        <v>476</v>
      </c>
      <c r="K20" s="324">
        <f>+(I20+J20)*E20*F20</f>
        <v>21070.239999999998</v>
      </c>
      <c r="L20" s="325">
        <f>H20*K20</f>
        <v>435.73256319999996</v>
      </c>
      <c r="M20" s="191"/>
      <c r="N20" s="190"/>
      <c r="O20" s="191"/>
      <c r="P20" s="191"/>
      <c r="Q20" s="191"/>
      <c r="R20" s="191"/>
      <c r="S20" s="191"/>
      <c r="T20" s="191"/>
    </row>
    <row r="21" spans="1:20">
      <c r="A21" s="191"/>
      <c r="B21" s="196"/>
      <c r="C21" s="326" t="str">
        <f>C20</f>
        <v>S1</v>
      </c>
      <c r="D21" s="327" t="s">
        <v>471</v>
      </c>
      <c r="E21" s="328"/>
      <c r="F21" s="321"/>
      <c r="G21" s="322"/>
      <c r="H21" s="323">
        <f>VLOOKUP(G20,'du lieu'!$D$18:$BF$118,HLOOKUP($C$2,'du lieu'!$D$133:$BF$134,2))</f>
        <v>8.879999999999999E-3</v>
      </c>
      <c r="I21" s="320"/>
      <c r="J21" s="320"/>
      <c r="K21" s="324"/>
      <c r="L21" s="329">
        <f>H21*K20</f>
        <v>187.10373119999997</v>
      </c>
      <c r="M21" s="191"/>
      <c r="N21" s="190"/>
      <c r="O21" s="191"/>
      <c r="P21" s="191"/>
      <c r="Q21" s="191"/>
      <c r="R21" s="191"/>
      <c r="S21" s="191"/>
      <c r="T21" s="191"/>
    </row>
    <row r="22" spans="1:20">
      <c r="A22" s="191"/>
      <c r="B22" s="196"/>
      <c r="C22" s="326" t="str">
        <f>C20</f>
        <v>S1</v>
      </c>
      <c r="D22" s="327" t="s">
        <v>472</v>
      </c>
      <c r="E22" s="328"/>
      <c r="F22" s="321"/>
      <c r="G22" s="322"/>
      <c r="H22" s="323">
        <f>VLOOKUP(G20,'du lieu'!$D$18:$BF$118,HLOOKUP($C$2,'du lieu'!$D$136:$BF$137,2))</f>
        <v>4.6100000000000002E-2</v>
      </c>
      <c r="I22" s="330"/>
      <c r="J22" s="330"/>
      <c r="K22" s="324"/>
      <c r="L22" s="329">
        <f>H22*K20</f>
        <v>971.33806399999992</v>
      </c>
      <c r="M22" s="191"/>
      <c r="N22" s="190"/>
      <c r="O22" s="191"/>
      <c r="P22" s="191"/>
      <c r="Q22" s="191"/>
      <c r="R22" s="191"/>
      <c r="S22" s="191"/>
      <c r="T22" s="191"/>
    </row>
    <row r="23" spans="1:20">
      <c r="A23" s="191"/>
      <c r="B23" s="196"/>
      <c r="C23" s="331" t="str">
        <f>C20</f>
        <v>S1</v>
      </c>
      <c r="D23" s="332" t="s">
        <v>473</v>
      </c>
      <c r="E23" s="333"/>
      <c r="F23" s="334"/>
      <c r="G23" s="335"/>
      <c r="H23" s="336">
        <f>VLOOKUP(G20,'du lieu'!$D$18:$BF$118,HLOOKUP($C$2,'du lieu'!$D$139:$BF$140,2))</f>
        <v>1.9699999999999999E-2</v>
      </c>
      <c r="I23" s="337"/>
      <c r="J23" s="337"/>
      <c r="K23" s="341"/>
      <c r="L23" s="329">
        <f>H23*K20</f>
        <v>415.08372799999995</v>
      </c>
      <c r="M23" s="191"/>
      <c r="N23" s="190"/>
      <c r="O23" s="191"/>
      <c r="P23" s="191"/>
      <c r="Q23" s="191"/>
      <c r="R23" s="191"/>
      <c r="S23" s="191"/>
      <c r="T23" s="191"/>
    </row>
    <row r="24" spans="1:20">
      <c r="A24" s="191"/>
      <c r="B24" s="196"/>
      <c r="C24" s="342" t="s">
        <v>115</v>
      </c>
      <c r="D24" s="320" t="s">
        <v>470</v>
      </c>
      <c r="E24" s="321">
        <f>VLOOKUP(C24,'tải sàn'!$B$5:$F$16,4,0)</f>
        <v>2.8</v>
      </c>
      <c r="F24" s="321">
        <f>VLOOKUP(C24,'tải sàn'!$B$5:$F$16,5,0)</f>
        <v>3.8</v>
      </c>
      <c r="G24" s="322">
        <f>IF(F24/E24&lt;=2,ROUND(F24/E24,2),"1P")</f>
        <v>1.36</v>
      </c>
      <c r="H24" s="323">
        <f>VLOOKUP(G24,'du lieu'!$D$18:$BF$118,HLOOKUP($C$2,'du lieu'!$D$130:$BF$131,2))</f>
        <v>2.1000000000000001E-2</v>
      </c>
      <c r="I24" s="320">
        <f>VLOOKUP(C24,'tải sàn'!$B$5:$F$16,2,0)</f>
        <v>359.99999999999994</v>
      </c>
      <c r="J24" s="320">
        <f>VLOOKUP(C24,'tải sàn'!$B$5:$F$16,3,0)</f>
        <v>476</v>
      </c>
      <c r="K24" s="324">
        <f>+(I24+J24)*E24*F24</f>
        <v>8895.0399999999991</v>
      </c>
      <c r="L24" s="325">
        <f>H24*K24</f>
        <v>186.79584</v>
      </c>
      <c r="M24" s="191"/>
      <c r="N24" s="190"/>
      <c r="O24" s="191"/>
      <c r="P24" s="191"/>
      <c r="Q24" s="191"/>
      <c r="R24" s="191"/>
      <c r="S24" s="191"/>
      <c r="T24" s="191"/>
    </row>
    <row r="25" spans="1:20">
      <c r="A25" s="191"/>
      <c r="B25" s="196"/>
      <c r="C25" s="326" t="str">
        <f>C24</f>
        <v>S2</v>
      </c>
      <c r="D25" s="327" t="s">
        <v>471</v>
      </c>
      <c r="E25" s="328"/>
      <c r="F25" s="321"/>
      <c r="G25" s="322"/>
      <c r="H25" s="323">
        <f>VLOOKUP(G24,'du lieu'!$D$18:$BF$118,HLOOKUP($C$2,'du lieu'!$D$133:$BF$134,2))</f>
        <v>1.1339999999999999E-2</v>
      </c>
      <c r="I25" s="320"/>
      <c r="J25" s="320"/>
      <c r="K25" s="324"/>
      <c r="L25" s="329">
        <f>H25*K24</f>
        <v>100.86975359999998</v>
      </c>
      <c r="M25" s="191"/>
      <c r="N25" s="190"/>
      <c r="O25" s="191"/>
      <c r="P25" s="191"/>
      <c r="Q25" s="191"/>
      <c r="R25" s="191"/>
      <c r="S25" s="191"/>
      <c r="T25" s="191"/>
    </row>
    <row r="26" spans="1:20">
      <c r="A26" s="191"/>
      <c r="B26" s="196"/>
      <c r="C26" s="326" t="str">
        <f>C24</f>
        <v>S2</v>
      </c>
      <c r="D26" s="327" t="s">
        <v>472</v>
      </c>
      <c r="E26" s="328"/>
      <c r="F26" s="321"/>
      <c r="G26" s="322"/>
      <c r="H26" s="323">
        <f>VLOOKUP(G24,'du lieu'!$D$18:$BF$118,HLOOKUP($C$2,'du lieu'!$D$136:$BF$137,2))</f>
        <v>4.537999999999999E-2</v>
      </c>
      <c r="I26" s="330"/>
      <c r="J26" s="330"/>
      <c r="K26" s="324"/>
      <c r="L26" s="329">
        <f>H26*K24</f>
        <v>403.65691519999984</v>
      </c>
      <c r="M26" s="191"/>
      <c r="N26" s="190"/>
      <c r="O26" s="191"/>
      <c r="P26" s="191"/>
      <c r="Q26" s="191"/>
      <c r="R26" s="191"/>
      <c r="S26" s="191"/>
      <c r="T26" s="191"/>
    </row>
    <row r="27" spans="1:20">
      <c r="A27" s="191"/>
      <c r="B27" s="196"/>
      <c r="C27" s="331" t="str">
        <f>C24</f>
        <v>S2</v>
      </c>
      <c r="D27" s="332" t="s">
        <v>473</v>
      </c>
      <c r="E27" s="333"/>
      <c r="F27" s="334"/>
      <c r="G27" s="335"/>
      <c r="H27" s="336">
        <f>VLOOKUP(G24,'du lieu'!$D$18:$BF$118,HLOOKUP($C$2,'du lieu'!$D$139:$BF$140,2))</f>
        <v>2.5759999999999998E-2</v>
      </c>
      <c r="I27" s="337"/>
      <c r="J27" s="337"/>
      <c r="K27" s="341"/>
      <c r="L27" s="343">
        <f>H27*K24</f>
        <v>229.13623039999996</v>
      </c>
      <c r="M27" s="191"/>
      <c r="N27" s="190"/>
      <c r="O27" s="191"/>
      <c r="P27" s="191"/>
      <c r="Q27" s="191"/>
      <c r="R27" s="191"/>
      <c r="S27" s="191"/>
      <c r="T27" s="191"/>
    </row>
    <row r="28" spans="1:20">
      <c r="A28" s="191"/>
      <c r="B28" s="196"/>
      <c r="C28" s="319" t="s">
        <v>116</v>
      </c>
      <c r="D28" s="320" t="s">
        <v>470</v>
      </c>
      <c r="E28" s="321">
        <f>VLOOKUP(C28,'tải sàn'!$B$5:$F$16,4,0)</f>
        <v>3.8</v>
      </c>
      <c r="F28" s="321">
        <f>VLOOKUP(C28,'tải sàn'!$B$5:$F$16,5,0)</f>
        <v>5.3</v>
      </c>
      <c r="G28" s="322">
        <f>IF(F28/E28&lt;=2,ROUND(F28/E28,2),"1P")</f>
        <v>1.39</v>
      </c>
      <c r="H28" s="323">
        <f>VLOOKUP(G28,'du lieu'!$D$18:$BF$118,HLOOKUP($C$2,'du lieu'!$D$130:$BF$131,2))</f>
        <v>2.1000000000000001E-2</v>
      </c>
      <c r="I28" s="320">
        <f>VLOOKUP(C28,'tải sàn'!$B$5:$F$16,2,0)</f>
        <v>359.99999999999994</v>
      </c>
      <c r="J28" s="320">
        <f>VLOOKUP(C28,'tải sàn'!$B$5:$F$16,3,0)</f>
        <v>610</v>
      </c>
      <c r="K28" s="324">
        <f>+(I28+J28)*E28*F28</f>
        <v>19535.8</v>
      </c>
      <c r="L28" s="329">
        <f>H28*K28</f>
        <v>410.2518</v>
      </c>
      <c r="M28" s="191"/>
      <c r="N28" s="190"/>
      <c r="O28" s="191"/>
      <c r="P28" s="191"/>
      <c r="Q28" s="191"/>
      <c r="R28" s="191"/>
      <c r="S28" s="191"/>
      <c r="T28" s="191"/>
    </row>
    <row r="29" spans="1:20">
      <c r="A29" s="191"/>
      <c r="B29" s="196"/>
      <c r="C29" s="326" t="str">
        <f>C28</f>
        <v>S3</v>
      </c>
      <c r="D29" s="327" t="s">
        <v>471</v>
      </c>
      <c r="E29" s="328"/>
      <c r="F29" s="321"/>
      <c r="G29" s="322"/>
      <c r="H29" s="323">
        <f>VLOOKUP(G28,'du lieu'!$D$18:$BF$118,HLOOKUP($C$2,'du lieu'!$D$133:$BF$134,2))</f>
        <v>1.086E-2</v>
      </c>
      <c r="I29" s="320"/>
      <c r="J29" s="320"/>
      <c r="K29" s="324"/>
      <c r="L29" s="329">
        <f>H29*K28</f>
        <v>212.15878799999999</v>
      </c>
      <c r="M29" s="191"/>
      <c r="N29" s="190"/>
      <c r="O29" s="191"/>
      <c r="P29" s="191"/>
      <c r="Q29" s="191"/>
      <c r="R29" s="191"/>
      <c r="S29" s="191"/>
      <c r="T29" s="191"/>
    </row>
    <row r="30" spans="1:20">
      <c r="A30" s="191"/>
      <c r="B30" s="196"/>
      <c r="C30" s="326" t="str">
        <f>C28</f>
        <v>S3</v>
      </c>
      <c r="D30" s="327" t="s">
        <v>472</v>
      </c>
      <c r="E30" s="328"/>
      <c r="F30" s="321"/>
      <c r="G30" s="322"/>
      <c r="H30" s="323">
        <f>VLOOKUP(G28,'du lieu'!$D$18:$BF$118,HLOOKUP($C$2,'du lieu'!$D$136:$BF$137,2))</f>
        <v>3.9320000000000008E-2</v>
      </c>
      <c r="I30" s="330"/>
      <c r="J30" s="330"/>
      <c r="K30" s="324"/>
      <c r="L30" s="329">
        <f>H30*K28</f>
        <v>768.1476560000001</v>
      </c>
      <c r="M30" s="191"/>
      <c r="N30" s="190"/>
      <c r="O30" s="191"/>
      <c r="P30" s="191"/>
      <c r="Q30" s="191"/>
      <c r="R30" s="191"/>
      <c r="S30" s="191"/>
      <c r="T30" s="191"/>
    </row>
    <row r="31" spans="1:20">
      <c r="A31" s="191"/>
      <c r="B31" s="196"/>
      <c r="C31" s="331" t="str">
        <f>C28</f>
        <v>S3</v>
      </c>
      <c r="D31" s="332" t="s">
        <v>473</v>
      </c>
      <c r="E31" s="333"/>
      <c r="F31" s="334"/>
      <c r="G31" s="335"/>
      <c r="H31" s="336">
        <f>VLOOKUP(G28,'du lieu'!$D$18:$BF$118,HLOOKUP($C$2,'du lieu'!$D$139:$BF$140,2))</f>
        <v>2.4440000000000003E-2</v>
      </c>
      <c r="I31" s="337"/>
      <c r="J31" s="337"/>
      <c r="K31" s="341"/>
      <c r="L31" s="343">
        <f>H31*K28</f>
        <v>477.45495200000005</v>
      </c>
      <c r="M31" s="191"/>
      <c r="N31" s="190"/>
      <c r="O31" s="191"/>
      <c r="P31" s="191"/>
      <c r="Q31" s="191"/>
      <c r="R31" s="191"/>
      <c r="S31" s="191"/>
      <c r="T31" s="191"/>
    </row>
    <row r="32" spans="1:20">
      <c r="A32" s="191"/>
      <c r="B32" s="196"/>
      <c r="C32" s="342" t="s">
        <v>119</v>
      </c>
      <c r="D32" s="320" t="s">
        <v>470</v>
      </c>
      <c r="E32" s="321">
        <f>VLOOKUP(C32,'tải sàn'!$B$5:$F$16,4,0)</f>
        <v>1.8</v>
      </c>
      <c r="F32" s="321">
        <f>VLOOKUP(C32,'tải sàn'!$B$5:$F$16,5,0)</f>
        <v>2.8</v>
      </c>
      <c r="G32" s="322">
        <f>IF(F32/E32&lt;=2,ROUND(F32/E32,2),"1P")</f>
        <v>1.56</v>
      </c>
      <c r="H32" s="323">
        <f>VLOOKUP(G32,'du lieu'!$D$18:$BF$118,HLOOKUP($C$2,'du lieu'!$D$130:$BF$131,2))</f>
        <v>2.0580000000000001E-2</v>
      </c>
      <c r="I32" s="320">
        <f>VLOOKUP(C32,'tải sàn'!$B$5:$F$16,2,0)</f>
        <v>359.99999999999994</v>
      </c>
      <c r="J32" s="320">
        <f>VLOOKUP(C32,'tải sàn'!$B$5:$F$16,3,0)</f>
        <v>476</v>
      </c>
      <c r="K32" s="324">
        <f>+(I32+J32)*E32*F32</f>
        <v>4213.4399999999996</v>
      </c>
      <c r="L32" s="325">
        <f>H32*K32</f>
        <v>86.712595199999996</v>
      </c>
      <c r="M32" s="192"/>
      <c r="N32" s="190"/>
      <c r="O32" s="191"/>
      <c r="P32" s="191"/>
      <c r="Q32" s="191"/>
      <c r="R32" s="191"/>
      <c r="S32" s="191"/>
      <c r="T32" s="191"/>
    </row>
    <row r="33" spans="1:20">
      <c r="A33" s="191"/>
      <c r="B33" s="196"/>
      <c r="C33" s="326" t="str">
        <f>C32</f>
        <v>S5</v>
      </c>
      <c r="D33" s="327" t="s">
        <v>471</v>
      </c>
      <c r="E33" s="328"/>
      <c r="F33" s="321"/>
      <c r="G33" s="322"/>
      <c r="H33" s="323">
        <f>VLOOKUP(G32,'du lieu'!$D$18:$BF$118,HLOOKUP($C$2,'du lieu'!$D$133:$BF$134,2))</f>
        <v>8.4799999999999997E-3</v>
      </c>
      <c r="I33" s="320"/>
      <c r="J33" s="320"/>
      <c r="K33" s="324"/>
      <c r="L33" s="329">
        <f>H33*K32</f>
        <v>35.729971199999994</v>
      </c>
      <c r="M33" s="191"/>
      <c r="N33" s="190"/>
      <c r="O33" s="191"/>
      <c r="P33" s="191"/>
      <c r="Q33" s="191"/>
      <c r="R33" s="191"/>
      <c r="S33" s="191"/>
      <c r="T33" s="191"/>
    </row>
    <row r="34" spans="1:20">
      <c r="A34" s="191"/>
      <c r="B34" s="196"/>
      <c r="C34" s="326" t="str">
        <f>C32</f>
        <v>S5</v>
      </c>
      <c r="D34" s="327" t="s">
        <v>472</v>
      </c>
      <c r="E34" s="328"/>
      <c r="F34" s="321"/>
      <c r="G34" s="322"/>
      <c r="H34" s="323">
        <f>VLOOKUP(G32,'du lieu'!$D$18:$BF$118,HLOOKUP($C$2,'du lieu'!$D$136:$BF$137,2))</f>
        <v>4.5760000000000002E-2</v>
      </c>
      <c r="I34" s="330"/>
      <c r="J34" s="330"/>
      <c r="K34" s="324"/>
      <c r="L34" s="329">
        <f>H34*K32</f>
        <v>192.80701439999999</v>
      </c>
      <c r="M34" s="191"/>
      <c r="N34" s="190"/>
      <c r="O34" s="191"/>
      <c r="P34" s="191"/>
      <c r="Q34" s="191"/>
      <c r="R34" s="191"/>
      <c r="S34" s="191"/>
      <c r="T34" s="191"/>
    </row>
    <row r="35" spans="1:20">
      <c r="A35" s="191"/>
      <c r="B35" s="196"/>
      <c r="C35" s="331" t="str">
        <f>C32</f>
        <v>S5</v>
      </c>
      <c r="D35" s="332" t="s">
        <v>473</v>
      </c>
      <c r="E35" s="333"/>
      <c r="F35" s="334"/>
      <c r="G35" s="335"/>
      <c r="H35" s="336">
        <f>VLOOKUP(G32,'du lieu'!$D$18:$BF$118,HLOOKUP($C$2,'du lieu'!$D$139:$BF$140,2))</f>
        <v>1.882E-2</v>
      </c>
      <c r="I35" s="337"/>
      <c r="J35" s="337"/>
      <c r="K35" s="341"/>
      <c r="L35" s="343">
        <f>H35*K32</f>
        <v>79.296940799999987</v>
      </c>
      <c r="M35" s="191"/>
      <c r="N35" s="190"/>
      <c r="O35" s="191"/>
      <c r="P35" s="191"/>
      <c r="Q35" s="191"/>
      <c r="R35" s="191"/>
      <c r="S35" s="191"/>
      <c r="T35" s="191"/>
    </row>
    <row r="36" spans="1:20">
      <c r="A36" s="191"/>
      <c r="B36" s="196"/>
      <c r="C36" s="342" t="s">
        <v>122</v>
      </c>
      <c r="D36" s="320" t="s">
        <v>470</v>
      </c>
      <c r="E36" s="321">
        <f>VLOOKUP(C36,'tải sàn'!$B$5:$F$16,4,0)</f>
        <v>3.8</v>
      </c>
      <c r="F36" s="321">
        <f>VLOOKUP(C36,'tải sàn'!$B$5:$F$16,5,0)</f>
        <v>3.8</v>
      </c>
      <c r="G36" s="322">
        <f>IF(F36/E36&lt;=2,ROUND(F36/E36,2),"1P")</f>
        <v>1</v>
      </c>
      <c r="H36" s="323">
        <f>VLOOKUP(G36,'du lieu'!$D$18:$BF$118,HLOOKUP($C$2,'du lieu'!$D$130:$BF$131,2))</f>
        <v>1.7899999999999999E-2</v>
      </c>
      <c r="I36" s="320">
        <f>VLOOKUP(C36,'tải sàn'!$B$5:$F$16,2,0)</f>
        <v>359.99999999999994</v>
      </c>
      <c r="J36" s="320">
        <f>VLOOKUP(C36,'tải sàn'!$B$5:$F$16,3,0)</f>
        <v>476</v>
      </c>
      <c r="K36" s="324">
        <f>+(I36+J36)*E36*F36</f>
        <v>12071.839999999998</v>
      </c>
      <c r="L36" s="325">
        <f>H36*K36</f>
        <v>216.08593599999995</v>
      </c>
      <c r="M36" s="191"/>
      <c r="N36" s="190"/>
      <c r="O36" s="191"/>
      <c r="P36" s="191"/>
      <c r="Q36" s="191"/>
      <c r="R36" s="191"/>
      <c r="S36" s="191"/>
      <c r="T36" s="191"/>
    </row>
    <row r="37" spans="1:20">
      <c r="A37" s="191"/>
      <c r="B37" s="196"/>
      <c r="C37" s="326" t="str">
        <f>C36</f>
        <v>S8</v>
      </c>
      <c r="D37" s="327" t="s">
        <v>471</v>
      </c>
      <c r="E37" s="328"/>
      <c r="F37" s="321"/>
      <c r="G37" s="322"/>
      <c r="H37" s="323">
        <f>VLOOKUP(G36,'du lieu'!$D$18:$BF$118,HLOOKUP($C$2,'du lieu'!$D$133:$BF$134,2))</f>
        <v>1.7899999999999999E-2</v>
      </c>
      <c r="I37" s="320"/>
      <c r="J37" s="320"/>
      <c r="K37" s="324"/>
      <c r="L37" s="329">
        <f>H37*K36</f>
        <v>216.08593599999995</v>
      </c>
      <c r="M37" s="191"/>
      <c r="N37" s="190"/>
      <c r="O37" s="191"/>
      <c r="P37" s="191"/>
      <c r="Q37" s="191"/>
      <c r="R37" s="191"/>
      <c r="S37" s="191"/>
      <c r="T37" s="191"/>
    </row>
    <row r="38" spans="1:20">
      <c r="A38" s="191"/>
      <c r="B38" s="196"/>
      <c r="C38" s="326" t="str">
        <f>C36</f>
        <v>S8</v>
      </c>
      <c r="D38" s="327" t="s">
        <v>472</v>
      </c>
      <c r="E38" s="328"/>
      <c r="F38" s="321"/>
      <c r="G38" s="322"/>
      <c r="H38" s="323">
        <f>VLOOKUP(G36,'du lieu'!$D$18:$BF$118,HLOOKUP($C$2,'du lieu'!$D$136:$BF$137,2))</f>
        <v>4.1700000000000001E-2</v>
      </c>
      <c r="I38" s="330"/>
      <c r="J38" s="330"/>
      <c r="K38" s="324"/>
      <c r="L38" s="329">
        <f>H38*K36</f>
        <v>503.39572799999996</v>
      </c>
      <c r="M38" s="191"/>
      <c r="N38" s="190"/>
      <c r="O38" s="191"/>
      <c r="P38" s="191"/>
      <c r="Q38" s="191"/>
      <c r="R38" s="191"/>
      <c r="S38" s="191"/>
      <c r="T38" s="191"/>
    </row>
    <row r="39" spans="1:20">
      <c r="A39" s="191"/>
      <c r="B39" s="196"/>
      <c r="C39" s="331" t="str">
        <f>C36</f>
        <v>S8</v>
      </c>
      <c r="D39" s="332" t="s">
        <v>473</v>
      </c>
      <c r="E39" s="333"/>
      <c r="F39" s="334"/>
      <c r="G39" s="335"/>
      <c r="H39" s="336">
        <f>VLOOKUP(G36,'du lieu'!$D$18:$BF$118,HLOOKUP($C$2,'du lieu'!$D$139:$BF$140,2))</f>
        <v>4.1700000000000001E-2</v>
      </c>
      <c r="I39" s="337"/>
      <c r="J39" s="337"/>
      <c r="K39" s="341"/>
      <c r="L39" s="343">
        <f>H39*K36</f>
        <v>503.39572799999996</v>
      </c>
      <c r="M39" s="191"/>
      <c r="N39" s="190"/>
      <c r="O39" s="191"/>
      <c r="P39" s="191"/>
      <c r="Q39" s="191"/>
      <c r="R39" s="191"/>
      <c r="S39" s="191"/>
      <c r="T39" s="191"/>
    </row>
    <row r="40" spans="1:20">
      <c r="A40" s="191"/>
      <c r="B40" s="196"/>
      <c r="C40" s="319" t="s">
        <v>124</v>
      </c>
      <c r="D40" s="320" t="s">
        <v>470</v>
      </c>
      <c r="E40" s="321">
        <f>VLOOKUP(C40,'tải sàn'!$B$5:$F$16,4,0)</f>
        <v>1.8</v>
      </c>
      <c r="F40" s="321">
        <f>VLOOKUP(C40,'tải sàn'!$B$5:$F$16,5,0)</f>
        <v>2.5</v>
      </c>
      <c r="G40" s="322">
        <f>IF(F40/E40&lt;=2,ROUND(F40/E40,2),"1P")</f>
        <v>1.39</v>
      </c>
      <c r="H40" s="323">
        <f>VLOOKUP(G40,'du lieu'!$D$18:$BF$118,HLOOKUP($C$2,'du lieu'!$D$130:$BF$131,2))</f>
        <v>2.1000000000000001E-2</v>
      </c>
      <c r="I40" s="320">
        <f>VLOOKUP(C40,'tải sàn'!$B$5:$F$16,2,0)</f>
        <v>359.99999999999994</v>
      </c>
      <c r="J40" s="320">
        <f>VLOOKUP(C40,'tải sàn'!$B$5:$F$16,3,0)</f>
        <v>476</v>
      </c>
      <c r="K40" s="324">
        <f>+(I40+J40)*E40*F40</f>
        <v>3762</v>
      </c>
      <c r="L40" s="325">
        <f>H40*K40</f>
        <v>79.00200000000001</v>
      </c>
      <c r="M40" s="191"/>
      <c r="N40" s="190"/>
      <c r="O40" s="191"/>
      <c r="P40" s="191"/>
      <c r="Q40" s="191"/>
      <c r="R40" s="191"/>
      <c r="S40" s="191"/>
      <c r="T40" s="191"/>
    </row>
    <row r="41" spans="1:20">
      <c r="A41" s="191"/>
      <c r="B41" s="196"/>
      <c r="C41" s="326" t="str">
        <f>C40</f>
        <v>S9</v>
      </c>
      <c r="D41" s="327" t="s">
        <v>471</v>
      </c>
      <c r="E41" s="328"/>
      <c r="F41" s="321"/>
      <c r="G41" s="322"/>
      <c r="H41" s="323">
        <f>VLOOKUP(G40,'du lieu'!$D$18:$BF$118,HLOOKUP($C$2,'du lieu'!$D$133:$BF$134,2))</f>
        <v>1.086E-2</v>
      </c>
      <c r="I41" s="320"/>
      <c r="J41" s="320"/>
      <c r="K41" s="324"/>
      <c r="L41" s="329">
        <f>H41*K40</f>
        <v>40.855319999999999</v>
      </c>
      <c r="M41" s="191"/>
      <c r="N41" s="190"/>
      <c r="O41" s="191"/>
      <c r="P41" s="191"/>
      <c r="Q41" s="191"/>
      <c r="R41" s="191"/>
      <c r="S41" s="191"/>
      <c r="T41" s="191"/>
    </row>
    <row r="42" spans="1:20">
      <c r="A42" s="191"/>
      <c r="B42" s="196"/>
      <c r="C42" s="326" t="str">
        <f>C40</f>
        <v>S9</v>
      </c>
      <c r="D42" s="327" t="s">
        <v>472</v>
      </c>
      <c r="E42" s="328"/>
      <c r="F42" s="321"/>
      <c r="G42" s="322"/>
      <c r="H42" s="323">
        <f>VLOOKUP(G40,'du lieu'!$D$18:$BF$118,HLOOKUP($C$2,'du lieu'!$D$136:$BF$137,2))</f>
        <v>3.9320000000000008E-2</v>
      </c>
      <c r="I42" s="330"/>
      <c r="J42" s="330"/>
      <c r="K42" s="324"/>
      <c r="L42" s="329">
        <f>H42*K40</f>
        <v>147.92184000000003</v>
      </c>
      <c r="M42" s="191"/>
      <c r="N42" s="190"/>
      <c r="O42" s="191"/>
      <c r="P42" s="191"/>
      <c r="Q42" s="191"/>
      <c r="R42" s="191"/>
      <c r="S42" s="191"/>
      <c r="T42" s="191"/>
    </row>
    <row r="43" spans="1:20">
      <c r="A43" s="191"/>
      <c r="B43" s="196"/>
      <c r="C43" s="331" t="str">
        <f>C40</f>
        <v>S9</v>
      </c>
      <c r="D43" s="332" t="s">
        <v>473</v>
      </c>
      <c r="E43" s="333"/>
      <c r="F43" s="334"/>
      <c r="G43" s="335"/>
      <c r="H43" s="336">
        <f>VLOOKUP(G40,'du lieu'!$D$18:$BF$118,HLOOKUP($C$2,'du lieu'!$D$139:$BF$140,2))</f>
        <v>2.4440000000000003E-2</v>
      </c>
      <c r="I43" s="337"/>
      <c r="J43" s="337"/>
      <c r="K43" s="341"/>
      <c r="L43" s="343">
        <f>H43*K40</f>
        <v>91.943280000000016</v>
      </c>
      <c r="M43" s="191"/>
      <c r="N43" s="190"/>
      <c r="O43" s="191"/>
      <c r="P43" s="191"/>
      <c r="Q43" s="191"/>
      <c r="R43" s="191"/>
      <c r="S43" s="191"/>
      <c r="T43" s="191"/>
    </row>
    <row r="44" spans="1:20">
      <c r="A44" s="191"/>
      <c r="B44" s="196"/>
      <c r="C44" s="342" t="s">
        <v>123</v>
      </c>
      <c r="D44" s="320" t="s">
        <v>470</v>
      </c>
      <c r="E44" s="321">
        <f>VLOOKUP(C44,'tải sàn'!$B$5:$F$16,4,0)</f>
        <v>2.7</v>
      </c>
      <c r="F44" s="321">
        <f>VLOOKUP(C44,'tải sàn'!$B$5:$F$16,5,0)</f>
        <v>3.8</v>
      </c>
      <c r="G44" s="322">
        <f>IF(F44/E44&lt;=2,ROUND(F44/E44,2),"1P")</f>
        <v>1.41</v>
      </c>
      <c r="H44" s="323">
        <f>VLOOKUP(G44,'du lieu'!$D$18:$BF$118,HLOOKUP($C$2,'du lieu'!$D$130:$BF$131,2))</f>
        <v>2.0980000000000002E-2</v>
      </c>
      <c r="I44" s="320">
        <f>VLOOKUP(C44,'tải sàn'!$B$5:$F$16,2,0)</f>
        <v>359.99999999999994</v>
      </c>
      <c r="J44" s="320">
        <f>VLOOKUP(C44,'tải sàn'!$B$5:$F$16,3,0)</f>
        <v>476</v>
      </c>
      <c r="K44" s="324">
        <f>+(I44+J44)*E44*F44</f>
        <v>8577.36</v>
      </c>
      <c r="L44" s="325">
        <f>H44*K44</f>
        <v>179.95301280000004</v>
      </c>
      <c r="M44" s="191"/>
      <c r="N44" s="190"/>
      <c r="O44" s="191"/>
      <c r="P44" s="191"/>
      <c r="Q44" s="191"/>
      <c r="R44" s="191"/>
      <c r="S44" s="191"/>
      <c r="T44" s="191"/>
    </row>
    <row r="45" spans="1:20">
      <c r="A45" s="191"/>
      <c r="B45" s="196"/>
      <c r="C45" s="326" t="str">
        <f>C44</f>
        <v>S10</v>
      </c>
      <c r="D45" s="327" t="s">
        <v>471</v>
      </c>
      <c r="E45" s="328"/>
      <c r="F45" s="321"/>
      <c r="G45" s="322"/>
      <c r="H45" s="323">
        <f>VLOOKUP(G44,'du lieu'!$D$18:$BF$118,HLOOKUP($C$2,'du lieu'!$D$133:$BF$134,2))</f>
        <v>1.056E-2</v>
      </c>
      <c r="I45" s="320"/>
      <c r="J45" s="320"/>
      <c r="K45" s="324"/>
      <c r="L45" s="329">
        <f>H45*K44</f>
        <v>90.576921600000006</v>
      </c>
      <c r="M45" s="191"/>
      <c r="N45" s="190"/>
      <c r="O45" s="191"/>
      <c r="P45" s="191"/>
      <c r="Q45" s="191"/>
      <c r="R45" s="191"/>
      <c r="S45" s="191"/>
      <c r="T45" s="191"/>
    </row>
    <row r="46" spans="1:20">
      <c r="A46" s="191"/>
      <c r="B46" s="196"/>
      <c r="C46" s="326" t="str">
        <f>C44</f>
        <v>S10</v>
      </c>
      <c r="D46" s="327" t="s">
        <v>472</v>
      </c>
      <c r="E46" s="328"/>
      <c r="F46" s="321"/>
      <c r="G46" s="322"/>
      <c r="H46" s="323">
        <f>VLOOKUP(G44,'du lieu'!$D$18:$BF$118,HLOOKUP($C$2,'du lieu'!$D$136:$BF$137,2))</f>
        <v>3.9219999999999998E-2</v>
      </c>
      <c r="I46" s="330"/>
      <c r="J46" s="330"/>
      <c r="K46" s="324"/>
      <c r="L46" s="329">
        <f>H46*K44</f>
        <v>336.40405920000001</v>
      </c>
      <c r="M46" s="191"/>
      <c r="N46" s="190"/>
      <c r="O46" s="191"/>
      <c r="P46" s="191"/>
      <c r="Q46" s="191"/>
      <c r="R46" s="191"/>
      <c r="S46" s="191"/>
      <c r="T46" s="191"/>
    </row>
    <row r="47" spans="1:20">
      <c r="A47" s="191"/>
      <c r="B47" s="196"/>
      <c r="C47" s="331" t="str">
        <f>C44</f>
        <v>S10</v>
      </c>
      <c r="D47" s="332" t="s">
        <v>473</v>
      </c>
      <c r="E47" s="333"/>
      <c r="F47" s="334"/>
      <c r="G47" s="335"/>
      <c r="H47" s="336">
        <f>VLOOKUP(G44,'du lieu'!$D$18:$BF$118,HLOOKUP($C$2,'du lieu'!$D$139:$BF$140,2))</f>
        <v>2.366E-2</v>
      </c>
      <c r="I47" s="337"/>
      <c r="J47" s="337"/>
      <c r="K47" s="341"/>
      <c r="L47" s="343">
        <f>H47*K44</f>
        <v>202.94033760000002</v>
      </c>
      <c r="M47" s="191"/>
      <c r="N47" s="190"/>
      <c r="O47" s="191"/>
      <c r="P47" s="191"/>
      <c r="Q47" s="191"/>
      <c r="R47" s="191"/>
      <c r="S47" s="191"/>
      <c r="T47" s="191"/>
    </row>
    <row r="48" spans="1:20">
      <c r="A48" s="191"/>
      <c r="B48" s="196"/>
      <c r="C48" s="191"/>
      <c r="D48" s="243"/>
      <c r="E48" s="191"/>
      <c r="F48" s="191"/>
      <c r="G48" s="191"/>
      <c r="H48" s="191"/>
      <c r="I48" s="200"/>
      <c r="J48" s="201"/>
      <c r="K48" s="192"/>
      <c r="L48" s="191"/>
      <c r="M48" s="191"/>
      <c r="N48" s="191"/>
      <c r="O48" s="191"/>
      <c r="P48" s="191"/>
      <c r="Q48" s="191"/>
      <c r="R48" s="191"/>
      <c r="S48" s="191"/>
      <c r="T48" s="191"/>
    </row>
    <row r="49" spans="1:20">
      <c r="A49" s="191"/>
      <c r="B49" s="196"/>
      <c r="C49" s="191"/>
      <c r="D49" s="243"/>
      <c r="E49" s="191"/>
      <c r="F49" s="191"/>
      <c r="G49" s="191"/>
      <c r="H49" s="191"/>
      <c r="I49" s="191"/>
      <c r="J49" s="191"/>
      <c r="K49" s="191"/>
      <c r="L49" s="191"/>
      <c r="M49" s="191"/>
      <c r="N49" s="191"/>
      <c r="O49" s="191"/>
      <c r="P49" s="191"/>
      <c r="Q49" s="191"/>
      <c r="R49" s="191"/>
      <c r="S49" s="191"/>
      <c r="T49" s="191"/>
    </row>
    <row r="50" spans="1:20">
      <c r="A50" s="191"/>
      <c r="B50" s="196"/>
      <c r="C50" s="191"/>
      <c r="D50" s="243"/>
      <c r="E50" s="191"/>
      <c r="F50" s="191"/>
      <c r="G50" s="191"/>
      <c r="H50" s="191"/>
      <c r="I50" s="191"/>
      <c r="J50" s="191"/>
      <c r="K50" s="191"/>
      <c r="L50" s="191"/>
      <c r="M50" s="191"/>
      <c r="N50" s="191"/>
      <c r="O50" s="191"/>
      <c r="P50" s="191"/>
      <c r="Q50" s="191"/>
      <c r="R50" s="191"/>
      <c r="S50" s="191"/>
      <c r="T50" s="191"/>
    </row>
    <row r="51" spans="1:20">
      <c r="A51" s="191"/>
      <c r="B51" s="196"/>
      <c r="C51" s="191"/>
      <c r="D51" s="243"/>
      <c r="E51" s="191"/>
      <c r="F51" s="191"/>
      <c r="G51" s="191"/>
      <c r="H51" s="191"/>
      <c r="I51" s="191"/>
      <c r="J51" s="191"/>
      <c r="K51" s="191"/>
      <c r="L51" s="191"/>
      <c r="M51" s="191"/>
      <c r="N51" s="191"/>
      <c r="O51" s="191"/>
      <c r="P51" s="191"/>
      <c r="Q51" s="191"/>
      <c r="R51" s="191"/>
      <c r="S51" s="191"/>
      <c r="T51" s="191"/>
    </row>
    <row r="52" spans="1:20">
      <c r="A52" s="191"/>
      <c r="B52" s="196"/>
      <c r="C52" s="191"/>
      <c r="D52" s="243"/>
      <c r="E52" s="191"/>
      <c r="F52" s="191"/>
      <c r="G52" s="191"/>
      <c r="H52" s="191"/>
      <c r="I52" s="191"/>
      <c r="J52" s="191"/>
      <c r="K52" s="191"/>
      <c r="L52" s="191"/>
      <c r="M52" s="191"/>
      <c r="N52" s="191"/>
      <c r="O52" s="191"/>
      <c r="P52" s="191"/>
      <c r="Q52" s="191"/>
      <c r="R52" s="191"/>
      <c r="S52" s="191"/>
      <c r="T52" s="191"/>
    </row>
    <row r="53" spans="1:20">
      <c r="A53" s="191"/>
      <c r="B53" s="196"/>
      <c r="C53" s="191"/>
      <c r="D53" s="243"/>
      <c r="E53" s="191"/>
      <c r="F53" s="191"/>
      <c r="G53" s="191"/>
      <c r="H53" s="191"/>
      <c r="I53" s="191"/>
      <c r="J53" s="191"/>
      <c r="K53" s="191"/>
      <c r="L53" s="191"/>
      <c r="M53" s="191"/>
      <c r="N53" s="191"/>
      <c r="O53" s="191"/>
      <c r="P53" s="191"/>
      <c r="Q53" s="191"/>
      <c r="R53" s="191"/>
      <c r="S53" s="191"/>
      <c r="T53" s="191"/>
    </row>
    <row r="54" spans="1:20">
      <c r="A54" s="191"/>
      <c r="B54" s="196"/>
      <c r="C54" s="191"/>
      <c r="D54" s="243"/>
      <c r="E54" s="191"/>
      <c r="F54" s="191"/>
      <c r="G54" s="191"/>
      <c r="H54" s="191"/>
      <c r="I54" s="191"/>
      <c r="J54" s="191"/>
      <c r="K54" s="191"/>
      <c r="L54" s="191"/>
      <c r="M54" s="191"/>
      <c r="N54" s="191"/>
      <c r="O54" s="191"/>
      <c r="P54" s="191"/>
      <c r="Q54" s="191"/>
      <c r="R54" s="191"/>
      <c r="S54" s="191"/>
      <c r="T54" s="191"/>
    </row>
    <row r="55" spans="1:20">
      <c r="A55" s="191"/>
      <c r="B55" s="196"/>
      <c r="C55" s="191"/>
      <c r="D55" s="243"/>
      <c r="E55" s="191"/>
      <c r="F55" s="191"/>
      <c r="G55" s="191"/>
      <c r="H55" s="191"/>
      <c r="I55" s="191"/>
      <c r="J55" s="191"/>
      <c r="K55" s="191"/>
      <c r="L55" s="191"/>
      <c r="M55" s="191"/>
      <c r="N55" s="191"/>
      <c r="O55" s="191"/>
      <c r="P55" s="191"/>
      <c r="Q55" s="191"/>
      <c r="R55" s="191"/>
      <c r="S55" s="191"/>
      <c r="T55" s="191"/>
    </row>
    <row r="56" spans="1:20">
      <c r="A56" s="191"/>
      <c r="B56" s="196"/>
      <c r="C56" s="191"/>
      <c r="D56" s="243"/>
      <c r="E56" s="191"/>
      <c r="F56" s="191"/>
      <c r="G56" s="191"/>
      <c r="H56" s="191"/>
      <c r="I56" s="191"/>
      <c r="J56" s="191"/>
      <c r="K56" s="191"/>
      <c r="L56" s="191"/>
      <c r="M56" s="191"/>
      <c r="N56" s="191"/>
      <c r="O56" s="191"/>
      <c r="P56" s="191"/>
      <c r="Q56" s="191"/>
      <c r="R56" s="191"/>
      <c r="S56" s="191"/>
      <c r="T56" s="191"/>
    </row>
    <row r="57" spans="1:20">
      <c r="A57" s="191"/>
      <c r="B57" s="196"/>
      <c r="C57" s="191"/>
      <c r="D57" s="243"/>
      <c r="E57" s="191"/>
      <c r="F57" s="191"/>
      <c r="G57" s="191"/>
      <c r="H57" s="191"/>
      <c r="I57" s="191"/>
      <c r="J57" s="191"/>
      <c r="K57" s="191"/>
      <c r="L57" s="191"/>
      <c r="M57" s="191"/>
      <c r="N57" s="191"/>
      <c r="O57" s="191"/>
      <c r="P57" s="191"/>
      <c r="Q57" s="191"/>
      <c r="R57" s="191"/>
      <c r="S57" s="191"/>
      <c r="T57" s="191"/>
    </row>
    <row r="58" spans="1:20">
      <c r="A58" s="191"/>
      <c r="B58" s="196"/>
      <c r="C58" s="191"/>
      <c r="D58" s="243"/>
      <c r="E58" s="191"/>
      <c r="F58" s="191"/>
      <c r="G58" s="191"/>
      <c r="H58" s="191"/>
      <c r="I58" s="191"/>
      <c r="J58" s="191"/>
      <c r="K58" s="191"/>
      <c r="L58" s="191"/>
      <c r="M58" s="191"/>
      <c r="N58" s="191"/>
      <c r="O58" s="191"/>
      <c r="P58" s="191"/>
      <c r="Q58" s="191"/>
      <c r="R58" s="191"/>
      <c r="S58" s="191"/>
      <c r="T58" s="191"/>
    </row>
    <row r="59" spans="1:20">
      <c r="A59" s="191"/>
      <c r="B59" s="196"/>
      <c r="C59" s="191"/>
      <c r="D59" s="243"/>
      <c r="E59" s="191"/>
      <c r="F59" s="191"/>
      <c r="G59" s="191"/>
      <c r="H59" s="191"/>
      <c r="I59" s="191"/>
      <c r="J59" s="191"/>
      <c r="K59" s="191"/>
      <c r="L59" s="191"/>
      <c r="M59" s="191"/>
      <c r="N59" s="191"/>
      <c r="O59" s="191"/>
      <c r="P59" s="191"/>
      <c r="Q59" s="191"/>
      <c r="R59" s="191"/>
      <c r="S59" s="191"/>
      <c r="T59" s="191"/>
    </row>
    <row r="60" spans="1:20">
      <c r="A60" s="191"/>
      <c r="B60" s="196"/>
      <c r="C60" s="191"/>
      <c r="D60" s="243"/>
      <c r="E60" s="191"/>
      <c r="F60" s="191"/>
      <c r="G60" s="191"/>
      <c r="H60" s="191"/>
      <c r="I60" s="191"/>
      <c r="J60" s="191"/>
      <c r="K60" s="191"/>
      <c r="L60" s="191"/>
      <c r="M60" s="191"/>
      <c r="N60" s="191"/>
      <c r="O60" s="191"/>
      <c r="P60" s="191"/>
      <c r="Q60" s="191"/>
      <c r="R60" s="191"/>
      <c r="S60" s="191"/>
      <c r="T60" s="191"/>
    </row>
    <row r="61" spans="1:20">
      <c r="A61" s="191"/>
      <c r="B61" s="196"/>
      <c r="C61" s="191"/>
      <c r="D61" s="243"/>
      <c r="E61" s="191"/>
      <c r="F61" s="191"/>
      <c r="G61" s="191"/>
      <c r="H61" s="191"/>
      <c r="I61" s="191"/>
      <c r="J61" s="191"/>
      <c r="K61" s="191"/>
      <c r="L61" s="191"/>
      <c r="M61" s="191"/>
      <c r="N61" s="191"/>
      <c r="O61" s="191"/>
      <c r="P61" s="191"/>
      <c r="Q61" s="191"/>
      <c r="R61" s="191"/>
      <c r="S61" s="191"/>
      <c r="T61" s="191"/>
    </row>
    <row r="62" spans="1:20">
      <c r="A62" s="191"/>
      <c r="B62" s="196"/>
      <c r="C62" s="191"/>
      <c r="D62" s="243"/>
      <c r="E62" s="191"/>
      <c r="F62" s="191"/>
      <c r="G62" s="191"/>
      <c r="H62" s="191"/>
      <c r="I62" s="191"/>
      <c r="J62" s="191"/>
      <c r="K62" s="191"/>
      <c r="L62" s="191"/>
      <c r="M62" s="191"/>
      <c r="N62" s="191"/>
      <c r="O62" s="191"/>
      <c r="P62" s="191"/>
      <c r="Q62" s="191"/>
      <c r="R62" s="191"/>
      <c r="S62" s="191"/>
      <c r="T62" s="191"/>
    </row>
    <row r="63" spans="1:20">
      <c r="A63" s="191"/>
      <c r="B63" s="196"/>
      <c r="C63" s="191"/>
      <c r="D63" s="243"/>
      <c r="E63" s="191"/>
      <c r="F63" s="191"/>
      <c r="G63" s="191"/>
      <c r="H63" s="191"/>
      <c r="I63" s="191"/>
      <c r="J63" s="191"/>
      <c r="K63" s="191"/>
      <c r="L63" s="191"/>
      <c r="M63" s="191"/>
      <c r="N63" s="191"/>
      <c r="O63" s="191"/>
      <c r="P63" s="191"/>
      <c r="Q63" s="191"/>
      <c r="R63" s="191"/>
      <c r="S63" s="191"/>
      <c r="T63" s="191"/>
    </row>
    <row r="64" spans="1:20">
      <c r="A64" s="191"/>
      <c r="B64" s="196"/>
      <c r="C64" s="191"/>
      <c r="D64" s="243"/>
      <c r="E64" s="191"/>
      <c r="F64" s="191"/>
      <c r="G64" s="191"/>
      <c r="H64" s="191"/>
      <c r="I64" s="191"/>
      <c r="J64" s="191"/>
      <c r="K64" s="191"/>
      <c r="L64" s="191"/>
      <c r="M64" s="191"/>
      <c r="N64" s="191"/>
      <c r="O64" s="191"/>
      <c r="P64" s="191"/>
      <c r="Q64" s="191"/>
      <c r="R64" s="191"/>
      <c r="S64" s="191"/>
      <c r="T64" s="191"/>
    </row>
    <row r="65" spans="1:20">
      <c r="A65" s="191"/>
      <c r="B65" s="196"/>
      <c r="C65" s="191"/>
      <c r="D65" s="243"/>
      <c r="E65" s="191"/>
      <c r="F65" s="191"/>
      <c r="G65" s="191"/>
      <c r="H65" s="191"/>
      <c r="I65" s="191"/>
      <c r="J65" s="191"/>
      <c r="K65" s="191"/>
      <c r="L65" s="191"/>
      <c r="M65" s="191"/>
      <c r="N65" s="191"/>
      <c r="O65" s="191"/>
      <c r="P65" s="191"/>
      <c r="Q65" s="191"/>
      <c r="R65" s="191"/>
      <c r="S65" s="191"/>
      <c r="T65" s="191"/>
    </row>
    <row r="66" spans="1:20">
      <c r="A66" s="191"/>
      <c r="B66" s="196"/>
      <c r="C66" s="191"/>
      <c r="D66" s="243"/>
      <c r="E66" s="191"/>
      <c r="F66" s="191"/>
      <c r="G66" s="191"/>
      <c r="H66" s="191"/>
      <c r="I66" s="191"/>
      <c r="J66" s="191"/>
      <c r="K66" s="191"/>
      <c r="L66" s="191"/>
      <c r="M66" s="191"/>
      <c r="N66" s="191"/>
      <c r="O66" s="191"/>
      <c r="P66" s="191"/>
      <c r="Q66" s="191"/>
      <c r="R66" s="191"/>
      <c r="S66" s="191"/>
      <c r="T66" s="191"/>
    </row>
    <row r="67" spans="1:20">
      <c r="A67" s="191"/>
      <c r="B67" s="196"/>
      <c r="C67" s="191"/>
      <c r="D67" s="243"/>
      <c r="E67" s="191"/>
      <c r="F67" s="191"/>
      <c r="G67" s="191"/>
      <c r="H67" s="191"/>
      <c r="I67" s="191"/>
      <c r="J67" s="191"/>
      <c r="K67" s="191"/>
      <c r="L67" s="191"/>
      <c r="M67" s="191"/>
      <c r="N67" s="191"/>
      <c r="O67" s="191"/>
      <c r="P67" s="191"/>
      <c r="Q67" s="191"/>
      <c r="R67" s="191"/>
      <c r="S67" s="191"/>
      <c r="T67" s="191"/>
    </row>
    <row r="68" spans="1:20">
      <c r="A68" s="191"/>
      <c r="B68" s="196"/>
      <c r="C68" s="191"/>
      <c r="D68" s="243"/>
      <c r="E68" s="191"/>
      <c r="F68" s="191"/>
      <c r="G68" s="191"/>
      <c r="H68" s="191"/>
      <c r="I68" s="191"/>
      <c r="J68" s="191"/>
      <c r="K68" s="191"/>
      <c r="L68" s="191"/>
      <c r="M68" s="191"/>
      <c r="N68" s="191"/>
      <c r="O68" s="191"/>
      <c r="P68" s="191"/>
      <c r="Q68" s="191"/>
      <c r="R68" s="191"/>
      <c r="S68" s="191"/>
      <c r="T68" s="191"/>
    </row>
    <row r="69" spans="1:20">
      <c r="A69" s="191"/>
      <c r="B69" s="196"/>
      <c r="C69" s="191"/>
      <c r="D69" s="243"/>
      <c r="E69" s="191"/>
      <c r="F69" s="191"/>
      <c r="G69" s="191"/>
      <c r="H69" s="191"/>
      <c r="I69" s="191"/>
      <c r="J69" s="191"/>
      <c r="K69" s="191"/>
      <c r="L69" s="191"/>
      <c r="M69" s="191"/>
      <c r="N69" s="191"/>
      <c r="O69" s="191"/>
      <c r="P69" s="191"/>
      <c r="Q69" s="191"/>
      <c r="R69" s="191"/>
      <c r="S69" s="191"/>
      <c r="T69" s="191"/>
    </row>
    <row r="70" spans="1:20">
      <c r="A70" s="191"/>
      <c r="B70" s="196"/>
      <c r="C70" s="191"/>
      <c r="D70" s="243"/>
      <c r="E70" s="191"/>
      <c r="F70" s="191"/>
      <c r="G70" s="191"/>
      <c r="H70" s="191"/>
      <c r="I70" s="191"/>
      <c r="J70" s="191"/>
      <c r="K70" s="191"/>
      <c r="L70" s="191"/>
      <c r="M70" s="191"/>
      <c r="N70" s="191"/>
      <c r="O70" s="191"/>
      <c r="P70" s="191"/>
      <c r="Q70" s="191"/>
      <c r="R70" s="191"/>
      <c r="S70" s="191"/>
      <c r="T70" s="191"/>
    </row>
    <row r="71" spans="1:20">
      <c r="A71" s="191"/>
      <c r="B71" s="196"/>
      <c r="C71" s="191"/>
      <c r="D71" s="243"/>
      <c r="E71" s="191"/>
      <c r="F71" s="191"/>
      <c r="G71" s="191"/>
      <c r="H71" s="191"/>
      <c r="I71" s="191"/>
      <c r="J71" s="191"/>
      <c r="K71" s="191"/>
      <c r="L71" s="191"/>
      <c r="M71" s="191"/>
      <c r="N71" s="191"/>
      <c r="O71" s="191"/>
      <c r="P71" s="191"/>
      <c r="Q71" s="191"/>
      <c r="R71" s="191"/>
      <c r="S71" s="191"/>
      <c r="T71" s="191"/>
    </row>
    <row r="72" spans="1:20">
      <c r="A72" s="191"/>
      <c r="B72" s="196"/>
      <c r="C72" s="191"/>
      <c r="D72" s="243"/>
      <c r="E72" s="191"/>
      <c r="F72" s="191"/>
      <c r="G72" s="191"/>
      <c r="H72" s="191"/>
      <c r="I72" s="191"/>
      <c r="J72" s="191"/>
      <c r="K72" s="191"/>
      <c r="L72" s="191"/>
      <c r="M72" s="191"/>
      <c r="N72" s="191"/>
      <c r="O72" s="191"/>
      <c r="P72" s="191"/>
      <c r="Q72" s="191"/>
      <c r="R72" s="191"/>
      <c r="S72" s="191"/>
      <c r="T72" s="191"/>
    </row>
    <row r="73" spans="1:20">
      <c r="A73" s="191"/>
      <c r="B73" s="196"/>
      <c r="C73" s="191"/>
      <c r="D73" s="243"/>
      <c r="E73" s="191"/>
      <c r="F73" s="191"/>
      <c r="G73" s="191"/>
      <c r="H73" s="191"/>
      <c r="I73" s="191"/>
      <c r="J73" s="191"/>
      <c r="K73" s="191"/>
      <c r="L73" s="191"/>
      <c r="M73" s="191"/>
      <c r="N73" s="191"/>
      <c r="O73" s="191"/>
      <c r="P73" s="191"/>
      <c r="Q73" s="191"/>
      <c r="R73" s="191"/>
      <c r="S73" s="191"/>
      <c r="T73" s="191"/>
    </row>
    <row r="74" spans="1:20">
      <c r="A74" s="191"/>
      <c r="B74" s="196"/>
      <c r="C74" s="191"/>
      <c r="D74" s="243"/>
      <c r="E74" s="191"/>
      <c r="F74" s="191"/>
      <c r="G74" s="191"/>
      <c r="H74" s="191"/>
      <c r="I74" s="191"/>
      <c r="J74" s="191"/>
      <c r="K74" s="191"/>
      <c r="L74" s="191"/>
      <c r="M74" s="191"/>
      <c r="N74" s="191"/>
      <c r="O74" s="191"/>
      <c r="P74" s="191"/>
      <c r="Q74" s="191"/>
      <c r="R74" s="191"/>
      <c r="S74" s="191"/>
      <c r="T74" s="191"/>
    </row>
    <row r="75" spans="1:20">
      <c r="A75" s="191"/>
      <c r="B75" s="196"/>
      <c r="C75" s="191"/>
      <c r="D75" s="243"/>
      <c r="E75" s="191"/>
      <c r="F75" s="191"/>
      <c r="G75" s="191"/>
      <c r="H75" s="191"/>
      <c r="I75" s="191"/>
      <c r="J75" s="191"/>
      <c r="K75" s="191"/>
      <c r="L75" s="191"/>
      <c r="M75" s="191"/>
      <c r="N75" s="191"/>
      <c r="O75" s="191"/>
      <c r="P75" s="191"/>
      <c r="Q75" s="191"/>
      <c r="R75" s="191"/>
      <c r="S75" s="191"/>
      <c r="T75" s="191"/>
    </row>
    <row r="76" spans="1:20">
      <c r="A76" s="191"/>
      <c r="B76" s="196"/>
      <c r="C76" s="191"/>
      <c r="D76" s="243"/>
      <c r="E76" s="191"/>
      <c r="F76" s="191"/>
      <c r="G76" s="191"/>
      <c r="H76" s="191"/>
      <c r="I76" s="191"/>
      <c r="J76" s="191"/>
      <c r="K76" s="191"/>
      <c r="L76" s="191"/>
      <c r="M76" s="191"/>
      <c r="N76" s="191"/>
      <c r="O76" s="191"/>
      <c r="P76" s="191"/>
      <c r="Q76" s="191"/>
      <c r="R76" s="191"/>
      <c r="S76" s="191"/>
      <c r="T76" s="191"/>
    </row>
    <row r="77" spans="1:20">
      <c r="A77" s="191"/>
      <c r="B77" s="196"/>
      <c r="C77" s="191"/>
      <c r="D77" s="243"/>
      <c r="E77" s="191"/>
      <c r="F77" s="191"/>
      <c r="G77" s="191"/>
      <c r="H77" s="191"/>
      <c r="I77" s="191"/>
      <c r="J77" s="191"/>
      <c r="K77" s="191"/>
      <c r="L77" s="191"/>
      <c r="M77" s="191"/>
      <c r="N77" s="191"/>
      <c r="O77" s="191"/>
      <c r="P77" s="191"/>
      <c r="Q77" s="191"/>
      <c r="R77" s="191"/>
      <c r="S77" s="191"/>
      <c r="T77" s="191"/>
    </row>
    <row r="78" spans="1:20">
      <c r="A78" s="191"/>
      <c r="B78" s="196"/>
      <c r="C78" s="191"/>
      <c r="D78" s="243"/>
      <c r="E78" s="191"/>
      <c r="F78" s="191"/>
      <c r="G78" s="191"/>
      <c r="H78" s="191"/>
      <c r="I78" s="191"/>
      <c r="J78" s="191"/>
      <c r="K78" s="191"/>
      <c r="L78" s="191"/>
      <c r="M78" s="191"/>
      <c r="N78" s="191"/>
      <c r="O78" s="191"/>
      <c r="P78" s="191"/>
      <c r="Q78" s="191"/>
      <c r="R78" s="191"/>
      <c r="S78" s="191"/>
      <c r="T78" s="191"/>
    </row>
    <row r="79" spans="1:20">
      <c r="A79" s="191"/>
      <c r="B79" s="196"/>
      <c r="C79" s="191"/>
      <c r="D79" s="243"/>
      <c r="E79" s="191"/>
      <c r="F79" s="191"/>
      <c r="G79" s="191"/>
      <c r="H79" s="191"/>
      <c r="I79" s="191"/>
      <c r="J79" s="191"/>
      <c r="K79" s="191"/>
      <c r="L79" s="191"/>
      <c r="M79" s="191"/>
      <c r="N79" s="191"/>
      <c r="O79" s="191"/>
      <c r="P79" s="191"/>
      <c r="Q79" s="191"/>
      <c r="R79" s="191"/>
      <c r="S79" s="191"/>
      <c r="T79" s="191"/>
    </row>
    <row r="80" spans="1:20">
      <c r="A80" s="191"/>
      <c r="B80" s="196"/>
      <c r="C80" s="191"/>
      <c r="D80" s="243"/>
      <c r="E80" s="191"/>
      <c r="F80" s="191"/>
      <c r="G80" s="191"/>
      <c r="H80" s="191"/>
      <c r="I80" s="191"/>
      <c r="J80" s="191"/>
      <c r="K80" s="191"/>
      <c r="L80" s="191"/>
      <c r="M80" s="191"/>
      <c r="N80" s="191"/>
      <c r="O80" s="191"/>
      <c r="P80" s="191"/>
      <c r="Q80" s="191"/>
      <c r="R80" s="191"/>
      <c r="S80" s="191"/>
      <c r="T80" s="191"/>
    </row>
    <row r="81" spans="1:20">
      <c r="A81" s="191"/>
      <c r="B81" s="196"/>
      <c r="C81" s="191"/>
      <c r="D81" s="243"/>
      <c r="E81" s="191"/>
      <c r="F81" s="191"/>
      <c r="G81" s="191"/>
      <c r="H81" s="191"/>
      <c r="I81" s="191"/>
      <c r="J81" s="191"/>
      <c r="K81" s="191"/>
      <c r="L81" s="191"/>
      <c r="M81" s="191"/>
      <c r="N81" s="191"/>
      <c r="O81" s="191"/>
      <c r="P81" s="191"/>
      <c r="Q81" s="191"/>
      <c r="R81" s="191"/>
      <c r="S81" s="191"/>
      <c r="T81" s="191"/>
    </row>
    <row r="82" spans="1:20">
      <c r="A82" s="191"/>
      <c r="B82" s="196"/>
      <c r="C82" s="191"/>
      <c r="D82" s="243"/>
      <c r="E82" s="191"/>
      <c r="F82" s="191"/>
      <c r="G82" s="191"/>
      <c r="H82" s="191"/>
      <c r="I82" s="191"/>
      <c r="J82" s="191"/>
      <c r="K82" s="191"/>
      <c r="L82" s="191"/>
      <c r="M82" s="191"/>
      <c r="N82" s="191"/>
      <c r="O82" s="191"/>
      <c r="P82" s="191"/>
      <c r="Q82" s="191"/>
      <c r="R82" s="191"/>
      <c r="S82" s="191"/>
      <c r="T82" s="191"/>
    </row>
    <row r="83" spans="1:20">
      <c r="A83" s="191"/>
      <c r="B83" s="196"/>
      <c r="C83" s="191"/>
      <c r="D83" s="243"/>
      <c r="E83" s="191"/>
      <c r="F83" s="191"/>
      <c r="G83" s="191"/>
      <c r="H83" s="191"/>
      <c r="I83" s="191"/>
      <c r="J83" s="191"/>
      <c r="K83" s="191"/>
      <c r="L83" s="191"/>
      <c r="M83" s="191"/>
      <c r="N83" s="191"/>
      <c r="O83" s="191"/>
      <c r="P83" s="191"/>
      <c r="Q83" s="191"/>
      <c r="R83" s="191"/>
      <c r="S83" s="191"/>
      <c r="T83" s="191"/>
    </row>
    <row r="84" spans="1:20">
      <c r="A84" s="191"/>
      <c r="B84" s="196"/>
      <c r="C84" s="191"/>
      <c r="D84" s="243"/>
      <c r="E84" s="191"/>
      <c r="F84" s="191"/>
      <c r="G84" s="191"/>
      <c r="H84" s="191"/>
      <c r="I84" s="191"/>
      <c r="J84" s="191"/>
      <c r="K84" s="191"/>
      <c r="L84" s="191"/>
      <c r="M84" s="191"/>
      <c r="N84" s="191"/>
      <c r="O84" s="191"/>
      <c r="P84" s="191"/>
      <c r="Q84" s="191"/>
      <c r="R84" s="191"/>
      <c r="S84" s="191"/>
      <c r="T84" s="191"/>
    </row>
    <row r="85" spans="1:20">
      <c r="A85" s="191"/>
      <c r="B85" s="196"/>
      <c r="C85" s="191"/>
      <c r="D85" s="243"/>
      <c r="E85" s="191"/>
      <c r="F85" s="191"/>
      <c r="G85" s="191"/>
      <c r="H85" s="191"/>
      <c r="I85" s="191"/>
      <c r="J85" s="191"/>
      <c r="K85" s="191"/>
      <c r="L85" s="191"/>
      <c r="M85" s="191"/>
      <c r="N85" s="191"/>
      <c r="O85" s="191"/>
      <c r="P85" s="191"/>
      <c r="Q85" s="191"/>
      <c r="R85" s="191"/>
      <c r="S85" s="191"/>
      <c r="T85" s="191"/>
    </row>
    <row r="86" spans="1:20">
      <c r="A86" s="191"/>
      <c r="B86" s="196"/>
      <c r="C86" s="191"/>
      <c r="D86" s="243"/>
      <c r="E86" s="191"/>
      <c r="F86" s="191"/>
      <c r="G86" s="191"/>
      <c r="H86" s="191"/>
      <c r="I86" s="191"/>
      <c r="J86" s="191"/>
      <c r="K86" s="191"/>
      <c r="L86" s="191"/>
      <c r="M86" s="191"/>
      <c r="N86" s="191"/>
      <c r="O86" s="191"/>
      <c r="P86" s="191"/>
      <c r="Q86" s="191"/>
      <c r="R86" s="191"/>
      <c r="S86" s="191"/>
      <c r="T86" s="191"/>
    </row>
    <row r="87" spans="1:20">
      <c r="A87" s="191"/>
      <c r="B87" s="196"/>
      <c r="C87" s="191"/>
      <c r="D87" s="243"/>
      <c r="E87" s="191"/>
      <c r="F87" s="191"/>
      <c r="G87" s="191"/>
      <c r="H87" s="191"/>
      <c r="I87" s="191"/>
      <c r="J87" s="191"/>
      <c r="K87" s="191"/>
      <c r="L87" s="191"/>
      <c r="M87" s="191"/>
      <c r="N87" s="191"/>
      <c r="O87" s="191"/>
      <c r="P87" s="191"/>
      <c r="Q87" s="191"/>
      <c r="R87" s="191"/>
      <c r="S87" s="191"/>
      <c r="T87" s="191"/>
    </row>
    <row r="88" spans="1:20">
      <c r="A88" s="191"/>
      <c r="B88" s="196"/>
      <c r="C88" s="191"/>
      <c r="D88" s="243"/>
      <c r="E88" s="191"/>
      <c r="F88" s="191"/>
      <c r="G88" s="191"/>
      <c r="H88" s="191"/>
      <c r="I88" s="191"/>
      <c r="J88" s="191"/>
      <c r="K88" s="191"/>
      <c r="L88" s="191"/>
      <c r="M88" s="191"/>
      <c r="N88" s="191"/>
      <c r="O88" s="191"/>
      <c r="P88" s="191"/>
      <c r="Q88" s="191"/>
      <c r="R88" s="191"/>
      <c r="S88" s="191"/>
      <c r="T88" s="191"/>
    </row>
    <row r="89" spans="1:20">
      <c r="A89" s="191"/>
      <c r="B89" s="196"/>
      <c r="C89" s="191"/>
      <c r="D89" s="243"/>
      <c r="E89" s="191"/>
      <c r="F89" s="191"/>
      <c r="G89" s="191"/>
      <c r="H89" s="191"/>
      <c r="I89" s="191"/>
      <c r="J89" s="191"/>
      <c r="K89" s="191"/>
      <c r="L89" s="191"/>
      <c r="M89" s="191"/>
      <c r="N89" s="191"/>
      <c r="O89" s="191"/>
      <c r="P89" s="191"/>
      <c r="Q89" s="191"/>
      <c r="R89" s="191"/>
      <c r="S89" s="191"/>
      <c r="T89" s="191"/>
    </row>
    <row r="90" spans="1:20">
      <c r="A90" s="191"/>
      <c r="B90" s="196"/>
      <c r="C90" s="191"/>
      <c r="D90" s="243"/>
      <c r="E90" s="191"/>
      <c r="F90" s="191"/>
      <c r="G90" s="191"/>
      <c r="H90" s="191"/>
      <c r="I90" s="191"/>
      <c r="J90" s="191"/>
      <c r="K90" s="191"/>
      <c r="L90" s="191"/>
      <c r="M90" s="191"/>
      <c r="N90" s="191"/>
      <c r="O90" s="191"/>
      <c r="P90" s="191"/>
      <c r="Q90" s="191"/>
      <c r="R90" s="191"/>
      <c r="S90" s="191"/>
      <c r="T90" s="191"/>
    </row>
    <row r="91" spans="1:20">
      <c r="A91" s="191"/>
      <c r="B91" s="196"/>
      <c r="C91" s="191"/>
      <c r="D91" s="243"/>
      <c r="E91" s="191"/>
      <c r="F91" s="191"/>
      <c r="G91" s="191"/>
      <c r="H91" s="191"/>
      <c r="I91" s="191"/>
      <c r="J91" s="191"/>
      <c r="K91" s="191"/>
      <c r="L91" s="191"/>
      <c r="M91" s="191"/>
      <c r="N91" s="191"/>
      <c r="O91" s="191"/>
      <c r="P91" s="191"/>
      <c r="Q91" s="191"/>
      <c r="R91" s="191"/>
      <c r="S91" s="191"/>
      <c r="T91" s="191"/>
    </row>
    <row r="92" spans="1:20">
      <c r="A92" s="191"/>
      <c r="B92" s="196"/>
      <c r="C92" s="191"/>
      <c r="D92" s="243"/>
      <c r="E92" s="191"/>
      <c r="F92" s="191"/>
      <c r="G92" s="191"/>
      <c r="H92" s="191"/>
      <c r="I92" s="191"/>
      <c r="J92" s="191"/>
      <c r="K92" s="191"/>
      <c r="L92" s="191"/>
      <c r="M92" s="191"/>
      <c r="N92" s="191"/>
      <c r="O92" s="191"/>
      <c r="P92" s="191"/>
      <c r="Q92" s="191"/>
      <c r="R92" s="191"/>
      <c r="S92" s="191"/>
      <c r="T92" s="191"/>
    </row>
    <row r="93" spans="1:20">
      <c r="A93" s="191"/>
      <c r="B93" s="196"/>
      <c r="C93" s="191"/>
      <c r="D93" s="243"/>
      <c r="E93" s="191"/>
      <c r="F93" s="191"/>
      <c r="G93" s="191"/>
      <c r="H93" s="191"/>
      <c r="I93" s="191"/>
      <c r="J93" s="191"/>
      <c r="K93" s="191"/>
      <c r="L93" s="191"/>
      <c r="M93" s="191"/>
      <c r="N93" s="191"/>
      <c r="O93" s="191"/>
      <c r="P93" s="191"/>
      <c r="Q93" s="191"/>
      <c r="R93" s="191"/>
      <c r="S93" s="191"/>
      <c r="T93" s="191"/>
    </row>
    <row r="94" spans="1:20">
      <c r="A94" s="191"/>
      <c r="B94" s="196"/>
      <c r="C94" s="191"/>
      <c r="D94" s="243"/>
      <c r="E94" s="191"/>
      <c r="F94" s="191"/>
      <c r="G94" s="191"/>
      <c r="H94" s="191"/>
      <c r="I94" s="191"/>
      <c r="J94" s="191"/>
      <c r="K94" s="191"/>
      <c r="L94" s="191"/>
      <c r="M94" s="191"/>
      <c r="N94" s="191"/>
      <c r="O94" s="191"/>
      <c r="P94" s="191"/>
      <c r="Q94" s="191"/>
      <c r="R94" s="191"/>
      <c r="S94" s="191"/>
      <c r="T94" s="191"/>
    </row>
    <row r="95" spans="1:20">
      <c r="A95" s="191"/>
      <c r="B95" s="196"/>
      <c r="C95" s="191"/>
      <c r="D95" s="243"/>
      <c r="E95" s="191"/>
      <c r="F95" s="191"/>
      <c r="G95" s="191"/>
      <c r="H95" s="191"/>
      <c r="I95" s="191"/>
      <c r="J95" s="191"/>
      <c r="K95" s="191"/>
      <c r="L95" s="191"/>
      <c r="M95" s="191"/>
      <c r="N95" s="191"/>
      <c r="O95" s="191"/>
      <c r="P95" s="191"/>
      <c r="Q95" s="191"/>
      <c r="R95" s="191"/>
      <c r="S95" s="191"/>
      <c r="T95" s="191"/>
    </row>
    <row r="96" spans="1:20">
      <c r="A96" s="191"/>
      <c r="B96" s="196"/>
      <c r="C96" s="191"/>
      <c r="D96" s="243"/>
      <c r="E96" s="191"/>
      <c r="F96" s="191"/>
      <c r="G96" s="191"/>
      <c r="H96" s="191"/>
      <c r="I96" s="191"/>
      <c r="J96" s="191"/>
      <c r="K96" s="191"/>
      <c r="L96" s="191"/>
      <c r="M96" s="191"/>
      <c r="N96" s="191"/>
      <c r="O96" s="191"/>
      <c r="P96" s="191"/>
      <c r="Q96" s="191"/>
      <c r="R96" s="191"/>
      <c r="S96" s="191"/>
      <c r="T96" s="191"/>
    </row>
    <row r="97" spans="1:20">
      <c r="A97" s="191"/>
      <c r="B97" s="196"/>
      <c r="C97" s="191"/>
      <c r="D97" s="243"/>
      <c r="E97" s="191"/>
      <c r="F97" s="191"/>
      <c r="G97" s="191"/>
      <c r="H97" s="191"/>
      <c r="I97" s="191"/>
      <c r="J97" s="191"/>
      <c r="K97" s="191"/>
      <c r="L97" s="191"/>
      <c r="M97" s="191"/>
      <c r="N97" s="191"/>
      <c r="O97" s="191"/>
      <c r="P97" s="191"/>
      <c r="Q97" s="191"/>
      <c r="R97" s="191"/>
      <c r="S97" s="191"/>
      <c r="T97" s="191"/>
    </row>
    <row r="98" spans="1:20">
      <c r="A98" s="191"/>
      <c r="B98" s="196"/>
      <c r="C98" s="191"/>
      <c r="D98" s="243"/>
      <c r="E98" s="191"/>
      <c r="F98" s="191"/>
      <c r="G98" s="191"/>
      <c r="H98" s="191"/>
      <c r="I98" s="191"/>
      <c r="J98" s="191"/>
      <c r="K98" s="191"/>
      <c r="L98" s="191"/>
      <c r="M98" s="191"/>
      <c r="N98" s="191"/>
      <c r="O98" s="191"/>
      <c r="P98" s="191"/>
      <c r="Q98" s="191"/>
      <c r="R98" s="191"/>
      <c r="S98" s="191"/>
      <c r="T98" s="191"/>
    </row>
    <row r="99" spans="1:20">
      <c r="A99" s="191"/>
      <c r="B99" s="196"/>
      <c r="C99" s="191"/>
      <c r="D99" s="243"/>
      <c r="E99" s="191"/>
      <c r="F99" s="191"/>
      <c r="G99" s="191"/>
      <c r="H99" s="191"/>
      <c r="I99" s="191"/>
      <c r="J99" s="191"/>
      <c r="K99" s="191"/>
      <c r="L99" s="191"/>
      <c r="M99" s="191"/>
      <c r="N99" s="191"/>
      <c r="O99" s="191"/>
      <c r="P99" s="191"/>
      <c r="Q99" s="191"/>
      <c r="R99" s="191"/>
      <c r="S99" s="191"/>
      <c r="T99" s="191"/>
    </row>
    <row r="100" spans="1:20">
      <c r="A100" s="191"/>
      <c r="B100" s="196"/>
      <c r="C100" s="191"/>
      <c r="D100" s="243"/>
      <c r="E100" s="191"/>
      <c r="F100" s="191"/>
      <c r="G100" s="191"/>
      <c r="H100" s="191"/>
      <c r="I100" s="191"/>
      <c r="J100" s="191"/>
      <c r="K100" s="191"/>
      <c r="L100" s="191"/>
      <c r="M100" s="191"/>
      <c r="N100" s="191"/>
      <c r="O100" s="191"/>
      <c r="P100" s="191"/>
      <c r="Q100" s="191"/>
      <c r="R100" s="191"/>
      <c r="S100" s="191"/>
      <c r="T100" s="191"/>
    </row>
    <row r="101" spans="1:20">
      <c r="A101" s="191"/>
      <c r="B101" s="196"/>
      <c r="C101" s="191"/>
      <c r="D101" s="243"/>
      <c r="E101" s="191"/>
      <c r="F101" s="191"/>
      <c r="G101" s="191"/>
      <c r="H101" s="191"/>
      <c r="I101" s="191"/>
      <c r="J101" s="191"/>
      <c r="K101" s="191"/>
      <c r="L101" s="191"/>
      <c r="M101" s="191"/>
      <c r="N101" s="191"/>
      <c r="O101" s="191"/>
      <c r="P101" s="191"/>
      <c r="Q101" s="191"/>
      <c r="R101" s="191"/>
      <c r="S101" s="191"/>
      <c r="T101" s="191"/>
    </row>
    <row r="102" spans="1:20">
      <c r="A102" s="191"/>
      <c r="B102" s="196"/>
      <c r="C102" s="191"/>
      <c r="D102" s="243"/>
      <c r="E102" s="191"/>
      <c r="F102" s="191"/>
      <c r="G102" s="191"/>
      <c r="H102" s="191"/>
      <c r="I102" s="191"/>
      <c r="J102" s="191"/>
      <c r="K102" s="191"/>
      <c r="L102" s="191"/>
      <c r="M102" s="191"/>
      <c r="N102" s="191"/>
      <c r="O102" s="191"/>
      <c r="P102" s="191"/>
      <c r="Q102" s="191"/>
      <c r="R102" s="191"/>
      <c r="S102" s="191"/>
      <c r="T102" s="191"/>
    </row>
    <row r="103" spans="1:20">
      <c r="A103" s="191"/>
      <c r="B103" s="196"/>
      <c r="C103" s="191"/>
      <c r="D103" s="243"/>
      <c r="E103" s="191"/>
      <c r="F103" s="191"/>
      <c r="G103" s="191"/>
      <c r="H103" s="191"/>
      <c r="I103" s="191"/>
      <c r="J103" s="191"/>
      <c r="K103" s="191"/>
      <c r="L103" s="191"/>
      <c r="M103" s="191"/>
      <c r="N103" s="191"/>
      <c r="O103" s="191"/>
      <c r="P103" s="191"/>
      <c r="Q103" s="191"/>
      <c r="R103" s="191"/>
      <c r="S103" s="191"/>
      <c r="T103" s="191"/>
    </row>
    <row r="104" spans="1:20">
      <c r="A104" s="191"/>
      <c r="B104" s="196"/>
      <c r="C104" s="191"/>
      <c r="D104" s="243"/>
      <c r="E104" s="191"/>
      <c r="F104" s="191"/>
      <c r="G104" s="191"/>
      <c r="H104" s="191"/>
      <c r="I104" s="191"/>
      <c r="J104" s="191"/>
      <c r="K104" s="191"/>
      <c r="L104" s="191"/>
      <c r="M104" s="191"/>
      <c r="N104" s="191"/>
      <c r="O104" s="191"/>
      <c r="P104" s="191"/>
      <c r="Q104" s="191"/>
      <c r="R104" s="191"/>
      <c r="S104" s="191"/>
      <c r="T104" s="191"/>
    </row>
    <row r="105" spans="1:20">
      <c r="A105" s="191"/>
      <c r="B105" s="196"/>
      <c r="C105" s="191"/>
      <c r="D105" s="243"/>
      <c r="E105" s="191"/>
      <c r="F105" s="191"/>
      <c r="G105" s="191"/>
      <c r="H105" s="191"/>
      <c r="I105" s="191"/>
      <c r="J105" s="191"/>
      <c r="K105" s="191"/>
      <c r="L105" s="191"/>
      <c r="M105" s="191"/>
      <c r="N105" s="191"/>
      <c r="O105" s="191"/>
      <c r="P105" s="191"/>
      <c r="Q105" s="191"/>
      <c r="R105" s="191"/>
      <c r="S105" s="191"/>
      <c r="T105" s="191"/>
    </row>
    <row r="106" spans="1:20">
      <c r="A106" s="191"/>
      <c r="B106" s="196"/>
      <c r="C106" s="191"/>
      <c r="D106" s="243"/>
      <c r="E106" s="191"/>
      <c r="F106" s="191"/>
      <c r="G106" s="191"/>
      <c r="H106" s="191"/>
      <c r="I106" s="191"/>
      <c r="J106" s="191"/>
      <c r="K106" s="191"/>
      <c r="L106" s="191"/>
      <c r="M106" s="191"/>
      <c r="N106" s="191"/>
      <c r="O106" s="191"/>
      <c r="P106" s="191"/>
      <c r="Q106" s="191"/>
      <c r="R106" s="191"/>
      <c r="S106" s="191"/>
      <c r="T106" s="191"/>
    </row>
    <row r="107" spans="1:20">
      <c r="A107" s="191"/>
      <c r="B107" s="196"/>
      <c r="C107" s="191"/>
      <c r="D107" s="243"/>
      <c r="E107" s="191"/>
      <c r="F107" s="191"/>
      <c r="G107" s="191"/>
      <c r="H107" s="191"/>
      <c r="I107" s="191"/>
      <c r="J107" s="191"/>
      <c r="K107" s="191"/>
      <c r="L107" s="191"/>
      <c r="M107" s="191"/>
      <c r="N107" s="191"/>
      <c r="O107" s="191"/>
      <c r="P107" s="191"/>
      <c r="Q107" s="191"/>
      <c r="R107" s="191"/>
      <c r="S107" s="191"/>
      <c r="T107" s="191"/>
    </row>
    <row r="108" spans="1:20">
      <c r="A108" s="191"/>
      <c r="B108" s="196"/>
      <c r="C108" s="191"/>
      <c r="D108" s="243"/>
      <c r="E108" s="191"/>
      <c r="F108" s="191"/>
      <c r="G108" s="191"/>
      <c r="H108" s="191"/>
      <c r="I108" s="191"/>
      <c r="J108" s="191"/>
      <c r="K108" s="191"/>
      <c r="L108" s="191"/>
      <c r="M108" s="191"/>
      <c r="N108" s="191"/>
      <c r="O108" s="191"/>
      <c r="P108" s="191"/>
      <c r="Q108" s="191"/>
      <c r="R108" s="191"/>
      <c r="S108" s="191"/>
      <c r="T108" s="191"/>
    </row>
    <row r="109" spans="1:20">
      <c r="A109" s="191"/>
      <c r="B109" s="196"/>
      <c r="C109" s="191"/>
      <c r="D109" s="243"/>
      <c r="E109" s="191"/>
      <c r="F109" s="191"/>
      <c r="G109" s="191"/>
      <c r="H109" s="191"/>
      <c r="I109" s="191"/>
      <c r="J109" s="191"/>
      <c r="K109" s="191"/>
      <c r="L109" s="191"/>
      <c r="M109" s="191"/>
      <c r="N109" s="191"/>
      <c r="O109" s="191"/>
      <c r="P109" s="191"/>
      <c r="Q109" s="191"/>
      <c r="R109" s="191"/>
      <c r="S109" s="191"/>
      <c r="T109" s="191"/>
    </row>
    <row r="110" spans="1:20">
      <c r="A110" s="191"/>
      <c r="B110" s="196"/>
      <c r="C110" s="191"/>
      <c r="D110" s="243"/>
      <c r="E110" s="191"/>
      <c r="F110" s="191"/>
      <c r="G110" s="191"/>
      <c r="H110" s="191"/>
      <c r="I110" s="191"/>
      <c r="J110" s="191"/>
      <c r="K110" s="191"/>
      <c r="L110" s="191"/>
      <c r="M110" s="191"/>
      <c r="N110" s="191"/>
      <c r="O110" s="191"/>
      <c r="P110" s="191"/>
      <c r="Q110" s="191"/>
      <c r="R110" s="191"/>
      <c r="S110" s="191"/>
      <c r="T110" s="191"/>
    </row>
    <row r="111" spans="1:20">
      <c r="A111" s="191"/>
      <c r="B111" s="196"/>
      <c r="C111" s="191"/>
      <c r="D111" s="243"/>
      <c r="E111" s="191"/>
      <c r="F111" s="191"/>
      <c r="G111" s="191"/>
      <c r="H111" s="191"/>
      <c r="I111" s="191"/>
      <c r="J111" s="191"/>
      <c r="K111" s="191"/>
      <c r="L111" s="191"/>
      <c r="M111" s="191"/>
      <c r="N111" s="191"/>
      <c r="O111" s="191"/>
      <c r="P111" s="191"/>
      <c r="Q111" s="191"/>
      <c r="R111" s="191"/>
      <c r="S111" s="191"/>
      <c r="T111" s="191"/>
    </row>
    <row r="112" spans="1:20">
      <c r="A112" s="191"/>
      <c r="B112" s="196"/>
      <c r="C112" s="191"/>
      <c r="D112" s="243"/>
      <c r="E112" s="191"/>
      <c r="F112" s="191"/>
      <c r="G112" s="191"/>
      <c r="H112" s="191"/>
      <c r="I112" s="191"/>
      <c r="J112" s="191"/>
      <c r="K112" s="191"/>
      <c r="L112" s="191"/>
      <c r="M112" s="191"/>
      <c r="N112" s="191"/>
      <c r="O112" s="191"/>
      <c r="P112" s="191"/>
      <c r="Q112" s="191"/>
      <c r="R112" s="191"/>
      <c r="S112" s="191"/>
      <c r="T112" s="191"/>
    </row>
    <row r="113" spans="1:20">
      <c r="A113" s="191"/>
      <c r="B113" s="196"/>
      <c r="C113" s="191"/>
      <c r="D113" s="243"/>
      <c r="E113" s="191"/>
      <c r="F113" s="191"/>
      <c r="G113" s="191"/>
      <c r="H113" s="191"/>
      <c r="I113" s="191"/>
      <c r="J113" s="191"/>
      <c r="K113" s="191"/>
      <c r="L113" s="191"/>
      <c r="M113" s="191"/>
      <c r="N113" s="191"/>
      <c r="O113" s="191"/>
      <c r="P113" s="191"/>
      <c r="Q113" s="191"/>
      <c r="R113" s="191"/>
      <c r="S113" s="191"/>
      <c r="T113" s="191"/>
    </row>
    <row r="114" spans="1:20">
      <c r="A114" s="191"/>
      <c r="B114" s="196"/>
      <c r="C114" s="191"/>
      <c r="D114" s="243"/>
      <c r="E114" s="191"/>
      <c r="F114" s="191"/>
      <c r="G114" s="191"/>
      <c r="H114" s="191"/>
      <c r="I114" s="191"/>
      <c r="J114" s="191"/>
      <c r="K114" s="191"/>
      <c r="L114" s="191"/>
      <c r="M114" s="191"/>
      <c r="N114" s="191"/>
      <c r="O114" s="191"/>
      <c r="P114" s="191"/>
      <c r="Q114" s="191"/>
      <c r="R114" s="191"/>
      <c r="S114" s="191"/>
      <c r="T114" s="191"/>
    </row>
    <row r="115" spans="1:20">
      <c r="A115" s="191"/>
      <c r="B115" s="196"/>
      <c r="C115" s="191"/>
      <c r="D115" s="243"/>
      <c r="E115" s="191"/>
      <c r="F115" s="191"/>
      <c r="G115" s="191"/>
      <c r="H115" s="191"/>
      <c r="I115" s="191"/>
      <c r="J115" s="191"/>
      <c r="K115" s="191"/>
      <c r="L115" s="191"/>
      <c r="M115" s="191"/>
      <c r="N115" s="191"/>
      <c r="O115" s="191"/>
      <c r="P115" s="191"/>
      <c r="Q115" s="191"/>
      <c r="R115" s="191"/>
      <c r="S115" s="191"/>
      <c r="T115" s="191"/>
    </row>
    <row r="116" spans="1:20">
      <c r="A116" s="191"/>
      <c r="B116" s="196"/>
      <c r="C116" s="191"/>
      <c r="D116" s="243"/>
      <c r="E116" s="191"/>
      <c r="F116" s="191"/>
      <c r="G116" s="191"/>
      <c r="H116" s="191"/>
      <c r="I116" s="191"/>
      <c r="J116" s="191"/>
      <c r="K116" s="191"/>
      <c r="L116" s="191"/>
      <c r="M116" s="191"/>
      <c r="N116" s="191"/>
      <c r="O116" s="191"/>
      <c r="P116" s="191"/>
      <c r="Q116" s="191"/>
      <c r="R116" s="191"/>
      <c r="S116" s="191"/>
      <c r="T116" s="191"/>
    </row>
    <row r="117" spans="1:20">
      <c r="A117" s="191"/>
      <c r="B117" s="196"/>
      <c r="C117" s="191"/>
      <c r="D117" s="243"/>
      <c r="E117" s="191"/>
      <c r="F117" s="191"/>
      <c r="G117" s="191"/>
      <c r="H117" s="191"/>
      <c r="I117" s="191"/>
      <c r="J117" s="191"/>
      <c r="K117" s="191"/>
      <c r="L117" s="191"/>
      <c r="M117" s="191"/>
      <c r="N117" s="191"/>
      <c r="O117" s="191"/>
      <c r="P117" s="191"/>
      <c r="Q117" s="191"/>
      <c r="R117" s="191"/>
      <c r="S117" s="191"/>
      <c r="T117" s="191"/>
    </row>
    <row r="118" spans="1:20">
      <c r="A118" s="191"/>
      <c r="B118" s="196"/>
      <c r="C118" s="191"/>
      <c r="D118" s="243"/>
      <c r="E118" s="191"/>
      <c r="F118" s="191"/>
      <c r="G118" s="191"/>
      <c r="H118" s="191"/>
      <c r="I118" s="191"/>
      <c r="J118" s="191"/>
      <c r="K118" s="191"/>
      <c r="L118" s="191"/>
      <c r="M118" s="191"/>
      <c r="N118" s="191"/>
      <c r="O118" s="191"/>
      <c r="P118" s="191"/>
      <c r="Q118" s="191"/>
      <c r="R118" s="191"/>
      <c r="S118" s="191"/>
      <c r="T118" s="191"/>
    </row>
    <row r="119" spans="1:20">
      <c r="A119" s="191"/>
      <c r="B119" s="196"/>
      <c r="C119" s="191"/>
      <c r="D119" s="243"/>
      <c r="E119" s="191"/>
      <c r="F119" s="191"/>
      <c r="G119" s="191"/>
      <c r="H119" s="191"/>
      <c r="I119" s="191"/>
      <c r="J119" s="191"/>
      <c r="K119" s="191"/>
      <c r="L119" s="191"/>
      <c r="M119" s="191"/>
      <c r="N119" s="191"/>
      <c r="O119" s="191"/>
      <c r="P119" s="191"/>
      <c r="Q119" s="191"/>
      <c r="R119" s="191"/>
      <c r="S119" s="191"/>
      <c r="T119" s="191"/>
    </row>
    <row r="120" spans="1:20">
      <c r="A120" s="191"/>
      <c r="B120" s="196"/>
      <c r="C120" s="191"/>
      <c r="D120" s="243"/>
      <c r="E120" s="191"/>
      <c r="F120" s="191"/>
      <c r="G120" s="191"/>
      <c r="H120" s="191"/>
      <c r="I120" s="191"/>
      <c r="J120" s="191"/>
      <c r="K120" s="191"/>
      <c r="L120" s="191"/>
      <c r="M120" s="191"/>
      <c r="N120" s="191"/>
      <c r="O120" s="191"/>
      <c r="P120" s="191"/>
      <c r="Q120" s="191"/>
      <c r="R120" s="191"/>
      <c r="S120" s="191"/>
      <c r="T120" s="191"/>
    </row>
    <row r="121" spans="1:20">
      <c r="A121" s="191"/>
      <c r="B121" s="196"/>
      <c r="C121" s="191"/>
      <c r="D121" s="243"/>
      <c r="E121" s="191"/>
      <c r="F121" s="191"/>
      <c r="G121" s="191"/>
      <c r="H121" s="191"/>
      <c r="I121" s="191"/>
      <c r="J121" s="191"/>
      <c r="K121" s="191"/>
      <c r="L121" s="191"/>
      <c r="M121" s="191"/>
      <c r="N121" s="191"/>
      <c r="O121" s="191"/>
      <c r="P121" s="191"/>
      <c r="Q121" s="191"/>
      <c r="R121" s="191"/>
      <c r="S121" s="191"/>
      <c r="T121" s="191"/>
    </row>
    <row r="122" spans="1:20">
      <c r="A122" s="191"/>
      <c r="B122" s="196"/>
      <c r="C122" s="191"/>
      <c r="D122" s="243"/>
      <c r="E122" s="191"/>
      <c r="F122" s="191"/>
      <c r="G122" s="191"/>
      <c r="H122" s="191"/>
      <c r="I122" s="191"/>
      <c r="J122" s="191"/>
      <c r="K122" s="191"/>
      <c r="L122" s="191"/>
      <c r="M122" s="191"/>
      <c r="N122" s="191"/>
      <c r="O122" s="191"/>
      <c r="P122" s="191"/>
      <c r="Q122" s="191"/>
      <c r="R122" s="191"/>
      <c r="S122" s="191"/>
      <c r="T122" s="191"/>
    </row>
    <row r="123" spans="1:20">
      <c r="A123" s="191"/>
      <c r="B123" s="196"/>
      <c r="C123" s="191"/>
      <c r="D123" s="243"/>
      <c r="E123" s="191"/>
      <c r="F123" s="191"/>
      <c r="G123" s="191"/>
      <c r="H123" s="191"/>
      <c r="I123" s="191"/>
      <c r="J123" s="191"/>
      <c r="K123" s="191"/>
      <c r="L123" s="191"/>
      <c r="M123" s="191"/>
      <c r="N123" s="191"/>
      <c r="O123" s="191"/>
      <c r="P123" s="191"/>
      <c r="Q123" s="191"/>
      <c r="R123" s="191"/>
      <c r="S123" s="191"/>
      <c r="T123" s="191"/>
    </row>
    <row r="124" spans="1:20">
      <c r="A124" s="191"/>
      <c r="B124" s="196"/>
      <c r="C124" s="191"/>
      <c r="D124" s="243"/>
      <c r="E124" s="191"/>
      <c r="F124" s="191"/>
      <c r="G124" s="191"/>
      <c r="H124" s="191"/>
      <c r="I124" s="191"/>
      <c r="J124" s="191"/>
      <c r="K124" s="191"/>
      <c r="L124" s="191"/>
      <c r="M124" s="191"/>
      <c r="N124" s="191"/>
      <c r="O124" s="191"/>
      <c r="P124" s="191"/>
      <c r="Q124" s="191"/>
      <c r="R124" s="191"/>
      <c r="S124" s="191"/>
      <c r="T124" s="191"/>
    </row>
    <row r="125" spans="1:20">
      <c r="A125" s="191"/>
      <c r="B125" s="196"/>
      <c r="C125" s="191"/>
      <c r="D125" s="243"/>
      <c r="E125" s="191"/>
      <c r="F125" s="191"/>
      <c r="G125" s="191"/>
      <c r="H125" s="191"/>
      <c r="I125" s="191"/>
      <c r="J125" s="191"/>
      <c r="K125" s="191"/>
      <c r="L125" s="191"/>
      <c r="M125" s="191"/>
      <c r="N125" s="191"/>
      <c r="O125" s="191"/>
      <c r="P125" s="191"/>
      <c r="Q125" s="191"/>
      <c r="R125" s="191"/>
      <c r="S125" s="191"/>
      <c r="T125" s="191"/>
    </row>
    <row r="126" spans="1:20">
      <c r="A126" s="191"/>
      <c r="B126" s="196"/>
      <c r="C126" s="191"/>
      <c r="D126" s="243"/>
      <c r="E126" s="191"/>
      <c r="F126" s="191"/>
      <c r="G126" s="191"/>
      <c r="H126" s="191"/>
      <c r="I126" s="191"/>
      <c r="J126" s="191"/>
      <c r="K126" s="191"/>
      <c r="L126" s="191"/>
      <c r="M126" s="191"/>
      <c r="N126" s="191"/>
      <c r="O126" s="191"/>
      <c r="P126" s="191"/>
      <c r="Q126" s="191"/>
      <c r="R126" s="191"/>
      <c r="S126" s="191"/>
      <c r="T126" s="191"/>
    </row>
    <row r="127" spans="1:20">
      <c r="A127" s="191"/>
      <c r="B127" s="196"/>
      <c r="C127" s="191"/>
      <c r="D127" s="243"/>
      <c r="E127" s="191"/>
      <c r="F127" s="191"/>
      <c r="G127" s="191"/>
      <c r="H127" s="191"/>
      <c r="I127" s="191"/>
      <c r="J127" s="191"/>
      <c r="K127" s="191"/>
      <c r="L127" s="191"/>
      <c r="M127" s="191"/>
      <c r="N127" s="191"/>
      <c r="O127" s="191"/>
      <c r="P127" s="191"/>
      <c r="Q127" s="191"/>
      <c r="R127" s="191"/>
      <c r="S127" s="191"/>
      <c r="T127" s="191"/>
    </row>
    <row r="128" spans="1:20">
      <c r="A128" s="191"/>
      <c r="B128" s="196"/>
      <c r="C128" s="191"/>
      <c r="D128" s="243"/>
      <c r="E128" s="191"/>
      <c r="F128" s="191"/>
      <c r="G128" s="191"/>
      <c r="H128" s="191"/>
      <c r="I128" s="191"/>
      <c r="J128" s="191"/>
      <c r="K128" s="191"/>
      <c r="L128" s="191"/>
      <c r="M128" s="191"/>
      <c r="N128" s="191"/>
      <c r="O128" s="191"/>
      <c r="P128" s="191"/>
      <c r="Q128" s="191"/>
      <c r="R128" s="191"/>
      <c r="S128" s="191"/>
      <c r="T128" s="191"/>
    </row>
    <row r="129" spans="1:20">
      <c r="A129" s="191"/>
      <c r="B129" s="196"/>
      <c r="C129" s="191"/>
      <c r="D129" s="243"/>
      <c r="E129" s="191"/>
      <c r="F129" s="191"/>
      <c r="G129" s="191"/>
      <c r="H129" s="191"/>
      <c r="I129" s="191"/>
      <c r="J129" s="191"/>
      <c r="K129" s="191"/>
      <c r="L129" s="191"/>
      <c r="M129" s="191"/>
      <c r="N129" s="191"/>
      <c r="O129" s="191"/>
      <c r="P129" s="191"/>
      <c r="Q129" s="191"/>
      <c r="R129" s="191"/>
      <c r="S129" s="191"/>
      <c r="T129" s="191"/>
    </row>
    <row r="130" spans="1:20">
      <c r="A130" s="191"/>
      <c r="B130" s="196"/>
      <c r="C130" s="191"/>
      <c r="D130" s="243"/>
      <c r="E130" s="191"/>
      <c r="F130" s="191"/>
      <c r="G130" s="191"/>
      <c r="H130" s="191"/>
      <c r="I130" s="191"/>
      <c r="J130" s="191"/>
      <c r="K130" s="191"/>
      <c r="L130" s="191"/>
      <c r="M130" s="191"/>
      <c r="N130" s="191"/>
      <c r="O130" s="191"/>
      <c r="P130" s="191"/>
      <c r="Q130" s="191"/>
      <c r="R130" s="191"/>
      <c r="S130" s="191"/>
      <c r="T130" s="191"/>
    </row>
    <row r="131" spans="1:20">
      <c r="A131" s="191"/>
      <c r="B131" s="196"/>
      <c r="C131" s="191"/>
      <c r="D131" s="243"/>
      <c r="E131" s="191"/>
      <c r="F131" s="191"/>
      <c r="G131" s="191"/>
      <c r="H131" s="191"/>
      <c r="I131" s="191"/>
      <c r="J131" s="191"/>
      <c r="K131" s="191"/>
      <c r="L131" s="191"/>
      <c r="M131" s="191"/>
      <c r="N131" s="191"/>
      <c r="O131" s="191"/>
      <c r="P131" s="191"/>
      <c r="Q131" s="191"/>
      <c r="R131" s="191"/>
      <c r="S131" s="191"/>
      <c r="T131" s="191"/>
    </row>
    <row r="132" spans="1:20">
      <c r="A132" s="191"/>
      <c r="B132" s="196"/>
      <c r="C132" s="191"/>
      <c r="D132" s="243"/>
      <c r="E132" s="191"/>
      <c r="F132" s="191"/>
      <c r="G132" s="191"/>
      <c r="H132" s="191"/>
      <c r="I132" s="191"/>
      <c r="J132" s="191"/>
      <c r="K132" s="191"/>
      <c r="L132" s="191"/>
      <c r="M132" s="191"/>
      <c r="N132" s="191"/>
      <c r="O132" s="191"/>
      <c r="P132" s="191"/>
      <c r="Q132" s="191"/>
      <c r="R132" s="191"/>
      <c r="S132" s="191"/>
      <c r="T132" s="191"/>
    </row>
    <row r="133" spans="1:20">
      <c r="A133" s="191"/>
      <c r="B133" s="196"/>
      <c r="C133" s="191"/>
      <c r="D133" s="243"/>
      <c r="E133" s="191"/>
      <c r="F133" s="191"/>
      <c r="G133" s="191"/>
      <c r="H133" s="191"/>
      <c r="I133" s="191"/>
      <c r="J133" s="191"/>
      <c r="K133" s="191"/>
      <c r="L133" s="191"/>
      <c r="M133" s="191"/>
      <c r="N133" s="191"/>
      <c r="O133" s="191"/>
      <c r="P133" s="191"/>
      <c r="Q133" s="191"/>
      <c r="R133" s="191"/>
      <c r="S133" s="191"/>
      <c r="T133" s="191"/>
    </row>
    <row r="134" spans="1:20">
      <c r="A134" s="191"/>
      <c r="B134" s="196"/>
      <c r="C134" s="191"/>
      <c r="D134" s="243"/>
      <c r="E134" s="191"/>
      <c r="F134" s="191"/>
      <c r="G134" s="191"/>
      <c r="H134" s="191"/>
      <c r="I134" s="191"/>
      <c r="J134" s="191"/>
      <c r="K134" s="191"/>
      <c r="L134" s="191"/>
      <c r="M134" s="191"/>
      <c r="N134" s="191"/>
      <c r="O134" s="191"/>
      <c r="P134" s="191"/>
      <c r="Q134" s="191"/>
      <c r="R134" s="191"/>
      <c r="S134" s="191"/>
      <c r="T134" s="191"/>
    </row>
    <row r="135" spans="1:20">
      <c r="A135" s="191"/>
      <c r="B135" s="196"/>
      <c r="C135" s="191"/>
      <c r="D135" s="243"/>
      <c r="E135" s="191"/>
      <c r="F135" s="191"/>
      <c r="G135" s="191"/>
      <c r="H135" s="191"/>
      <c r="I135" s="191"/>
      <c r="J135" s="191"/>
      <c r="K135" s="191"/>
      <c r="L135" s="191"/>
      <c r="M135" s="191"/>
      <c r="N135" s="191"/>
      <c r="O135" s="191"/>
      <c r="P135" s="191"/>
      <c r="Q135" s="191"/>
      <c r="R135" s="191"/>
      <c r="S135" s="191"/>
      <c r="T135" s="191"/>
    </row>
    <row r="136" spans="1:20">
      <c r="A136" s="191"/>
      <c r="B136" s="196"/>
      <c r="C136" s="191"/>
      <c r="D136" s="243"/>
      <c r="E136" s="191"/>
      <c r="F136" s="191"/>
      <c r="G136" s="191"/>
      <c r="H136" s="191"/>
      <c r="I136" s="191"/>
      <c r="J136" s="191"/>
      <c r="K136" s="191"/>
      <c r="L136" s="191"/>
      <c r="M136" s="191"/>
      <c r="N136" s="191"/>
      <c r="O136" s="191"/>
      <c r="P136" s="191"/>
      <c r="Q136" s="191"/>
      <c r="R136" s="191"/>
      <c r="S136" s="191"/>
      <c r="T136" s="191"/>
    </row>
    <row r="137" spans="1:20">
      <c r="A137" s="191"/>
      <c r="B137" s="196"/>
      <c r="C137" s="191"/>
      <c r="D137" s="243"/>
      <c r="E137" s="191"/>
      <c r="F137" s="191"/>
      <c r="G137" s="191"/>
      <c r="H137" s="191"/>
      <c r="I137" s="191"/>
      <c r="J137" s="191"/>
      <c r="K137" s="191"/>
      <c r="L137" s="191"/>
      <c r="M137" s="191"/>
      <c r="N137" s="191"/>
      <c r="O137" s="191"/>
      <c r="P137" s="191"/>
      <c r="Q137" s="191"/>
      <c r="R137" s="191"/>
      <c r="S137" s="191"/>
      <c r="T137" s="191"/>
    </row>
    <row r="138" spans="1:20">
      <c r="A138" s="191"/>
      <c r="B138" s="196"/>
      <c r="C138" s="191"/>
      <c r="D138" s="243"/>
      <c r="E138" s="191"/>
      <c r="F138" s="191"/>
      <c r="G138" s="191"/>
      <c r="H138" s="191"/>
      <c r="I138" s="191"/>
      <c r="J138" s="191"/>
      <c r="K138" s="191"/>
      <c r="L138" s="191"/>
      <c r="M138" s="191"/>
      <c r="N138" s="191"/>
      <c r="O138" s="191"/>
      <c r="P138" s="191"/>
      <c r="Q138" s="191"/>
      <c r="R138" s="191"/>
      <c r="S138" s="191"/>
      <c r="T138" s="191"/>
    </row>
    <row r="139" spans="1:20">
      <c r="A139" s="191"/>
      <c r="B139" s="196"/>
      <c r="C139" s="191"/>
      <c r="D139" s="243"/>
      <c r="E139" s="191"/>
      <c r="F139" s="191"/>
      <c r="G139" s="191"/>
      <c r="H139" s="191"/>
      <c r="I139" s="191"/>
      <c r="J139" s="191"/>
      <c r="K139" s="191"/>
      <c r="L139" s="191"/>
      <c r="M139" s="191"/>
      <c r="N139" s="191"/>
      <c r="O139" s="191"/>
      <c r="P139" s="191"/>
      <c r="Q139" s="191"/>
      <c r="R139" s="191"/>
      <c r="S139" s="191"/>
      <c r="T139" s="191"/>
    </row>
    <row r="140" spans="1:20">
      <c r="A140" s="191"/>
      <c r="B140" s="196"/>
      <c r="C140" s="191"/>
      <c r="D140" s="243"/>
      <c r="E140" s="191"/>
      <c r="F140" s="191"/>
      <c r="G140" s="191"/>
      <c r="H140" s="191"/>
      <c r="I140" s="191"/>
      <c r="J140" s="191"/>
      <c r="K140" s="191"/>
      <c r="L140" s="191"/>
      <c r="M140" s="191"/>
      <c r="N140" s="191"/>
      <c r="O140" s="191"/>
      <c r="P140" s="191"/>
      <c r="Q140" s="191"/>
      <c r="R140" s="191"/>
      <c r="S140" s="191"/>
      <c r="T140" s="191"/>
    </row>
    <row r="141" spans="1:20">
      <c r="A141" s="191"/>
      <c r="B141" s="196"/>
      <c r="C141" s="191"/>
      <c r="D141" s="243"/>
      <c r="E141" s="191"/>
      <c r="F141" s="191"/>
      <c r="G141" s="191"/>
      <c r="H141" s="191"/>
      <c r="I141" s="191"/>
      <c r="J141" s="191"/>
      <c r="K141" s="191"/>
      <c r="L141" s="191"/>
      <c r="M141" s="191"/>
      <c r="N141" s="191"/>
      <c r="O141" s="191"/>
      <c r="P141" s="191"/>
      <c r="Q141" s="191"/>
      <c r="R141" s="191"/>
      <c r="S141" s="191"/>
      <c r="T141" s="191"/>
    </row>
    <row r="142" spans="1:20">
      <c r="A142" s="191"/>
      <c r="B142" s="196"/>
      <c r="C142" s="191"/>
      <c r="D142" s="243"/>
      <c r="E142" s="191"/>
      <c r="F142" s="191"/>
      <c r="G142" s="191"/>
      <c r="H142" s="191"/>
      <c r="I142" s="191"/>
      <c r="J142" s="191"/>
      <c r="K142" s="191"/>
      <c r="L142" s="191"/>
      <c r="M142" s="191"/>
      <c r="N142" s="191"/>
      <c r="O142" s="191"/>
      <c r="P142" s="191"/>
      <c r="Q142" s="191"/>
      <c r="R142" s="191"/>
      <c r="S142" s="191"/>
      <c r="T142" s="191"/>
    </row>
    <row r="143" spans="1:20">
      <c r="A143" s="191"/>
      <c r="B143" s="196"/>
      <c r="C143" s="191"/>
      <c r="D143" s="243"/>
      <c r="E143" s="191"/>
      <c r="F143" s="191"/>
      <c r="G143" s="191"/>
      <c r="H143" s="191"/>
      <c r="I143" s="191"/>
      <c r="J143" s="191"/>
      <c r="K143" s="191"/>
      <c r="L143" s="191"/>
      <c r="M143" s="191"/>
      <c r="N143" s="191"/>
      <c r="O143" s="191"/>
      <c r="P143" s="191"/>
      <c r="Q143" s="191"/>
      <c r="R143" s="191"/>
      <c r="S143" s="191"/>
      <c r="T143" s="191"/>
    </row>
    <row r="144" spans="1:20">
      <c r="A144" s="191"/>
      <c r="B144" s="196"/>
      <c r="C144" s="191"/>
      <c r="D144" s="243"/>
      <c r="E144" s="191"/>
      <c r="F144" s="191"/>
      <c r="G144" s="191"/>
      <c r="H144" s="191"/>
      <c r="I144" s="191"/>
      <c r="J144" s="191"/>
      <c r="K144" s="191"/>
      <c r="L144" s="191"/>
      <c r="M144" s="191"/>
      <c r="N144" s="191"/>
      <c r="O144" s="191"/>
      <c r="P144" s="191"/>
      <c r="Q144" s="191"/>
      <c r="R144" s="191"/>
      <c r="S144" s="191"/>
      <c r="T144" s="191"/>
    </row>
    <row r="145" spans="1:20">
      <c r="A145" s="191"/>
      <c r="B145" s="196"/>
      <c r="C145" s="191"/>
      <c r="D145" s="243"/>
      <c r="E145" s="191"/>
      <c r="F145" s="191"/>
      <c r="G145" s="191"/>
      <c r="H145" s="191"/>
      <c r="I145" s="191"/>
      <c r="J145" s="191"/>
      <c r="K145" s="191"/>
      <c r="L145" s="191"/>
      <c r="M145" s="191"/>
      <c r="N145" s="191"/>
      <c r="O145" s="191"/>
      <c r="P145" s="191"/>
      <c r="Q145" s="191"/>
      <c r="R145" s="191"/>
      <c r="S145" s="191"/>
      <c r="T145" s="191"/>
    </row>
  </sheetData>
  <mergeCells count="1">
    <mergeCell ref="A1:C1"/>
  </mergeCells>
  <phoneticPr fontId="49"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dimension ref="A1:S68"/>
  <sheetViews>
    <sheetView workbookViewId="0">
      <selection activeCell="P11" sqref="P11"/>
    </sheetView>
  </sheetViews>
  <sheetFormatPr defaultRowHeight="15"/>
  <cols>
    <col min="4" max="4" width="11.85546875" bestFit="1" customWidth="1"/>
    <col min="16" max="18" width="9.140625" customWidth="1"/>
  </cols>
  <sheetData>
    <row r="1" spans="1:19">
      <c r="A1" s="250"/>
      <c r="B1" s="250"/>
      <c r="C1" s="250"/>
      <c r="D1" s="250"/>
      <c r="E1" s="250"/>
      <c r="F1" s="250"/>
      <c r="G1" s="250"/>
      <c r="H1" s="250"/>
      <c r="I1" s="260"/>
      <c r="J1" s="250"/>
      <c r="K1" s="250"/>
      <c r="L1" s="250"/>
      <c r="M1" s="250"/>
      <c r="N1" s="250"/>
      <c r="O1" s="261"/>
      <c r="P1" s="250"/>
      <c r="Q1" s="262"/>
      <c r="R1" s="250"/>
    </row>
    <row r="2" spans="1:19">
      <c r="A2" s="250"/>
      <c r="B2" s="250"/>
      <c r="C2" s="250"/>
      <c r="D2" s="250"/>
      <c r="E2" s="250"/>
      <c r="F2" s="250"/>
      <c r="G2" s="250"/>
      <c r="H2" s="250"/>
      <c r="I2" s="260"/>
      <c r="J2" s="250"/>
      <c r="K2" s="250"/>
      <c r="L2" s="250"/>
      <c r="M2" s="250"/>
      <c r="N2" s="250"/>
      <c r="O2" s="261"/>
      <c r="P2" s="250"/>
      <c r="Q2" s="262"/>
      <c r="R2" s="250"/>
    </row>
    <row r="3" spans="1:19" ht="18.75">
      <c r="A3" s="242"/>
      <c r="B3" s="302"/>
      <c r="C3" s="302"/>
      <c r="D3" s="303" t="s">
        <v>246</v>
      </c>
      <c r="E3" s="302"/>
      <c r="F3" s="302"/>
      <c r="G3" s="302"/>
      <c r="H3" s="302"/>
      <c r="I3" s="304"/>
      <c r="J3" s="302"/>
      <c r="K3" s="302"/>
      <c r="L3" s="302"/>
      <c r="M3" s="305"/>
      <c r="N3" s="302"/>
      <c r="O3" s="305"/>
      <c r="P3" s="242"/>
      <c r="Q3" s="241"/>
      <c r="R3" s="242"/>
    </row>
    <row r="4" spans="1:19" ht="18.75">
      <c r="A4" s="242"/>
      <c r="B4" s="306" t="s">
        <v>247</v>
      </c>
      <c r="C4" s="307" t="s">
        <v>248</v>
      </c>
      <c r="D4" s="308"/>
      <c r="E4" s="309"/>
      <c r="F4" s="310"/>
      <c r="G4" s="310"/>
      <c r="H4" s="310"/>
      <c r="I4" s="311"/>
      <c r="J4" s="310"/>
      <c r="K4" s="312"/>
      <c r="L4" s="310"/>
      <c r="M4" s="312"/>
      <c r="N4" s="310"/>
      <c r="O4" s="305"/>
      <c r="P4" s="243"/>
      <c r="Q4" s="254"/>
      <c r="R4" s="243"/>
    </row>
    <row r="5" spans="1:19" ht="18.75">
      <c r="A5" s="242"/>
      <c r="B5" s="310"/>
      <c r="C5" s="307" t="s">
        <v>249</v>
      </c>
      <c r="D5" s="307"/>
      <c r="E5" s="309"/>
      <c r="F5" s="310"/>
      <c r="G5" s="310"/>
      <c r="H5" s="310"/>
      <c r="I5" s="311"/>
      <c r="J5" s="310"/>
      <c r="K5" s="310"/>
      <c r="L5" s="310"/>
      <c r="M5" s="312"/>
      <c r="N5" s="310"/>
      <c r="O5" s="305"/>
      <c r="P5" s="243"/>
      <c r="Q5" s="254"/>
      <c r="R5" s="243"/>
    </row>
    <row r="6" spans="1:19" ht="18.75">
      <c r="A6" s="242"/>
      <c r="B6" s="312"/>
      <c r="C6" s="313" t="s">
        <v>250</v>
      </c>
      <c r="D6" s="307"/>
      <c r="E6" s="309"/>
      <c r="F6" s="314">
        <v>25</v>
      </c>
      <c r="G6" s="315" t="s">
        <v>251</v>
      </c>
      <c r="H6" s="316">
        <f>IF(F6=12.5,7.5,IF(F6=15,8.5,IF(F6=20,11.5,IF(F6=25,14.5,"!!!"))))</f>
        <v>14.5</v>
      </c>
      <c r="I6" s="317" t="s">
        <v>252</v>
      </c>
      <c r="J6" s="312"/>
      <c r="K6" s="312"/>
      <c r="L6" s="312"/>
      <c r="M6" s="312"/>
      <c r="N6" s="310"/>
      <c r="O6" s="305"/>
      <c r="P6" s="244"/>
      <c r="Q6" s="254"/>
      <c r="R6" s="243"/>
    </row>
    <row r="7" spans="1:19" ht="15.75">
      <c r="A7" s="242"/>
      <c r="B7" s="312"/>
      <c r="C7" s="307" t="s">
        <v>253</v>
      </c>
      <c r="D7" s="307"/>
      <c r="E7" s="312"/>
      <c r="F7" s="318"/>
      <c r="G7" s="315"/>
      <c r="H7" s="317"/>
      <c r="I7" s="317"/>
      <c r="J7" s="312"/>
      <c r="K7" s="312"/>
      <c r="L7" s="312"/>
      <c r="M7" s="312"/>
      <c r="N7" s="312"/>
      <c r="O7" s="305"/>
      <c r="P7" s="244"/>
      <c r="Q7" s="254"/>
      <c r="R7" s="244"/>
    </row>
    <row r="8" spans="1:19" ht="18.75">
      <c r="A8" s="242"/>
      <c r="B8" s="263" t="s">
        <v>254</v>
      </c>
      <c r="C8" s="263" t="s">
        <v>255</v>
      </c>
      <c r="D8" s="264" t="s">
        <v>256</v>
      </c>
      <c r="E8" s="263" t="s">
        <v>257</v>
      </c>
      <c r="F8" s="264" t="s">
        <v>258</v>
      </c>
      <c r="G8" s="263" t="s">
        <v>259</v>
      </c>
      <c r="H8" s="263" t="s">
        <v>260</v>
      </c>
      <c r="I8" s="265" t="s">
        <v>261</v>
      </c>
      <c r="J8" s="265" t="s">
        <v>262</v>
      </c>
      <c r="K8" s="264" t="s">
        <v>263</v>
      </c>
      <c r="L8" s="266" t="s">
        <v>264</v>
      </c>
      <c r="M8" s="267"/>
      <c r="N8" s="267" t="s">
        <v>263</v>
      </c>
      <c r="O8" s="265" t="s">
        <v>265</v>
      </c>
      <c r="P8" s="249" t="s">
        <v>266</v>
      </c>
      <c r="Q8" s="255" t="s">
        <v>267</v>
      </c>
      <c r="R8" s="256" t="s">
        <v>265</v>
      </c>
    </row>
    <row r="9" spans="1:19" ht="18.75">
      <c r="A9" s="242"/>
      <c r="B9" s="268" t="s">
        <v>268</v>
      </c>
      <c r="C9" s="268"/>
      <c r="D9" s="269" t="s">
        <v>269</v>
      </c>
      <c r="E9" s="270" t="s">
        <v>270</v>
      </c>
      <c r="F9" s="269" t="s">
        <v>270</v>
      </c>
      <c r="G9" s="270" t="s">
        <v>271</v>
      </c>
      <c r="H9" s="270" t="s">
        <v>271</v>
      </c>
      <c r="I9" s="268"/>
      <c r="J9" s="268"/>
      <c r="K9" s="269" t="s">
        <v>272</v>
      </c>
      <c r="L9" s="271" t="s">
        <v>273</v>
      </c>
      <c r="M9" s="272" t="s">
        <v>274</v>
      </c>
      <c r="N9" s="273" t="s">
        <v>275</v>
      </c>
      <c r="O9" s="268"/>
      <c r="P9" s="248" t="s">
        <v>276</v>
      </c>
      <c r="Q9" s="257" t="s">
        <v>275</v>
      </c>
      <c r="R9" s="248"/>
    </row>
    <row r="10" spans="1:19" ht="15.75">
      <c r="A10" s="242"/>
      <c r="B10" s="274">
        <v>1</v>
      </c>
      <c r="C10" s="275">
        <v>2</v>
      </c>
      <c r="D10" s="275">
        <v>3</v>
      </c>
      <c r="E10" s="275">
        <v>4</v>
      </c>
      <c r="F10" s="275">
        <v>5</v>
      </c>
      <c r="G10" s="275">
        <v>6</v>
      </c>
      <c r="H10" s="275">
        <v>7</v>
      </c>
      <c r="I10" s="275">
        <v>8</v>
      </c>
      <c r="J10" s="275">
        <v>9</v>
      </c>
      <c r="K10" s="275">
        <v>10</v>
      </c>
      <c r="L10" s="275">
        <v>11</v>
      </c>
      <c r="M10" s="275">
        <v>12</v>
      </c>
      <c r="N10" s="276">
        <v>13</v>
      </c>
      <c r="O10" s="276">
        <v>14</v>
      </c>
      <c r="P10" s="247">
        <v>11</v>
      </c>
      <c r="Q10" s="247">
        <v>12</v>
      </c>
      <c r="R10" s="247">
        <v>13</v>
      </c>
    </row>
    <row r="11" spans="1:19" s="284" customFormat="1" ht="15.75">
      <c r="A11" s="282"/>
      <c r="B11" s="289" t="s">
        <v>215</v>
      </c>
      <c r="C11" s="290" t="s">
        <v>470</v>
      </c>
      <c r="D11" s="291">
        <f t="array" ref="D11">VLOOKUP(B11&amp;C11,CHOOSE({1,2},(momensan!$C$12:$C$47)&amp;(momensan!$D$12:$D$47),momensan!$L$12:$L$47),2,0)*100</f>
        <v>60300.646559999994</v>
      </c>
      <c r="E11" s="292">
        <f>TH!$I$45/10</f>
        <v>8</v>
      </c>
      <c r="F11" s="293">
        <v>100</v>
      </c>
      <c r="G11" s="294">
        <f t="shared" ref="G11:G21" si="0">$H$6</f>
        <v>14.5</v>
      </c>
      <c r="H11" s="295">
        <f>TH!$B$27</f>
        <v>225</v>
      </c>
      <c r="I11" s="296">
        <f t="shared" ref="I11:I46" si="1">+D11/(G11*10*F11*E11*E11)</f>
        <v>6.4979144999999988E-2</v>
      </c>
      <c r="J11" s="297">
        <f t="shared" ref="J11:J21" si="2">0.5*(1+SQRT(1-2*I11))</f>
        <v>0.96638013197390815</v>
      </c>
      <c r="K11" s="298">
        <f t="shared" ref="K11:K46" si="3">+D11/(H11*10*J11*E11)</f>
        <v>3.4665819475792459</v>
      </c>
      <c r="L11" s="295">
        <v>10</v>
      </c>
      <c r="M11" s="295">
        <v>200</v>
      </c>
      <c r="N11" s="298">
        <f t="shared" ref="N11:N46" si="4">IF(L11=6,0.283*1000/M11,IF(L11=8,0.503*1000/M11,IF(L11=10,0.785*1000/M11,IF(L11=12,1.131*1000/M11,1.539*1000/M11))))</f>
        <v>3.9249999999999998</v>
      </c>
      <c r="O11" s="299">
        <v>0.16647058823529412</v>
      </c>
      <c r="P11" s="283" t="str">
        <f t="shared" ref="P11:P46" si="5">"Ø"&amp;L11&amp;"a"&amp;M11</f>
        <v>Ø10a200</v>
      </c>
      <c r="Q11" s="258">
        <f>VLOOKUP(P11,'tra thep'!$E$11:$F$62,2,)</f>
        <v>3.93</v>
      </c>
      <c r="R11" s="251">
        <f t="shared" ref="R11:R46" si="6">M11/E11</f>
        <v>25</v>
      </c>
      <c r="S11" s="284" t="str">
        <f>IF(N11&lt;K11,"False","")</f>
        <v/>
      </c>
    </row>
    <row r="12" spans="1:19" s="284" customFormat="1" ht="15.75">
      <c r="A12" s="282"/>
      <c r="B12" s="300" t="str">
        <f>B11</f>
        <v>S1A</v>
      </c>
      <c r="C12" s="290" t="s">
        <v>471</v>
      </c>
      <c r="D12" s="291">
        <f t="array" ref="D12">VLOOKUP(B12&amp;C12,CHOOSE({1,2},(momensan!$C$12:$C$47)&amp;(momensan!$D$12:$D$47),momensan!$L$12:$L$47),2,0)*100</f>
        <v>25893.120959999993</v>
      </c>
      <c r="E12" s="292">
        <f>TH!$I$45/10-(L12+L11)/2/10</f>
        <v>7.1</v>
      </c>
      <c r="F12" s="293">
        <v>100</v>
      </c>
      <c r="G12" s="294">
        <f t="shared" si="0"/>
        <v>14.5</v>
      </c>
      <c r="H12" s="295">
        <f>TH!$B$27</f>
        <v>225</v>
      </c>
      <c r="I12" s="296">
        <f t="shared" si="1"/>
        <v>3.5424171394564559E-2</v>
      </c>
      <c r="J12" s="297">
        <f t="shared" si="2"/>
        <v>0.98196256525037051</v>
      </c>
      <c r="K12" s="298">
        <f t="shared" si="3"/>
        <v>1.6506256955327545</v>
      </c>
      <c r="L12" s="295">
        <v>8</v>
      </c>
      <c r="M12" s="295">
        <v>200</v>
      </c>
      <c r="N12" s="298">
        <f t="shared" si="4"/>
        <v>2.5150000000000001</v>
      </c>
      <c r="O12" s="299">
        <v>0.17911392405063289</v>
      </c>
      <c r="P12" s="283" t="str">
        <f t="shared" si="5"/>
        <v>Ø8a200</v>
      </c>
      <c r="Q12" s="258">
        <f>VLOOKUP(P12,'tra thep'!$E$11:$F$62,2,)</f>
        <v>2.5099999999999998</v>
      </c>
      <c r="R12" s="251">
        <f t="shared" si="6"/>
        <v>28.169014084507044</v>
      </c>
      <c r="S12" s="284" t="str">
        <f t="shared" ref="S12:S46" si="7">IF(N12&lt;K12,"False","")</f>
        <v/>
      </c>
    </row>
    <row r="13" spans="1:19" s="284" customFormat="1" ht="15.75">
      <c r="A13" s="282"/>
      <c r="B13" s="300" t="str">
        <f>B11</f>
        <v>S1A</v>
      </c>
      <c r="C13" s="290" t="s">
        <v>472</v>
      </c>
      <c r="D13" s="291">
        <f t="array" ref="D13">VLOOKUP(B13&amp;C13,CHOOSE({1,2},(momensan!$C$12:$C$47)&amp;(momensan!$D$12:$D$47),momensan!$L$12:$L$47),2,0)*100</f>
        <v>134422.62119999999</v>
      </c>
      <c r="E13" s="292">
        <f>TH!$I$45/10</f>
        <v>8</v>
      </c>
      <c r="F13" s="293">
        <v>100</v>
      </c>
      <c r="G13" s="294">
        <f t="shared" si="0"/>
        <v>14.5</v>
      </c>
      <c r="H13" s="295">
        <f>TH!$B$27</f>
        <v>225</v>
      </c>
      <c r="I13" s="296">
        <f t="shared" si="1"/>
        <v>0.14485196249999999</v>
      </c>
      <c r="J13" s="297">
        <f t="shared" si="2"/>
        <v>0.92139532359768772</v>
      </c>
      <c r="K13" s="298">
        <f t="shared" si="3"/>
        <v>8.1050155223717475</v>
      </c>
      <c r="L13" s="295">
        <v>14</v>
      </c>
      <c r="M13" s="295">
        <v>200</v>
      </c>
      <c r="N13" s="298">
        <f t="shared" si="4"/>
        <v>7.6950000000000003</v>
      </c>
      <c r="O13" s="299">
        <v>0.39450980392156865</v>
      </c>
      <c r="P13" s="283" t="str">
        <f t="shared" si="5"/>
        <v>Ø14a200</v>
      </c>
      <c r="Q13" s="258">
        <f>VLOOKUP(P13,'tra thep'!$E$11:$F$62,2,)</f>
        <v>7.69</v>
      </c>
      <c r="R13" s="251">
        <f t="shared" si="6"/>
        <v>25</v>
      </c>
      <c r="S13" s="284" t="str">
        <f t="shared" si="7"/>
        <v>False</v>
      </c>
    </row>
    <row r="14" spans="1:19" s="284" customFormat="1" ht="15.75">
      <c r="A14" s="282"/>
      <c r="B14" s="301" t="str">
        <f>B11</f>
        <v>S1A</v>
      </c>
      <c r="C14" s="290" t="s">
        <v>473</v>
      </c>
      <c r="D14" s="291">
        <f t="array" ref="D14">VLOOKUP(B14&amp;C14,CHOOSE({1,2},(momensan!$C$12:$C$47)&amp;(momensan!$D$12:$D$47),momensan!$L$12:$L$47),2,0)*100</f>
        <v>57443.072399999997</v>
      </c>
      <c r="E14" s="292">
        <f>TH!$I$45/10</f>
        <v>8</v>
      </c>
      <c r="F14" s="293">
        <v>100</v>
      </c>
      <c r="G14" s="294">
        <f t="shared" si="0"/>
        <v>14.5</v>
      </c>
      <c r="H14" s="295">
        <f>TH!$B$27</f>
        <v>225</v>
      </c>
      <c r="I14" s="296">
        <f t="shared" si="1"/>
        <v>6.18998625E-2</v>
      </c>
      <c r="J14" s="297">
        <f t="shared" si="2"/>
        <v>0.96802785039995221</v>
      </c>
      <c r="K14" s="298">
        <f t="shared" si="3"/>
        <v>3.2966838698715994</v>
      </c>
      <c r="L14" s="295">
        <v>10</v>
      </c>
      <c r="M14" s="295">
        <v>200</v>
      </c>
      <c r="N14" s="298">
        <f t="shared" si="4"/>
        <v>3.9249999999999998</v>
      </c>
      <c r="O14" s="299">
        <v>0.16647058823529412</v>
      </c>
      <c r="P14" s="283" t="str">
        <f t="shared" si="5"/>
        <v>Ø10a200</v>
      </c>
      <c r="Q14" s="258">
        <f>VLOOKUP(P14,'tra thep'!$E$11:$F$62,2,)</f>
        <v>3.93</v>
      </c>
      <c r="R14" s="251">
        <f t="shared" si="6"/>
        <v>25</v>
      </c>
      <c r="S14" s="284" t="str">
        <f t="shared" si="7"/>
        <v/>
      </c>
    </row>
    <row r="15" spans="1:19" ht="15.75">
      <c r="A15" s="242"/>
      <c r="B15" s="289" t="s">
        <v>218</v>
      </c>
      <c r="C15" s="290" t="s">
        <v>470</v>
      </c>
      <c r="D15" s="291">
        <f t="array" ref="D15">VLOOKUP(B15&amp;C15,CHOOSE({1,2},(momensan!$C$12:$C$47)&amp;(momensan!$D$12:$D$47),momensan!$L$12:$L$47),2,0)*100</f>
        <v>59981.595519999995</v>
      </c>
      <c r="E15" s="292">
        <f>TH!$I$45/10</f>
        <v>8</v>
      </c>
      <c r="F15" s="293">
        <v>100</v>
      </c>
      <c r="G15" s="294">
        <f t="shared" si="0"/>
        <v>14.5</v>
      </c>
      <c r="H15" s="295">
        <f>TH!$B$27</f>
        <v>225</v>
      </c>
      <c r="I15" s="296">
        <f t="shared" si="1"/>
        <v>6.4635339999999999E-2</v>
      </c>
      <c r="J15" s="297">
        <f t="shared" si="2"/>
        <v>0.96656438998277605</v>
      </c>
      <c r="K15" s="298">
        <f t="shared" si="3"/>
        <v>3.4475828995537512</v>
      </c>
      <c r="L15" s="295">
        <v>10</v>
      </c>
      <c r="M15" s="295">
        <v>200</v>
      </c>
      <c r="N15" s="298">
        <f t="shared" si="4"/>
        <v>3.9249999999999998</v>
      </c>
      <c r="O15" s="299">
        <v>0.16647058823529412</v>
      </c>
      <c r="P15" s="283" t="str">
        <f t="shared" si="5"/>
        <v>Ø10a200</v>
      </c>
      <c r="Q15" s="258">
        <f>VLOOKUP(P15,'tra thep'!$E$11:$F$62,2,)</f>
        <v>3.93</v>
      </c>
      <c r="R15" s="251">
        <f t="shared" si="6"/>
        <v>25</v>
      </c>
      <c r="S15" s="284" t="str">
        <f t="shared" si="7"/>
        <v/>
      </c>
    </row>
    <row r="16" spans="1:19" ht="15.75">
      <c r="A16" s="242"/>
      <c r="B16" s="300" t="str">
        <f>B15</f>
        <v>S1B</v>
      </c>
      <c r="C16" s="290" t="s">
        <v>471</v>
      </c>
      <c r="D16" s="291">
        <f t="array" ref="D16">VLOOKUP(B16&amp;C16,CHOOSE({1,2},(momensan!$C$12:$C$47)&amp;(momensan!$D$12:$D$47),momensan!$L$12:$L$47),2,0)*100</f>
        <v>25756.120319999998</v>
      </c>
      <c r="E16" s="292">
        <f>TH!$I$45/10-(L16+L15)/2/10</f>
        <v>7.1</v>
      </c>
      <c r="F16" s="293">
        <v>100</v>
      </c>
      <c r="G16" s="294">
        <f t="shared" si="0"/>
        <v>14.5</v>
      </c>
      <c r="H16" s="295">
        <f>TH!$B$27</f>
        <v>225</v>
      </c>
      <c r="I16" s="296">
        <f t="shared" si="1"/>
        <v>3.5236741916286451E-2</v>
      </c>
      <c r="J16" s="297">
        <f t="shared" si="2"/>
        <v>0.98205977745696305</v>
      </c>
      <c r="K16" s="298">
        <f t="shared" si="3"/>
        <v>1.6417296984939114</v>
      </c>
      <c r="L16" s="295">
        <v>8</v>
      </c>
      <c r="M16" s="295">
        <v>200</v>
      </c>
      <c r="N16" s="298">
        <f t="shared" si="4"/>
        <v>2.5150000000000001</v>
      </c>
      <c r="O16" s="299">
        <v>0.17911392405063289</v>
      </c>
      <c r="P16" s="283" t="str">
        <f t="shared" si="5"/>
        <v>Ø8a200</v>
      </c>
      <c r="Q16" s="258">
        <f>VLOOKUP(P16,'tra thep'!$E$11:$F$62,2,)</f>
        <v>2.5099999999999998</v>
      </c>
      <c r="R16" s="251">
        <f t="shared" si="6"/>
        <v>28.169014084507044</v>
      </c>
      <c r="S16" s="284" t="str">
        <f t="shared" si="7"/>
        <v/>
      </c>
    </row>
    <row r="17" spans="1:19" ht="15.75">
      <c r="A17" s="242"/>
      <c r="B17" s="300" t="str">
        <f>B15</f>
        <v>S1B</v>
      </c>
      <c r="C17" s="290" t="s">
        <v>472</v>
      </c>
      <c r="D17" s="291">
        <f t="array" ref="D17">VLOOKUP(B17&amp;C17,CHOOSE({1,2},(momensan!$C$12:$C$47)&amp;(momensan!$D$12:$D$47),momensan!$L$12:$L$47),2,0)*100</f>
        <v>133711.3904</v>
      </c>
      <c r="E17" s="292">
        <f>TH!$I$45/10</f>
        <v>8</v>
      </c>
      <c r="F17" s="293">
        <v>100</v>
      </c>
      <c r="G17" s="294">
        <f t="shared" si="0"/>
        <v>14.5</v>
      </c>
      <c r="H17" s="295">
        <f>TH!$B$27</f>
        <v>225</v>
      </c>
      <c r="I17" s="296">
        <f t="shared" si="1"/>
        <v>0.14408555000000001</v>
      </c>
      <c r="J17" s="297">
        <f t="shared" si="2"/>
        <v>0.92184976591198908</v>
      </c>
      <c r="K17" s="298">
        <f t="shared" si="3"/>
        <v>8.0581574704082346</v>
      </c>
      <c r="L17" s="295">
        <v>14</v>
      </c>
      <c r="M17" s="295">
        <v>200</v>
      </c>
      <c r="N17" s="298">
        <f t="shared" si="4"/>
        <v>7.6950000000000003</v>
      </c>
      <c r="O17" s="299">
        <v>0.39450980392156865</v>
      </c>
      <c r="P17" s="283" t="str">
        <f t="shared" si="5"/>
        <v>Ø14a200</v>
      </c>
      <c r="Q17" s="258">
        <f>VLOOKUP(P17,'tra thep'!$E$11:$F$62,2,)</f>
        <v>7.69</v>
      </c>
      <c r="R17" s="251">
        <f t="shared" si="6"/>
        <v>25</v>
      </c>
      <c r="S17" s="284" t="str">
        <f t="shared" si="7"/>
        <v>False</v>
      </c>
    </row>
    <row r="18" spans="1:19" ht="15.75">
      <c r="A18" s="242"/>
      <c r="B18" s="301" t="str">
        <f>B15</f>
        <v>S1B</v>
      </c>
      <c r="C18" s="290" t="s">
        <v>473</v>
      </c>
      <c r="D18" s="291">
        <f t="array" ref="D18">VLOOKUP(B18&amp;C18,CHOOSE({1,2},(momensan!$C$12:$C$47)&amp;(momensan!$D$12:$D$47),momensan!$L$12:$L$47),2,0)*100</f>
        <v>57139.140799999994</v>
      </c>
      <c r="E18" s="292">
        <f>TH!$I$45/10</f>
        <v>8</v>
      </c>
      <c r="F18" s="293">
        <v>100</v>
      </c>
      <c r="G18" s="294">
        <f t="shared" si="0"/>
        <v>14.5</v>
      </c>
      <c r="H18" s="295">
        <f>TH!$B$27</f>
        <v>225</v>
      </c>
      <c r="I18" s="296">
        <f t="shared" si="1"/>
        <v>6.1572349999999991E-2</v>
      </c>
      <c r="J18" s="297">
        <f t="shared" si="2"/>
        <v>0.96820276056426668</v>
      </c>
      <c r="K18" s="298">
        <f t="shared" si="3"/>
        <v>3.2786486884845059</v>
      </c>
      <c r="L18" s="295">
        <v>10</v>
      </c>
      <c r="M18" s="295">
        <v>200</v>
      </c>
      <c r="N18" s="298">
        <f t="shared" si="4"/>
        <v>3.9249999999999998</v>
      </c>
      <c r="O18" s="299">
        <v>0.16647058823529412</v>
      </c>
      <c r="P18" s="283" t="str">
        <f t="shared" si="5"/>
        <v>Ø10a200</v>
      </c>
      <c r="Q18" s="258">
        <f>VLOOKUP(P18,'tra thep'!$E$11:$F$62,2,)</f>
        <v>3.93</v>
      </c>
      <c r="R18" s="251">
        <f t="shared" si="6"/>
        <v>25</v>
      </c>
      <c r="S18" s="284" t="str">
        <f t="shared" si="7"/>
        <v/>
      </c>
    </row>
    <row r="19" spans="1:19" ht="15.75">
      <c r="A19" s="242"/>
      <c r="B19" s="289" t="s">
        <v>117</v>
      </c>
      <c r="C19" s="290" t="s">
        <v>470</v>
      </c>
      <c r="D19" s="291">
        <f t="array" ref="D19">VLOOKUP(B19&amp;C19,CHOOSE({1,2},(momensan!$C$12:$C$47)&amp;(momensan!$D$12:$D$47),momensan!$L$12:$L$47),2,0)*100</f>
        <v>43573.256319999993</v>
      </c>
      <c r="E19" s="292">
        <f>TH!$I$45/10</f>
        <v>8</v>
      </c>
      <c r="F19" s="293">
        <v>100</v>
      </c>
      <c r="G19" s="294">
        <f t="shared" si="0"/>
        <v>14.5</v>
      </c>
      <c r="H19" s="295">
        <f>TH!$B$27</f>
        <v>225</v>
      </c>
      <c r="I19" s="296">
        <f t="shared" si="1"/>
        <v>4.6953939999999993E-2</v>
      </c>
      <c r="J19" s="297">
        <f t="shared" si="2"/>
        <v>0.97594435599132812</v>
      </c>
      <c r="K19" s="298">
        <f t="shared" si="3"/>
        <v>2.4804041822275078</v>
      </c>
      <c r="L19" s="295">
        <v>8</v>
      </c>
      <c r="M19" s="295">
        <v>200</v>
      </c>
      <c r="N19" s="298">
        <f t="shared" si="4"/>
        <v>2.5150000000000001</v>
      </c>
      <c r="O19" s="299">
        <v>0.16647058823529412</v>
      </c>
      <c r="P19" s="283" t="str">
        <f t="shared" si="5"/>
        <v>Ø8a200</v>
      </c>
      <c r="Q19" s="258">
        <f>VLOOKUP(P19,'tra thep'!$E$11:$F$62,2,)</f>
        <v>2.5099999999999998</v>
      </c>
      <c r="R19" s="251">
        <f t="shared" si="6"/>
        <v>25</v>
      </c>
      <c r="S19" s="284" t="str">
        <f t="shared" si="7"/>
        <v/>
      </c>
    </row>
    <row r="20" spans="1:19" ht="15.75">
      <c r="A20" s="242"/>
      <c r="B20" s="300" t="str">
        <f>B19</f>
        <v>S1</v>
      </c>
      <c r="C20" s="290" t="s">
        <v>471</v>
      </c>
      <c r="D20" s="291">
        <f t="array" ref="D20">VLOOKUP(B20&amp;C20,CHOOSE({1,2},(momensan!$C$12:$C$47)&amp;(momensan!$D$12:$D$47),momensan!$L$12:$L$47),2,0)*100</f>
        <v>18710.373119999997</v>
      </c>
      <c r="E20" s="292">
        <f>TH!$I$45/10-(L20+L19)/2/10</f>
        <v>7.2</v>
      </c>
      <c r="F20" s="293">
        <v>100</v>
      </c>
      <c r="G20" s="294">
        <f t="shared" si="0"/>
        <v>14.5</v>
      </c>
      <c r="H20" s="295">
        <f>TH!$B$27</f>
        <v>225</v>
      </c>
      <c r="I20" s="296">
        <f t="shared" si="1"/>
        <v>2.4891407407407404E-2</v>
      </c>
      <c r="J20" s="297">
        <f t="shared" si="2"/>
        <v>0.98739542088154286</v>
      </c>
      <c r="K20" s="298">
        <f t="shared" si="3"/>
        <v>1.1697049421928232</v>
      </c>
      <c r="L20" s="295">
        <v>8</v>
      </c>
      <c r="M20" s="295">
        <v>200</v>
      </c>
      <c r="N20" s="298">
        <f t="shared" si="4"/>
        <v>2.5150000000000001</v>
      </c>
      <c r="O20" s="299">
        <v>0.17911392405063289</v>
      </c>
      <c r="P20" s="283" t="str">
        <f t="shared" si="5"/>
        <v>Ø8a200</v>
      </c>
      <c r="Q20" s="258">
        <f>VLOOKUP(P20,'tra thep'!$E$11:$F$62,2,)</f>
        <v>2.5099999999999998</v>
      </c>
      <c r="R20" s="251">
        <f t="shared" si="6"/>
        <v>27.777777777777779</v>
      </c>
      <c r="S20" s="284" t="str">
        <f t="shared" si="7"/>
        <v/>
      </c>
    </row>
    <row r="21" spans="1:19" ht="15.75">
      <c r="A21" s="242"/>
      <c r="B21" s="300" t="str">
        <f>B19</f>
        <v>S1</v>
      </c>
      <c r="C21" s="290" t="s">
        <v>472</v>
      </c>
      <c r="D21" s="291">
        <f t="array" ref="D21">VLOOKUP(B21&amp;C21,CHOOSE({1,2},(momensan!$C$12:$C$47)&amp;(momensan!$D$12:$D$47),momensan!$L$12:$L$47),2,0)*100</f>
        <v>97133.806399999987</v>
      </c>
      <c r="E21" s="292">
        <f>TH!$I$45/10</f>
        <v>8</v>
      </c>
      <c r="F21" s="293">
        <v>100</v>
      </c>
      <c r="G21" s="294">
        <f t="shared" si="0"/>
        <v>14.5</v>
      </c>
      <c r="H21" s="295">
        <f>TH!$B$27</f>
        <v>225</v>
      </c>
      <c r="I21" s="296">
        <f t="shared" si="1"/>
        <v>0.10467004999999999</v>
      </c>
      <c r="J21" s="297">
        <f t="shared" si="2"/>
        <v>0.94459529349735583</v>
      </c>
      <c r="K21" s="298">
        <f t="shared" si="3"/>
        <v>5.7128408482726387</v>
      </c>
      <c r="L21" s="295">
        <v>12</v>
      </c>
      <c r="M21" s="295">
        <v>200</v>
      </c>
      <c r="N21" s="298">
        <f t="shared" si="4"/>
        <v>5.6550000000000002</v>
      </c>
      <c r="O21" s="299">
        <v>0.39450980392156865</v>
      </c>
      <c r="P21" s="283" t="str">
        <f t="shared" si="5"/>
        <v>Ø12a200</v>
      </c>
      <c r="Q21" s="258">
        <f>VLOOKUP(P21,'tra thep'!$E$11:$F$62,2,)</f>
        <v>5.65</v>
      </c>
      <c r="R21" s="251">
        <f t="shared" si="6"/>
        <v>25</v>
      </c>
      <c r="S21" s="284" t="str">
        <f t="shared" si="7"/>
        <v>False</v>
      </c>
    </row>
    <row r="22" spans="1:19" ht="15.75">
      <c r="A22" s="242"/>
      <c r="B22" s="301" t="str">
        <f>B19</f>
        <v>S1</v>
      </c>
      <c r="C22" s="290" t="s">
        <v>473</v>
      </c>
      <c r="D22" s="291">
        <f t="array" ref="D22">VLOOKUP(B22&amp;C22,CHOOSE({1,2},(momensan!$C$12:$C$47)&amp;(momensan!$D$12:$D$47),momensan!$L$12:$L$47),2,0)*100</f>
        <v>41508.372799999997</v>
      </c>
      <c r="E22" s="292">
        <f>TH!$I$45/10</f>
        <v>8</v>
      </c>
      <c r="F22" s="293">
        <v>100</v>
      </c>
      <c r="G22" s="294">
        <f t="shared" ref="G22:G46" si="8">$H$6</f>
        <v>14.5</v>
      </c>
      <c r="H22" s="295">
        <f>TH!$B$27</f>
        <v>225</v>
      </c>
      <c r="I22" s="296">
        <f t="shared" si="1"/>
        <v>4.4728850000000001E-2</v>
      </c>
      <c r="J22" s="297">
        <f t="shared" ref="J22:J46" si="9">0.5*(1+SQRT(1-2*I22))</f>
        <v>0.97711170075779952</v>
      </c>
      <c r="K22" s="298">
        <f t="shared" si="3"/>
        <v>2.3600379663068973</v>
      </c>
      <c r="L22" s="295">
        <v>10</v>
      </c>
      <c r="M22" s="295">
        <v>200</v>
      </c>
      <c r="N22" s="298">
        <f t="shared" si="4"/>
        <v>3.9249999999999998</v>
      </c>
      <c r="O22" s="299">
        <v>0.16647058823529412</v>
      </c>
      <c r="P22" s="283" t="str">
        <f t="shared" si="5"/>
        <v>Ø10a200</v>
      </c>
      <c r="Q22" s="258">
        <f>VLOOKUP(P22,'tra thep'!$E$11:$F$62,2,)</f>
        <v>3.93</v>
      </c>
      <c r="R22" s="251">
        <f t="shared" si="6"/>
        <v>25</v>
      </c>
      <c r="S22" s="284" t="str">
        <f t="shared" si="7"/>
        <v/>
      </c>
    </row>
    <row r="23" spans="1:19" s="284" customFormat="1" ht="15.75">
      <c r="A23" s="282"/>
      <c r="B23" s="289" t="s">
        <v>115</v>
      </c>
      <c r="C23" s="290" t="s">
        <v>470</v>
      </c>
      <c r="D23" s="291">
        <f t="array" ref="D23">VLOOKUP(B23&amp;C23,CHOOSE({1,2},(momensan!$C$12:$C$47)&amp;(momensan!$D$12:$D$47),momensan!$L$12:$L$47),2,0)*100</f>
        <v>18679.583999999999</v>
      </c>
      <c r="E23" s="292">
        <f>TH!$I$45/10</f>
        <v>8</v>
      </c>
      <c r="F23" s="293">
        <v>100</v>
      </c>
      <c r="G23" s="294">
        <f>$H$6</f>
        <v>14.5</v>
      </c>
      <c r="H23" s="295">
        <f>TH!$B$27</f>
        <v>225</v>
      </c>
      <c r="I23" s="296">
        <f t="shared" si="1"/>
        <v>2.0128862068965515E-2</v>
      </c>
      <c r="J23" s="297">
        <f>0.5*(1+SQRT(1-2*I23))</f>
        <v>0.98983218449333976</v>
      </c>
      <c r="K23" s="298">
        <f t="shared" si="3"/>
        <v>1.0484147544645224</v>
      </c>
      <c r="L23" s="295">
        <v>8</v>
      </c>
      <c r="M23" s="295">
        <v>200</v>
      </c>
      <c r="N23" s="298">
        <f t="shared" si="4"/>
        <v>2.5150000000000001</v>
      </c>
      <c r="O23" s="299">
        <v>0.16647058823529412</v>
      </c>
      <c r="P23" s="283" t="str">
        <f t="shared" si="5"/>
        <v>Ø8a200</v>
      </c>
      <c r="Q23" s="258">
        <f>VLOOKUP(P23,'tra thep'!$E$11:$F$62,2,)</f>
        <v>2.5099999999999998</v>
      </c>
      <c r="R23" s="251">
        <f t="shared" si="6"/>
        <v>25</v>
      </c>
      <c r="S23" s="284" t="str">
        <f t="shared" si="7"/>
        <v/>
      </c>
    </row>
    <row r="24" spans="1:19" s="284" customFormat="1" ht="15.75">
      <c r="A24" s="282"/>
      <c r="B24" s="300" t="str">
        <f>B23</f>
        <v>S2</v>
      </c>
      <c r="C24" s="290" t="s">
        <v>471</v>
      </c>
      <c r="D24" s="291">
        <f t="array" ref="D24">VLOOKUP(B24&amp;C24,CHOOSE({1,2},(momensan!$C$12:$C$47)&amp;(momensan!$D$12:$D$47),momensan!$L$12:$L$47),2,0)*100</f>
        <v>10086.975359999999</v>
      </c>
      <c r="E24" s="292">
        <f>TH!$I$45/10-(L24+L23)/2/10</f>
        <v>7.2</v>
      </c>
      <c r="F24" s="293">
        <v>100</v>
      </c>
      <c r="G24" s="294">
        <f t="shared" si="8"/>
        <v>14.5</v>
      </c>
      <c r="H24" s="295">
        <f>TH!$B$27</f>
        <v>225</v>
      </c>
      <c r="I24" s="296">
        <f t="shared" si="1"/>
        <v>1.3419241379310344E-2</v>
      </c>
      <c r="J24" s="297">
        <f t="shared" si="9"/>
        <v>0.99324474585173728</v>
      </c>
      <c r="K24" s="298">
        <f t="shared" si="3"/>
        <v>0.62688758495878716</v>
      </c>
      <c r="L24" s="295">
        <v>8</v>
      </c>
      <c r="M24" s="295">
        <v>200</v>
      </c>
      <c r="N24" s="298">
        <f t="shared" si="4"/>
        <v>2.5150000000000001</v>
      </c>
      <c r="O24" s="299">
        <v>0.17911392405063289</v>
      </c>
      <c r="P24" s="283" t="str">
        <f t="shared" si="5"/>
        <v>Ø8a200</v>
      </c>
      <c r="Q24" s="258">
        <f>VLOOKUP(P24,'tra thep'!$E$11:$F$62,2,)</f>
        <v>2.5099999999999998</v>
      </c>
      <c r="R24" s="251">
        <f t="shared" si="6"/>
        <v>27.777777777777779</v>
      </c>
      <c r="S24" s="284" t="str">
        <f t="shared" si="7"/>
        <v/>
      </c>
    </row>
    <row r="25" spans="1:19" s="284" customFormat="1" ht="15.75">
      <c r="A25" s="282"/>
      <c r="B25" s="300" t="str">
        <f>B23</f>
        <v>S2</v>
      </c>
      <c r="C25" s="290" t="s">
        <v>472</v>
      </c>
      <c r="D25" s="291">
        <f t="array" ref="D25">VLOOKUP(B25&amp;C25,CHOOSE({1,2},(momensan!$C$12:$C$47)&amp;(momensan!$D$12:$D$47),momensan!$L$12:$L$47),2,0)*100</f>
        <v>40365.691519999986</v>
      </c>
      <c r="E25" s="292">
        <f>TH!$I$45/10</f>
        <v>8</v>
      </c>
      <c r="F25" s="293">
        <v>100</v>
      </c>
      <c r="G25" s="294">
        <f t="shared" si="8"/>
        <v>14.5</v>
      </c>
      <c r="H25" s="295">
        <f>TH!$B$27</f>
        <v>225</v>
      </c>
      <c r="I25" s="296">
        <f t="shared" si="1"/>
        <v>4.3497512413793085E-2</v>
      </c>
      <c r="J25" s="297">
        <f t="shared" si="9"/>
        <v>0.97775646912742431</v>
      </c>
      <c r="K25" s="298">
        <f t="shared" si="3"/>
        <v>2.2935551833055907</v>
      </c>
      <c r="L25" s="295">
        <v>10</v>
      </c>
      <c r="M25" s="295">
        <v>200</v>
      </c>
      <c r="N25" s="298">
        <f t="shared" si="4"/>
        <v>3.9249999999999998</v>
      </c>
      <c r="O25" s="299">
        <v>0.39450980392156865</v>
      </c>
      <c r="P25" s="283" t="str">
        <f t="shared" si="5"/>
        <v>Ø10a200</v>
      </c>
      <c r="Q25" s="258">
        <f>VLOOKUP(P25,'tra thep'!$E$11:$F$62,2,)</f>
        <v>3.93</v>
      </c>
      <c r="R25" s="251">
        <f t="shared" si="6"/>
        <v>25</v>
      </c>
      <c r="S25" s="284" t="str">
        <f t="shared" si="7"/>
        <v/>
      </c>
    </row>
    <row r="26" spans="1:19" s="284" customFormat="1" ht="15.75">
      <c r="A26" s="282"/>
      <c r="B26" s="301" t="str">
        <f>B23</f>
        <v>S2</v>
      </c>
      <c r="C26" s="290" t="s">
        <v>473</v>
      </c>
      <c r="D26" s="291">
        <f t="array" ref="D26">VLOOKUP(B26&amp;C26,CHOOSE({1,2},(momensan!$C$12:$C$47)&amp;(momensan!$D$12:$D$47),momensan!$L$12:$L$47),2,0)*100</f>
        <v>22913.623039999995</v>
      </c>
      <c r="E26" s="292">
        <f>TH!$I$45/10</f>
        <v>8</v>
      </c>
      <c r="F26" s="293">
        <v>100</v>
      </c>
      <c r="G26" s="294">
        <f t="shared" si="8"/>
        <v>14.5</v>
      </c>
      <c r="H26" s="295">
        <f>TH!$B$27</f>
        <v>225</v>
      </c>
      <c r="I26" s="296">
        <f t="shared" si="1"/>
        <v>2.4691404137931028E-2</v>
      </c>
      <c r="J26" s="297">
        <f t="shared" si="9"/>
        <v>0.98749799787387282</v>
      </c>
      <c r="K26" s="298">
        <f t="shared" si="3"/>
        <v>1.2890953303384494</v>
      </c>
      <c r="L26" s="295">
        <v>10</v>
      </c>
      <c r="M26" s="295">
        <v>200</v>
      </c>
      <c r="N26" s="298">
        <f t="shared" si="4"/>
        <v>3.9249999999999998</v>
      </c>
      <c r="O26" s="299">
        <v>0.16647058823529412</v>
      </c>
      <c r="P26" s="283" t="str">
        <f t="shared" si="5"/>
        <v>Ø10a200</v>
      </c>
      <c r="Q26" s="258">
        <f>VLOOKUP(P26,'tra thep'!$E$11:$F$62,2,)</f>
        <v>3.93</v>
      </c>
      <c r="R26" s="251">
        <f t="shared" si="6"/>
        <v>25</v>
      </c>
      <c r="S26" s="284" t="str">
        <f t="shared" si="7"/>
        <v/>
      </c>
    </row>
    <row r="27" spans="1:19" ht="15.75">
      <c r="A27" s="242"/>
      <c r="B27" s="289" t="s">
        <v>116</v>
      </c>
      <c r="C27" s="290" t="s">
        <v>470</v>
      </c>
      <c r="D27" s="291">
        <f t="array" ref="D27">VLOOKUP(B27&amp;C27,CHOOSE({1,2},(momensan!$C$12:$C$47)&amp;(momensan!$D$12:$D$47),momensan!$L$12:$L$47),2,0)*100</f>
        <v>41025.18</v>
      </c>
      <c r="E27" s="292">
        <f>TH!$I$45/10</f>
        <v>8</v>
      </c>
      <c r="F27" s="293">
        <v>100</v>
      </c>
      <c r="G27" s="294">
        <f>$H$6</f>
        <v>14.5</v>
      </c>
      <c r="H27" s="295">
        <f>TH!$B$27</f>
        <v>225</v>
      </c>
      <c r="I27" s="296">
        <f t="shared" si="1"/>
        <v>4.4208168103448277E-2</v>
      </c>
      <c r="J27" s="297">
        <f>0.5*(1+SQRT(1-2*I27))</f>
        <v>0.97738445298132182</v>
      </c>
      <c r="K27" s="298">
        <f t="shared" si="3"/>
        <v>2.3319141814814839</v>
      </c>
      <c r="L27" s="295">
        <v>8</v>
      </c>
      <c r="M27" s="295">
        <v>200</v>
      </c>
      <c r="N27" s="298">
        <f t="shared" si="4"/>
        <v>2.5150000000000001</v>
      </c>
      <c r="O27" s="299">
        <v>0.16647058823529412</v>
      </c>
      <c r="P27" s="283" t="str">
        <f t="shared" si="5"/>
        <v>Ø8a200</v>
      </c>
      <c r="Q27" s="258">
        <f>VLOOKUP(P27,'tra thep'!$E$11:$F$62,2,)</f>
        <v>2.5099999999999998</v>
      </c>
      <c r="R27" s="251">
        <f t="shared" si="6"/>
        <v>25</v>
      </c>
      <c r="S27" s="284" t="str">
        <f t="shared" si="7"/>
        <v/>
      </c>
    </row>
    <row r="28" spans="1:19" ht="15.75">
      <c r="A28" s="242"/>
      <c r="B28" s="300" t="str">
        <f>B27</f>
        <v>S3</v>
      </c>
      <c r="C28" s="290" t="s">
        <v>471</v>
      </c>
      <c r="D28" s="291">
        <f t="array" ref="D28">VLOOKUP(B28&amp;C28,CHOOSE({1,2},(momensan!$C$12:$C$47)&amp;(momensan!$D$12:$D$47),momensan!$L$12:$L$47),2,0)*100</f>
        <v>21215.878799999999</v>
      </c>
      <c r="E28" s="292">
        <f>TH!$I$45/10-(L28+L27)/2/10</f>
        <v>7.2</v>
      </c>
      <c r="F28" s="293">
        <v>100</v>
      </c>
      <c r="G28" s="294">
        <f t="shared" si="8"/>
        <v>14.5</v>
      </c>
      <c r="H28" s="295">
        <f>TH!$B$27</f>
        <v>225</v>
      </c>
      <c r="I28" s="296">
        <f t="shared" si="1"/>
        <v>2.8224615261813534E-2</v>
      </c>
      <c r="J28" s="297">
        <f t="shared" si="9"/>
        <v>0.98568270750469722</v>
      </c>
      <c r="K28" s="298">
        <f t="shared" si="3"/>
        <v>1.328644743564102</v>
      </c>
      <c r="L28" s="295">
        <v>8</v>
      </c>
      <c r="M28" s="295">
        <v>200</v>
      </c>
      <c r="N28" s="298">
        <f t="shared" si="4"/>
        <v>2.5150000000000001</v>
      </c>
      <c r="O28" s="299">
        <v>0.17911392405063289</v>
      </c>
      <c r="P28" s="283" t="str">
        <f t="shared" si="5"/>
        <v>Ø8a200</v>
      </c>
      <c r="Q28" s="258">
        <f>VLOOKUP(P28,'tra thep'!$E$11:$F$62,2,)</f>
        <v>2.5099999999999998</v>
      </c>
      <c r="R28" s="251">
        <f t="shared" si="6"/>
        <v>27.777777777777779</v>
      </c>
      <c r="S28" s="284" t="str">
        <f t="shared" si="7"/>
        <v/>
      </c>
    </row>
    <row r="29" spans="1:19" ht="15.75">
      <c r="A29" s="242"/>
      <c r="B29" s="300" t="str">
        <f>B27</f>
        <v>S3</v>
      </c>
      <c r="C29" s="290" t="s">
        <v>472</v>
      </c>
      <c r="D29" s="291">
        <f t="array" ref="D29">VLOOKUP(B29&amp;C29,CHOOSE({1,2},(momensan!$C$12:$C$47)&amp;(momensan!$D$12:$D$47),momensan!$L$12:$L$47),2,0)*100</f>
        <v>76814.765600000013</v>
      </c>
      <c r="E29" s="292">
        <f>TH!$I$45/10</f>
        <v>8</v>
      </c>
      <c r="F29" s="293">
        <v>100</v>
      </c>
      <c r="G29" s="294">
        <f t="shared" si="8"/>
        <v>14.5</v>
      </c>
      <c r="H29" s="295">
        <f>TH!$B$27</f>
        <v>225</v>
      </c>
      <c r="I29" s="296">
        <f t="shared" si="1"/>
        <v>8.2774531896551734E-2</v>
      </c>
      <c r="J29" s="297">
        <f t="shared" si="9"/>
        <v>0.95674143018969082</v>
      </c>
      <c r="K29" s="298">
        <f t="shared" si="3"/>
        <v>4.4604391982185545</v>
      </c>
      <c r="L29" s="295">
        <v>10</v>
      </c>
      <c r="M29" s="295">
        <v>200</v>
      </c>
      <c r="N29" s="298">
        <f t="shared" si="4"/>
        <v>3.9249999999999998</v>
      </c>
      <c r="O29" s="299">
        <v>0.39450980392156865</v>
      </c>
      <c r="P29" s="283" t="str">
        <f t="shared" si="5"/>
        <v>Ø10a200</v>
      </c>
      <c r="Q29" s="258">
        <f>VLOOKUP(P29,'tra thep'!$E$11:$F$62,2,)</f>
        <v>3.93</v>
      </c>
      <c r="R29" s="251">
        <f t="shared" si="6"/>
        <v>25</v>
      </c>
      <c r="S29" s="284" t="str">
        <f t="shared" si="7"/>
        <v>False</v>
      </c>
    </row>
    <row r="30" spans="1:19" ht="15.75">
      <c r="A30" s="242"/>
      <c r="B30" s="301" t="str">
        <f>B27</f>
        <v>S3</v>
      </c>
      <c r="C30" s="290" t="s">
        <v>473</v>
      </c>
      <c r="D30" s="291">
        <f t="array" ref="D30">VLOOKUP(B30&amp;C30,CHOOSE({1,2},(momensan!$C$12:$C$47)&amp;(momensan!$D$12:$D$47),momensan!$L$12:$L$47),2,0)*100</f>
        <v>47745.495200000005</v>
      </c>
      <c r="E30" s="292">
        <f>TH!$I$45/10</f>
        <v>8</v>
      </c>
      <c r="F30" s="293">
        <v>100</v>
      </c>
      <c r="G30" s="294">
        <f t="shared" si="8"/>
        <v>14.5</v>
      </c>
      <c r="H30" s="295">
        <f>TH!$B$27</f>
        <v>225</v>
      </c>
      <c r="I30" s="296">
        <f t="shared" si="1"/>
        <v>5.144988706896552E-2</v>
      </c>
      <c r="J30" s="297">
        <f t="shared" si="9"/>
        <v>0.97357687492688794</v>
      </c>
      <c r="K30" s="298">
        <f t="shared" si="3"/>
        <v>2.7245177853164462</v>
      </c>
      <c r="L30" s="295">
        <v>10</v>
      </c>
      <c r="M30" s="295">
        <v>200</v>
      </c>
      <c r="N30" s="298">
        <f t="shared" si="4"/>
        <v>3.9249999999999998</v>
      </c>
      <c r="O30" s="299">
        <v>0.16647058823529412</v>
      </c>
      <c r="P30" s="283" t="str">
        <f t="shared" si="5"/>
        <v>Ø10a200</v>
      </c>
      <c r="Q30" s="258">
        <f>VLOOKUP(P30,'tra thep'!$E$11:$F$62,2,)</f>
        <v>3.93</v>
      </c>
      <c r="R30" s="251">
        <f t="shared" si="6"/>
        <v>25</v>
      </c>
      <c r="S30" s="284" t="str">
        <f t="shared" si="7"/>
        <v/>
      </c>
    </row>
    <row r="31" spans="1:19" ht="15.75">
      <c r="A31" s="242"/>
      <c r="B31" s="289" t="s">
        <v>119</v>
      </c>
      <c r="C31" s="290" t="s">
        <v>470</v>
      </c>
      <c r="D31" s="291">
        <f t="array" ref="D31">VLOOKUP(B31&amp;C31,CHOOSE({1,2},(momensan!$C$12:$C$47)&amp;(momensan!$D$12:$D$47),momensan!$L$12:$L$47),2,0)*100</f>
        <v>8671.2595199999996</v>
      </c>
      <c r="E31" s="292">
        <f>TH!$I$45/10</f>
        <v>8</v>
      </c>
      <c r="F31" s="293">
        <v>100</v>
      </c>
      <c r="G31" s="294">
        <f>$H$6</f>
        <v>14.5</v>
      </c>
      <c r="H31" s="295">
        <f>TH!$B$27</f>
        <v>225</v>
      </c>
      <c r="I31" s="296">
        <f t="shared" si="1"/>
        <v>9.3440296551724131E-3</v>
      </c>
      <c r="J31" s="297">
        <f>0.5*(1+SQRT(1-2*I31))</f>
        <v>0.99530595107712339</v>
      </c>
      <c r="K31" s="298">
        <f t="shared" si="3"/>
        <v>0.48400860004771695</v>
      </c>
      <c r="L31" s="295">
        <v>8</v>
      </c>
      <c r="M31" s="295">
        <v>200</v>
      </c>
      <c r="N31" s="298">
        <f t="shared" si="4"/>
        <v>2.5150000000000001</v>
      </c>
      <c r="O31" s="299">
        <v>0.16647058823529412</v>
      </c>
      <c r="P31" s="283" t="str">
        <f t="shared" si="5"/>
        <v>Ø8a200</v>
      </c>
      <c r="Q31" s="258">
        <f>VLOOKUP(P31,'tra thep'!$E$11:$F$62,2,)</f>
        <v>2.5099999999999998</v>
      </c>
      <c r="R31" s="251">
        <f t="shared" si="6"/>
        <v>25</v>
      </c>
      <c r="S31" s="284" t="str">
        <f t="shared" si="7"/>
        <v/>
      </c>
    </row>
    <row r="32" spans="1:19" ht="15.75">
      <c r="A32" s="242"/>
      <c r="B32" s="300" t="str">
        <f>B31</f>
        <v>S5</v>
      </c>
      <c r="C32" s="290" t="s">
        <v>471</v>
      </c>
      <c r="D32" s="291">
        <f t="array" ref="D32">VLOOKUP(B32&amp;C32,CHOOSE({1,2},(momensan!$C$12:$C$47)&amp;(momensan!$D$12:$D$47),momensan!$L$12:$L$47),2,0)*100</f>
        <v>3572.9971199999995</v>
      </c>
      <c r="E32" s="292">
        <f>TH!$I$45/10-(L32+L31)/2/10</f>
        <v>7.2</v>
      </c>
      <c r="F32" s="293">
        <v>100</v>
      </c>
      <c r="G32" s="294">
        <f t="shared" si="8"/>
        <v>14.5</v>
      </c>
      <c r="H32" s="295">
        <f>TH!$B$27</f>
        <v>225</v>
      </c>
      <c r="I32" s="296">
        <f t="shared" si="1"/>
        <v>4.7533486590038308E-3</v>
      </c>
      <c r="J32" s="297">
        <f t="shared" si="9"/>
        <v>0.99761765007935366</v>
      </c>
      <c r="K32" s="298">
        <f t="shared" si="3"/>
        <v>0.22108207263597837</v>
      </c>
      <c r="L32" s="295">
        <v>8</v>
      </c>
      <c r="M32" s="295">
        <v>200</v>
      </c>
      <c r="N32" s="298">
        <f t="shared" si="4"/>
        <v>2.5150000000000001</v>
      </c>
      <c r="O32" s="299">
        <v>0.17911392405063289</v>
      </c>
      <c r="P32" s="283" t="str">
        <f t="shared" si="5"/>
        <v>Ø8a200</v>
      </c>
      <c r="Q32" s="258">
        <f>VLOOKUP(P32,'tra thep'!$E$11:$F$62,2,)</f>
        <v>2.5099999999999998</v>
      </c>
      <c r="R32" s="251">
        <f t="shared" si="6"/>
        <v>27.777777777777779</v>
      </c>
      <c r="S32" s="284" t="str">
        <f t="shared" si="7"/>
        <v/>
      </c>
    </row>
    <row r="33" spans="1:19" ht="15.75">
      <c r="A33" s="242"/>
      <c r="B33" s="300" t="str">
        <f>B31</f>
        <v>S5</v>
      </c>
      <c r="C33" s="290" t="s">
        <v>472</v>
      </c>
      <c r="D33" s="291">
        <f t="array" ref="D33">VLOOKUP(B33&amp;C33,CHOOSE({1,2},(momensan!$C$12:$C$47)&amp;(momensan!$D$12:$D$47),momensan!$L$12:$L$47),2,0)*100</f>
        <v>19280.701439999997</v>
      </c>
      <c r="E33" s="292">
        <f>TH!$I$45/10</f>
        <v>8</v>
      </c>
      <c r="F33" s="293">
        <v>100</v>
      </c>
      <c r="G33" s="294">
        <f t="shared" si="8"/>
        <v>14.5</v>
      </c>
      <c r="H33" s="295">
        <f>TH!$B$27</f>
        <v>225</v>
      </c>
      <c r="I33" s="296">
        <f t="shared" si="1"/>
        <v>2.0776617931034479E-2</v>
      </c>
      <c r="J33" s="297">
        <f t="shared" si="9"/>
        <v>0.98950147194312166</v>
      </c>
      <c r="K33" s="298">
        <f t="shared" si="3"/>
        <v>1.0825148929758959</v>
      </c>
      <c r="L33" s="295">
        <v>10</v>
      </c>
      <c r="M33" s="295">
        <v>200</v>
      </c>
      <c r="N33" s="298">
        <f t="shared" si="4"/>
        <v>3.9249999999999998</v>
      </c>
      <c r="O33" s="299">
        <v>0.39450980392156865</v>
      </c>
      <c r="P33" s="283" t="str">
        <f t="shared" si="5"/>
        <v>Ø10a200</v>
      </c>
      <c r="Q33" s="258">
        <f>VLOOKUP(P33,'tra thep'!$E$11:$F$62,2,)</f>
        <v>3.93</v>
      </c>
      <c r="R33" s="251">
        <f t="shared" si="6"/>
        <v>25</v>
      </c>
      <c r="S33" s="284" t="str">
        <f t="shared" si="7"/>
        <v/>
      </c>
    </row>
    <row r="34" spans="1:19" ht="15.75">
      <c r="A34" s="242"/>
      <c r="B34" s="301" t="str">
        <f>B31</f>
        <v>S5</v>
      </c>
      <c r="C34" s="290" t="s">
        <v>473</v>
      </c>
      <c r="D34" s="291">
        <f t="array" ref="D34">VLOOKUP(B34&amp;C34,CHOOSE({1,2},(momensan!$C$12:$C$47)&amp;(momensan!$D$12:$D$47),momensan!$L$12:$L$47),2,0)*100</f>
        <v>7929.6940799999984</v>
      </c>
      <c r="E34" s="292">
        <f>TH!$I$45/10</f>
        <v>8</v>
      </c>
      <c r="F34" s="293">
        <v>100</v>
      </c>
      <c r="G34" s="294">
        <f t="shared" si="8"/>
        <v>14.5</v>
      </c>
      <c r="H34" s="295">
        <f>TH!$B$27</f>
        <v>225</v>
      </c>
      <c r="I34" s="296">
        <f t="shared" si="1"/>
        <v>8.5449289655172393E-3</v>
      </c>
      <c r="J34" s="297">
        <f t="shared" si="9"/>
        <v>0.99570912389953181</v>
      </c>
      <c r="K34" s="298">
        <f t="shared" si="3"/>
        <v>0.4424370023593866</v>
      </c>
      <c r="L34" s="295">
        <v>10</v>
      </c>
      <c r="M34" s="295">
        <v>200</v>
      </c>
      <c r="N34" s="298">
        <f t="shared" si="4"/>
        <v>3.9249999999999998</v>
      </c>
      <c r="O34" s="299">
        <v>0.16647058823529412</v>
      </c>
      <c r="P34" s="283" t="str">
        <f t="shared" si="5"/>
        <v>Ø10a200</v>
      </c>
      <c r="Q34" s="258">
        <f>VLOOKUP(P34,'tra thep'!$E$11:$F$62,2,)</f>
        <v>3.93</v>
      </c>
      <c r="R34" s="251">
        <f t="shared" si="6"/>
        <v>25</v>
      </c>
      <c r="S34" s="284" t="str">
        <f t="shared" si="7"/>
        <v/>
      </c>
    </row>
    <row r="35" spans="1:19" ht="15.75">
      <c r="A35" s="242"/>
      <c r="B35" s="289" t="s">
        <v>122</v>
      </c>
      <c r="C35" s="290" t="s">
        <v>470</v>
      </c>
      <c r="D35" s="291">
        <f t="array" ref="D35">VLOOKUP(B35&amp;C35,CHOOSE({1,2},(momensan!$C$12:$C$47)&amp;(momensan!$D$12:$D$47),momensan!$L$12:$L$47),2,0)*100</f>
        <v>21608.593599999993</v>
      </c>
      <c r="E35" s="292">
        <f>TH!$I$45/10</f>
        <v>8</v>
      </c>
      <c r="F35" s="293">
        <v>100</v>
      </c>
      <c r="G35" s="294">
        <f>$H$6</f>
        <v>14.5</v>
      </c>
      <c r="H35" s="295">
        <f>TH!$B$27</f>
        <v>225</v>
      </c>
      <c r="I35" s="296">
        <f t="shared" si="1"/>
        <v>2.3285122413793095E-2</v>
      </c>
      <c r="J35" s="297">
        <f>0.5*(1+SQRT(1-2*I35))</f>
        <v>0.98821863830982881</v>
      </c>
      <c r="K35" s="298">
        <f t="shared" si="3"/>
        <v>1.2147892942754286</v>
      </c>
      <c r="L35" s="295">
        <v>8</v>
      </c>
      <c r="M35" s="295">
        <v>200</v>
      </c>
      <c r="N35" s="298">
        <f t="shared" si="4"/>
        <v>2.5150000000000001</v>
      </c>
      <c r="O35" s="299">
        <v>0.16647058823529412</v>
      </c>
      <c r="P35" s="283" t="str">
        <f t="shared" si="5"/>
        <v>Ø8a200</v>
      </c>
      <c r="Q35" s="258">
        <f>VLOOKUP(P35,'tra thep'!$E$11:$F$62,2,)</f>
        <v>2.5099999999999998</v>
      </c>
      <c r="R35" s="251">
        <f t="shared" si="6"/>
        <v>25</v>
      </c>
      <c r="S35" s="284" t="str">
        <f t="shared" si="7"/>
        <v/>
      </c>
    </row>
    <row r="36" spans="1:19" ht="15.75">
      <c r="A36" s="242"/>
      <c r="B36" s="300" t="str">
        <f>B35</f>
        <v>S8</v>
      </c>
      <c r="C36" s="290" t="s">
        <v>471</v>
      </c>
      <c r="D36" s="291">
        <f t="array" ref="D36">VLOOKUP(B36&amp;C36,CHOOSE({1,2},(momensan!$C$12:$C$47)&amp;(momensan!$D$12:$D$47),momensan!$L$12:$L$47),2,0)*100</f>
        <v>21608.593599999993</v>
      </c>
      <c r="E36" s="292">
        <f>TH!$I$45/10-(L36+L35)/2/10</f>
        <v>7.2</v>
      </c>
      <c r="F36" s="293">
        <v>100</v>
      </c>
      <c r="G36" s="294">
        <f t="shared" si="8"/>
        <v>14.5</v>
      </c>
      <c r="H36" s="295">
        <f>TH!$B$27</f>
        <v>225</v>
      </c>
      <c r="I36" s="296">
        <f t="shared" si="1"/>
        <v>2.874706470838654E-2</v>
      </c>
      <c r="J36" s="297">
        <f t="shared" si="9"/>
        <v>0.98541370772342918</v>
      </c>
      <c r="K36" s="298">
        <f t="shared" si="3"/>
        <v>1.3536079232657721</v>
      </c>
      <c r="L36" s="295">
        <v>8</v>
      </c>
      <c r="M36" s="295">
        <v>200</v>
      </c>
      <c r="N36" s="298">
        <f t="shared" si="4"/>
        <v>2.5150000000000001</v>
      </c>
      <c r="O36" s="299">
        <v>0.17911392405063289</v>
      </c>
      <c r="P36" s="283" t="str">
        <f t="shared" si="5"/>
        <v>Ø8a200</v>
      </c>
      <c r="Q36" s="258">
        <f>VLOOKUP(P36,'tra thep'!$E$11:$F$62,2,)</f>
        <v>2.5099999999999998</v>
      </c>
      <c r="R36" s="251">
        <f t="shared" si="6"/>
        <v>27.777777777777779</v>
      </c>
      <c r="S36" s="284" t="str">
        <f t="shared" si="7"/>
        <v/>
      </c>
    </row>
    <row r="37" spans="1:19" ht="15.75">
      <c r="A37" s="242"/>
      <c r="B37" s="300" t="str">
        <f>B35</f>
        <v>S8</v>
      </c>
      <c r="C37" s="290" t="s">
        <v>472</v>
      </c>
      <c r="D37" s="291">
        <f t="array" ref="D37">VLOOKUP(B37&amp;C37,CHOOSE({1,2},(momensan!$C$12:$C$47)&amp;(momensan!$D$12:$D$47),momensan!$L$12:$L$47),2,0)*100</f>
        <v>50339.572799999994</v>
      </c>
      <c r="E37" s="292">
        <f>TH!$I$45/10</f>
        <v>8</v>
      </c>
      <c r="F37" s="293">
        <v>100</v>
      </c>
      <c r="G37" s="294">
        <f t="shared" si="8"/>
        <v>14.5</v>
      </c>
      <c r="H37" s="295">
        <f>TH!$B$27</f>
        <v>225</v>
      </c>
      <c r="I37" s="296">
        <f t="shared" si="1"/>
        <v>5.4245229310344818E-2</v>
      </c>
      <c r="J37" s="297">
        <f t="shared" si="9"/>
        <v>0.97209891478886878</v>
      </c>
      <c r="K37" s="298">
        <f t="shared" si="3"/>
        <v>2.8769118973255297</v>
      </c>
      <c r="L37" s="295">
        <v>10</v>
      </c>
      <c r="M37" s="295">
        <v>200</v>
      </c>
      <c r="N37" s="298">
        <f t="shared" si="4"/>
        <v>3.9249999999999998</v>
      </c>
      <c r="O37" s="299">
        <v>0.39450980392156865</v>
      </c>
      <c r="P37" s="283" t="str">
        <f t="shared" si="5"/>
        <v>Ø10a200</v>
      </c>
      <c r="Q37" s="258">
        <f>VLOOKUP(P37,'tra thep'!$E$11:$F$62,2,)</f>
        <v>3.93</v>
      </c>
      <c r="R37" s="251">
        <f t="shared" si="6"/>
        <v>25</v>
      </c>
      <c r="S37" s="284" t="str">
        <f t="shared" si="7"/>
        <v/>
      </c>
    </row>
    <row r="38" spans="1:19" ht="15.75">
      <c r="A38" s="242"/>
      <c r="B38" s="301" t="str">
        <f>B35</f>
        <v>S8</v>
      </c>
      <c r="C38" s="290" t="s">
        <v>473</v>
      </c>
      <c r="D38" s="291">
        <f t="array" ref="D38">VLOOKUP(B38&amp;C38,CHOOSE({1,2},(momensan!$C$12:$C$47)&amp;(momensan!$D$12:$D$47),momensan!$L$12:$L$47),2,0)*100</f>
        <v>50339.572799999994</v>
      </c>
      <c r="E38" s="292">
        <f>TH!$I$45/10</f>
        <v>8</v>
      </c>
      <c r="F38" s="293">
        <v>100</v>
      </c>
      <c r="G38" s="294">
        <f t="shared" si="8"/>
        <v>14.5</v>
      </c>
      <c r="H38" s="295">
        <f>TH!$B$27</f>
        <v>225</v>
      </c>
      <c r="I38" s="296">
        <f t="shared" si="1"/>
        <v>5.4245229310344818E-2</v>
      </c>
      <c r="J38" s="297">
        <f t="shared" si="9"/>
        <v>0.97209891478886878</v>
      </c>
      <c r="K38" s="298">
        <f t="shared" si="3"/>
        <v>2.8769118973255297</v>
      </c>
      <c r="L38" s="295">
        <v>10</v>
      </c>
      <c r="M38" s="295">
        <v>200</v>
      </c>
      <c r="N38" s="298">
        <f t="shared" si="4"/>
        <v>3.9249999999999998</v>
      </c>
      <c r="O38" s="299">
        <v>0.16647058823529412</v>
      </c>
      <c r="P38" s="283" t="str">
        <f t="shared" si="5"/>
        <v>Ø10a200</v>
      </c>
      <c r="Q38" s="258">
        <f>VLOOKUP(P38,'tra thep'!$E$11:$F$62,2,)</f>
        <v>3.93</v>
      </c>
      <c r="R38" s="251">
        <f t="shared" si="6"/>
        <v>25</v>
      </c>
      <c r="S38" s="284" t="str">
        <f t="shared" si="7"/>
        <v/>
      </c>
    </row>
    <row r="39" spans="1:19" ht="15.75">
      <c r="A39" s="242"/>
      <c r="B39" s="289" t="s">
        <v>124</v>
      </c>
      <c r="C39" s="290" t="s">
        <v>470</v>
      </c>
      <c r="D39" s="291">
        <f t="array" ref="D39">VLOOKUP(B39&amp;C39,CHOOSE({1,2},(momensan!$C$12:$C$47)&amp;(momensan!$D$12:$D$47),momensan!$L$12:$L$47),2,0)*100</f>
        <v>7900.2000000000007</v>
      </c>
      <c r="E39" s="292">
        <f>TH!$I$45/10</f>
        <v>8</v>
      </c>
      <c r="F39" s="293">
        <v>100</v>
      </c>
      <c r="G39" s="294">
        <f>$H$6</f>
        <v>14.5</v>
      </c>
      <c r="H39" s="295">
        <f>TH!$B$27</f>
        <v>225</v>
      </c>
      <c r="I39" s="296">
        <f t="shared" si="1"/>
        <v>8.5131465517241395E-3</v>
      </c>
      <c r="J39" s="297">
        <f>0.5*(1+SQRT(1-2*I39))</f>
        <v>0.99572515240215309</v>
      </c>
      <c r="K39" s="298">
        <f t="shared" si="3"/>
        <v>0.44078428564465671</v>
      </c>
      <c r="L39" s="295">
        <v>8</v>
      </c>
      <c r="M39" s="295">
        <v>200</v>
      </c>
      <c r="N39" s="298">
        <f t="shared" si="4"/>
        <v>2.5150000000000001</v>
      </c>
      <c r="O39" s="299">
        <v>0.16647058823529412</v>
      </c>
      <c r="P39" s="283" t="str">
        <f t="shared" si="5"/>
        <v>Ø8a200</v>
      </c>
      <c r="Q39" s="258">
        <f>VLOOKUP(P39,'tra thep'!$E$11:$F$62,2,)</f>
        <v>2.5099999999999998</v>
      </c>
      <c r="R39" s="251">
        <f t="shared" si="6"/>
        <v>25</v>
      </c>
      <c r="S39" s="284" t="str">
        <f t="shared" si="7"/>
        <v/>
      </c>
    </row>
    <row r="40" spans="1:19" ht="15.75">
      <c r="A40" s="242"/>
      <c r="B40" s="300" t="str">
        <f>B39</f>
        <v>S9</v>
      </c>
      <c r="C40" s="290" t="s">
        <v>471</v>
      </c>
      <c r="D40" s="291">
        <f t="array" ref="D40">VLOOKUP(B40&amp;C40,CHOOSE({1,2},(momensan!$C$12:$C$47)&amp;(momensan!$D$12:$D$47),momensan!$L$12:$L$47),2,0)*100</f>
        <v>4085.5319999999997</v>
      </c>
      <c r="E40" s="292">
        <f>TH!$I$45/10-(L40+L39)/2/10</f>
        <v>7.2</v>
      </c>
      <c r="F40" s="293">
        <v>100</v>
      </c>
      <c r="G40" s="294">
        <f t="shared" si="8"/>
        <v>14.5</v>
      </c>
      <c r="H40" s="295">
        <f>TH!$B$27</f>
        <v>225</v>
      </c>
      <c r="I40" s="296">
        <f t="shared" si="1"/>
        <v>5.435201149425287E-3</v>
      </c>
      <c r="J40" s="297">
        <f t="shared" si="9"/>
        <v>0.99727497365671569</v>
      </c>
      <c r="K40" s="298">
        <f t="shared" si="3"/>
        <v>0.25288244465677717</v>
      </c>
      <c r="L40" s="295">
        <v>8</v>
      </c>
      <c r="M40" s="295">
        <v>200</v>
      </c>
      <c r="N40" s="298">
        <f t="shared" si="4"/>
        <v>2.5150000000000001</v>
      </c>
      <c r="O40" s="299">
        <v>0.17911392405063289</v>
      </c>
      <c r="P40" s="283" t="str">
        <f t="shared" si="5"/>
        <v>Ø8a200</v>
      </c>
      <c r="Q40" s="258">
        <f>VLOOKUP(P40,'tra thep'!$E$11:$F$62,2,)</f>
        <v>2.5099999999999998</v>
      </c>
      <c r="R40" s="251">
        <f t="shared" si="6"/>
        <v>27.777777777777779</v>
      </c>
      <c r="S40" s="284" t="str">
        <f t="shared" si="7"/>
        <v/>
      </c>
    </row>
    <row r="41" spans="1:19" ht="15.75">
      <c r="A41" s="242"/>
      <c r="B41" s="300" t="str">
        <f>B39</f>
        <v>S9</v>
      </c>
      <c r="C41" s="290" t="s">
        <v>472</v>
      </c>
      <c r="D41" s="291">
        <f t="array" ref="D41">VLOOKUP(B41&amp;C41,CHOOSE({1,2},(momensan!$C$12:$C$47)&amp;(momensan!$D$12:$D$47),momensan!$L$12:$L$47),2,0)*100</f>
        <v>14792.184000000003</v>
      </c>
      <c r="E41" s="292">
        <f>TH!$I$45/10</f>
        <v>8</v>
      </c>
      <c r="F41" s="293">
        <v>100</v>
      </c>
      <c r="G41" s="294">
        <f t="shared" si="8"/>
        <v>14.5</v>
      </c>
      <c r="H41" s="295">
        <f>TH!$B$27</f>
        <v>225</v>
      </c>
      <c r="I41" s="296">
        <f t="shared" si="1"/>
        <v>1.5939853448275865E-2</v>
      </c>
      <c r="J41" s="297">
        <f t="shared" si="9"/>
        <v>0.99196552041363839</v>
      </c>
      <c r="K41" s="298">
        <f t="shared" si="3"/>
        <v>0.82844411734928436</v>
      </c>
      <c r="L41" s="295">
        <v>10</v>
      </c>
      <c r="M41" s="295">
        <v>200</v>
      </c>
      <c r="N41" s="298">
        <f t="shared" si="4"/>
        <v>3.9249999999999998</v>
      </c>
      <c r="O41" s="299">
        <v>0.39450980392156865</v>
      </c>
      <c r="P41" s="283" t="str">
        <f t="shared" si="5"/>
        <v>Ø10a200</v>
      </c>
      <c r="Q41" s="258">
        <f>VLOOKUP(P41,'tra thep'!$E$11:$F$62,2,)</f>
        <v>3.93</v>
      </c>
      <c r="R41" s="251">
        <f t="shared" si="6"/>
        <v>25</v>
      </c>
      <c r="S41" s="284" t="str">
        <f t="shared" si="7"/>
        <v/>
      </c>
    </row>
    <row r="42" spans="1:19" ht="15.75">
      <c r="A42" s="242"/>
      <c r="B42" s="301" t="str">
        <f>B39</f>
        <v>S9</v>
      </c>
      <c r="C42" s="290" t="s">
        <v>473</v>
      </c>
      <c r="D42" s="291">
        <f t="array" ref="D42">VLOOKUP(B42&amp;C42,CHOOSE({1,2},(momensan!$C$12:$C$47)&amp;(momensan!$D$12:$D$47),momensan!$L$12:$L$47),2,0)*100</f>
        <v>9194.3280000000013</v>
      </c>
      <c r="E42" s="292">
        <f>TH!$I$45/10</f>
        <v>8</v>
      </c>
      <c r="F42" s="293">
        <v>100</v>
      </c>
      <c r="G42" s="294">
        <f t="shared" si="8"/>
        <v>14.5</v>
      </c>
      <c r="H42" s="295">
        <f>TH!$B$27</f>
        <v>225</v>
      </c>
      <c r="I42" s="296">
        <f t="shared" si="1"/>
        <v>9.9076810344827602E-3</v>
      </c>
      <c r="J42" s="297">
        <f t="shared" si="9"/>
        <v>0.995021372753499</v>
      </c>
      <c r="K42" s="298">
        <f t="shared" si="3"/>
        <v>0.51335178719476793</v>
      </c>
      <c r="L42" s="295">
        <v>10</v>
      </c>
      <c r="M42" s="295">
        <v>200</v>
      </c>
      <c r="N42" s="298">
        <f t="shared" si="4"/>
        <v>3.9249999999999998</v>
      </c>
      <c r="O42" s="299">
        <v>0.16647058823529412</v>
      </c>
      <c r="P42" s="283" t="str">
        <f t="shared" si="5"/>
        <v>Ø10a200</v>
      </c>
      <c r="Q42" s="258">
        <f>VLOOKUP(P42,'tra thep'!$E$11:$F$62,2,)</f>
        <v>3.93</v>
      </c>
      <c r="R42" s="251">
        <f t="shared" si="6"/>
        <v>25</v>
      </c>
      <c r="S42" s="284" t="str">
        <f t="shared" si="7"/>
        <v/>
      </c>
    </row>
    <row r="43" spans="1:19" ht="15.75">
      <c r="A43" s="242"/>
      <c r="B43" s="289" t="s">
        <v>123</v>
      </c>
      <c r="C43" s="290" t="s">
        <v>470</v>
      </c>
      <c r="D43" s="291">
        <f t="array" ref="D43">VLOOKUP(B43&amp;C43,CHOOSE({1,2},(momensan!$C$12:$C$47)&amp;(momensan!$D$12:$D$47),momensan!$L$12:$L$47),2,0)*100</f>
        <v>17995.301280000003</v>
      </c>
      <c r="E43" s="292">
        <f>TH!$I$45/10</f>
        <v>8</v>
      </c>
      <c r="F43" s="293">
        <v>100</v>
      </c>
      <c r="G43" s="294">
        <f>$H$6</f>
        <v>14.5</v>
      </c>
      <c r="H43" s="295">
        <f>TH!$B$27</f>
        <v>225</v>
      </c>
      <c r="I43" s="296">
        <f t="shared" si="1"/>
        <v>1.9391488448275866E-2</v>
      </c>
      <c r="J43" s="297">
        <f>0.5*(1+SQRT(1-2*I43))</f>
        <v>0.9902083799527116</v>
      </c>
      <c r="K43" s="298">
        <f t="shared" si="3"/>
        <v>1.0096248226537365</v>
      </c>
      <c r="L43" s="295">
        <v>8</v>
      </c>
      <c r="M43" s="295">
        <v>200</v>
      </c>
      <c r="N43" s="298">
        <f t="shared" si="4"/>
        <v>2.5150000000000001</v>
      </c>
      <c r="O43" s="299">
        <v>0.16647058823529412</v>
      </c>
      <c r="P43" s="283" t="str">
        <f t="shared" si="5"/>
        <v>Ø8a200</v>
      </c>
      <c r="Q43" s="258">
        <f>VLOOKUP(P43,'tra thep'!$E$11:$F$62,2,)</f>
        <v>2.5099999999999998</v>
      </c>
      <c r="R43" s="251">
        <f t="shared" si="6"/>
        <v>25</v>
      </c>
      <c r="S43" s="284" t="str">
        <f t="shared" si="7"/>
        <v/>
      </c>
    </row>
    <row r="44" spans="1:19" ht="15.75">
      <c r="A44" s="242"/>
      <c r="B44" s="300" t="str">
        <f>B43</f>
        <v>S10</v>
      </c>
      <c r="C44" s="290" t="s">
        <v>471</v>
      </c>
      <c r="D44" s="291">
        <f t="array" ref="D44">VLOOKUP(B44&amp;C44,CHOOSE({1,2},(momensan!$C$12:$C$47)&amp;(momensan!$D$12:$D$47),momensan!$L$12:$L$47),2,0)*100</f>
        <v>9057.6921600000005</v>
      </c>
      <c r="E44" s="292">
        <f>TH!$I$45/10-(L44+L43)/2/10</f>
        <v>7.2</v>
      </c>
      <c r="F44" s="293">
        <v>100</v>
      </c>
      <c r="G44" s="294">
        <f t="shared" si="8"/>
        <v>14.5</v>
      </c>
      <c r="H44" s="295">
        <f>TH!$B$27</f>
        <v>225</v>
      </c>
      <c r="I44" s="296">
        <f t="shared" si="1"/>
        <v>1.2049931034482758E-2</v>
      </c>
      <c r="J44" s="297">
        <f t="shared" si="9"/>
        <v>0.99393829015653223</v>
      </c>
      <c r="K44" s="298">
        <f t="shared" si="3"/>
        <v>0.56252667347380936</v>
      </c>
      <c r="L44" s="295">
        <v>8</v>
      </c>
      <c r="M44" s="295">
        <v>200</v>
      </c>
      <c r="N44" s="298">
        <f t="shared" si="4"/>
        <v>2.5150000000000001</v>
      </c>
      <c r="O44" s="299">
        <v>0.17911392405063289</v>
      </c>
      <c r="P44" s="283" t="str">
        <f t="shared" si="5"/>
        <v>Ø8a200</v>
      </c>
      <c r="Q44" s="258">
        <f>VLOOKUP(P44,'tra thep'!$E$11:$F$62,2,)</f>
        <v>2.5099999999999998</v>
      </c>
      <c r="R44" s="251">
        <f t="shared" si="6"/>
        <v>27.777777777777779</v>
      </c>
      <c r="S44" s="284" t="str">
        <f t="shared" si="7"/>
        <v/>
      </c>
    </row>
    <row r="45" spans="1:19" ht="15.75">
      <c r="A45" s="242"/>
      <c r="B45" s="300" t="str">
        <f>B43</f>
        <v>S10</v>
      </c>
      <c r="C45" s="290" t="s">
        <v>472</v>
      </c>
      <c r="D45" s="291">
        <f t="array" ref="D45">VLOOKUP(B45&amp;C45,CHOOSE({1,2},(momensan!$C$12:$C$47)&amp;(momensan!$D$12:$D$47),momensan!$L$12:$L$47),2,0)*100</f>
        <v>33640.405919999997</v>
      </c>
      <c r="E45" s="292">
        <f>TH!$I$45/10</f>
        <v>8</v>
      </c>
      <c r="F45" s="293">
        <v>100</v>
      </c>
      <c r="G45" s="294">
        <f t="shared" si="8"/>
        <v>14.5</v>
      </c>
      <c r="H45" s="295">
        <f>TH!$B$27</f>
        <v>225</v>
      </c>
      <c r="I45" s="296">
        <f t="shared" si="1"/>
        <v>3.62504374137931E-2</v>
      </c>
      <c r="J45" s="297">
        <f t="shared" si="9"/>
        <v>0.98153378001247582</v>
      </c>
      <c r="K45" s="298">
        <f t="shared" si="3"/>
        <v>1.9040724609358275</v>
      </c>
      <c r="L45" s="295">
        <v>10</v>
      </c>
      <c r="M45" s="295">
        <v>200</v>
      </c>
      <c r="N45" s="298">
        <f t="shared" si="4"/>
        <v>3.9249999999999998</v>
      </c>
      <c r="O45" s="299">
        <v>0.39450980392156865</v>
      </c>
      <c r="P45" s="283" t="str">
        <f t="shared" si="5"/>
        <v>Ø10a200</v>
      </c>
      <c r="Q45" s="258">
        <f>VLOOKUP(P45,'tra thep'!$E$11:$F$62,2,)</f>
        <v>3.93</v>
      </c>
      <c r="R45" s="251">
        <f t="shared" si="6"/>
        <v>25</v>
      </c>
      <c r="S45" s="284" t="str">
        <f t="shared" si="7"/>
        <v/>
      </c>
    </row>
    <row r="46" spans="1:19" ht="15.75">
      <c r="A46" s="242"/>
      <c r="B46" s="301" t="str">
        <f>B43</f>
        <v>S10</v>
      </c>
      <c r="C46" s="290" t="s">
        <v>473</v>
      </c>
      <c r="D46" s="291">
        <f t="array" ref="D46">VLOOKUP(B46&amp;C46,CHOOSE({1,2},(momensan!$C$12:$C$47)&amp;(momensan!$D$12:$D$47),momensan!$L$12:$L$47),2,0)*100</f>
        <v>20294.033760000002</v>
      </c>
      <c r="E46" s="292">
        <f>TH!$I$45/10</f>
        <v>8</v>
      </c>
      <c r="F46" s="293">
        <v>100</v>
      </c>
      <c r="G46" s="294">
        <f t="shared" si="8"/>
        <v>14.5</v>
      </c>
      <c r="H46" s="295">
        <f>TH!$B$27</f>
        <v>225</v>
      </c>
      <c r="I46" s="296">
        <f t="shared" si="1"/>
        <v>2.1868570862068969E-2</v>
      </c>
      <c r="J46" s="297">
        <f t="shared" si="9"/>
        <v>0.98894346766161578</v>
      </c>
      <c r="K46" s="298">
        <f t="shared" si="3"/>
        <v>1.1400513344467285</v>
      </c>
      <c r="L46" s="295">
        <v>10</v>
      </c>
      <c r="M46" s="295">
        <v>200</v>
      </c>
      <c r="N46" s="298">
        <f t="shared" si="4"/>
        <v>3.9249999999999998</v>
      </c>
      <c r="O46" s="299">
        <v>0.16647058823529412</v>
      </c>
      <c r="P46" s="283" t="str">
        <f t="shared" si="5"/>
        <v>Ø10a200</v>
      </c>
      <c r="Q46" s="258">
        <f>VLOOKUP(P46,'tra thep'!$E$11:$F$62,2,)</f>
        <v>3.93</v>
      </c>
      <c r="R46" s="251">
        <f t="shared" si="6"/>
        <v>25</v>
      </c>
      <c r="S46" s="284" t="str">
        <f t="shared" si="7"/>
        <v/>
      </c>
    </row>
    <row r="47" spans="1:19">
      <c r="A47" s="242"/>
      <c r="B47" s="243"/>
      <c r="C47" s="243"/>
      <c r="D47" s="243"/>
      <c r="E47" s="243"/>
      <c r="F47" s="243"/>
      <c r="G47" s="243"/>
      <c r="H47" s="243"/>
      <c r="I47" s="246"/>
      <c r="J47" s="243"/>
      <c r="K47" s="243"/>
      <c r="L47" s="243"/>
      <c r="M47" s="243"/>
      <c r="N47" s="243"/>
      <c r="O47" s="244"/>
      <c r="P47" s="243"/>
      <c r="Q47" s="259"/>
      <c r="R47" s="243"/>
    </row>
    <row r="48" spans="1:19">
      <c r="A48" s="242"/>
      <c r="B48" s="243"/>
      <c r="C48" s="243"/>
      <c r="D48" s="243"/>
      <c r="E48" s="243"/>
      <c r="F48" s="243"/>
      <c r="G48" s="243"/>
      <c r="H48" s="243"/>
      <c r="I48" s="246"/>
      <c r="J48" s="243"/>
      <c r="K48" s="243"/>
      <c r="L48" s="243"/>
      <c r="M48" s="243"/>
      <c r="N48" s="243"/>
      <c r="O48" s="244"/>
      <c r="P48" s="243"/>
      <c r="Q48" s="259"/>
      <c r="R48" s="243"/>
    </row>
    <row r="49" spans="1:18">
      <c r="A49" s="242"/>
      <c r="B49" s="243"/>
      <c r="C49" s="243"/>
      <c r="D49" s="243"/>
      <c r="E49" s="243"/>
      <c r="F49" s="243"/>
      <c r="G49" s="243"/>
      <c r="H49" s="243"/>
      <c r="I49" s="246"/>
      <c r="J49" s="243"/>
      <c r="K49" s="243"/>
      <c r="L49" s="243"/>
      <c r="M49" s="243"/>
      <c r="N49" s="243"/>
      <c r="O49" s="244"/>
      <c r="P49" s="243"/>
      <c r="Q49" s="259"/>
      <c r="R49" s="243"/>
    </row>
    <row r="50" spans="1:18">
      <c r="A50" s="242"/>
      <c r="B50" s="243"/>
      <c r="C50" s="243"/>
      <c r="D50" s="243"/>
      <c r="E50" s="243"/>
      <c r="F50" s="243"/>
      <c r="G50" s="243"/>
      <c r="H50" s="243"/>
      <c r="I50" s="246"/>
      <c r="J50" s="243"/>
      <c r="K50" s="243"/>
      <c r="L50" s="243"/>
      <c r="M50" s="243"/>
      <c r="N50" s="243"/>
      <c r="O50" s="244"/>
      <c r="P50" s="243"/>
      <c r="Q50" s="259"/>
      <c r="R50" s="243"/>
    </row>
    <row r="51" spans="1:18">
      <c r="A51" s="242"/>
      <c r="B51" s="243"/>
      <c r="C51" s="243"/>
      <c r="D51" s="243"/>
      <c r="E51" s="243"/>
      <c r="F51" s="243"/>
      <c r="G51" s="243"/>
      <c r="H51" s="243"/>
      <c r="I51" s="246"/>
      <c r="J51" s="243"/>
      <c r="K51" s="243"/>
      <c r="L51" s="243"/>
      <c r="M51" s="243"/>
      <c r="N51" s="243"/>
      <c r="O51" s="244"/>
      <c r="P51" s="243"/>
      <c r="Q51" s="259"/>
      <c r="R51" s="243"/>
    </row>
    <row r="52" spans="1:18">
      <c r="A52" s="242"/>
      <c r="B52" s="243"/>
      <c r="C52" s="243"/>
      <c r="D52" s="243"/>
      <c r="E52" s="243"/>
      <c r="F52" s="243"/>
      <c r="G52" s="243"/>
      <c r="H52" s="243"/>
      <c r="I52" s="246"/>
      <c r="J52" s="243"/>
      <c r="K52" s="243"/>
      <c r="L52" s="243"/>
      <c r="M52" s="243"/>
      <c r="N52" s="243"/>
      <c r="O52" s="244"/>
      <c r="P52" s="243"/>
      <c r="Q52" s="259"/>
      <c r="R52" s="243"/>
    </row>
    <row r="53" spans="1:18">
      <c r="A53" s="242"/>
      <c r="B53" s="243"/>
      <c r="C53" s="243"/>
      <c r="D53" s="243"/>
      <c r="E53" s="243"/>
      <c r="F53" s="243"/>
      <c r="G53" s="243"/>
      <c r="H53" s="243"/>
      <c r="I53" s="246"/>
      <c r="J53" s="243"/>
      <c r="K53" s="243"/>
      <c r="L53" s="243"/>
      <c r="M53" s="243"/>
      <c r="N53" s="243"/>
      <c r="O53" s="244"/>
      <c r="P53" s="243"/>
      <c r="Q53" s="259"/>
      <c r="R53" s="243"/>
    </row>
    <row r="54" spans="1:18">
      <c r="A54" s="242"/>
      <c r="B54" s="242"/>
      <c r="C54" s="242"/>
      <c r="D54" s="242"/>
      <c r="E54" s="242"/>
      <c r="F54" s="242"/>
      <c r="G54" s="242"/>
      <c r="H54" s="242"/>
      <c r="I54" s="245"/>
      <c r="J54" s="242"/>
      <c r="K54" s="242"/>
      <c r="L54" s="242"/>
      <c r="M54" s="242"/>
      <c r="N54" s="242"/>
      <c r="O54" s="241"/>
      <c r="P54" s="242"/>
      <c r="Q54" s="253"/>
      <c r="R54" s="242"/>
    </row>
    <row r="55" spans="1:18">
      <c r="A55" s="242"/>
      <c r="B55" s="242"/>
      <c r="C55" s="242"/>
      <c r="D55" s="242"/>
      <c r="E55" s="242"/>
      <c r="F55" s="242"/>
      <c r="G55" s="242"/>
      <c r="H55" s="242"/>
      <c r="I55" s="245"/>
      <c r="J55" s="242"/>
      <c r="K55" s="242"/>
      <c r="L55" s="242"/>
      <c r="M55" s="242"/>
      <c r="N55" s="242"/>
      <c r="O55" s="241"/>
      <c r="P55" s="242"/>
      <c r="Q55" s="253"/>
      <c r="R55" s="242"/>
    </row>
    <row r="56" spans="1:18">
      <c r="A56" s="242"/>
      <c r="B56" s="242"/>
      <c r="C56" s="242"/>
      <c r="D56" s="242"/>
      <c r="E56" s="242"/>
      <c r="F56" s="242"/>
      <c r="G56" s="242"/>
      <c r="H56" s="242"/>
      <c r="I56" s="245"/>
      <c r="J56" s="242"/>
      <c r="K56" s="242"/>
      <c r="L56" s="242"/>
      <c r="M56" s="242"/>
      <c r="N56" s="242"/>
      <c r="O56" s="241"/>
      <c r="P56" s="242"/>
      <c r="Q56" s="253"/>
      <c r="R56" s="242"/>
    </row>
    <row r="57" spans="1:18">
      <c r="A57" s="242"/>
      <c r="B57" s="242"/>
      <c r="C57" s="242"/>
      <c r="D57" s="242"/>
      <c r="E57" s="242"/>
      <c r="F57" s="242"/>
      <c r="G57" s="242"/>
      <c r="H57" s="242"/>
      <c r="I57" s="245"/>
      <c r="J57" s="242"/>
      <c r="K57" s="242"/>
      <c r="L57" s="242"/>
      <c r="M57" s="242"/>
      <c r="N57" s="242"/>
      <c r="O57" s="241"/>
      <c r="P57" s="242"/>
      <c r="Q57" s="253"/>
      <c r="R57" s="242"/>
    </row>
    <row r="58" spans="1:18">
      <c r="A58" s="242"/>
      <c r="B58" s="242"/>
      <c r="C58" s="242"/>
      <c r="D58" s="242"/>
      <c r="E58" s="242"/>
      <c r="F58" s="242"/>
      <c r="G58" s="242"/>
      <c r="H58" s="242"/>
      <c r="I58" s="245"/>
      <c r="J58" s="242"/>
      <c r="K58" s="242"/>
      <c r="L58" s="242"/>
      <c r="M58" s="242"/>
      <c r="N58" s="242"/>
      <c r="O58" s="241"/>
      <c r="P58" s="242"/>
      <c r="Q58" s="253"/>
      <c r="R58" s="242"/>
    </row>
    <row r="59" spans="1:18">
      <c r="A59" s="242"/>
      <c r="B59" s="242"/>
      <c r="C59" s="242"/>
      <c r="D59" s="242"/>
      <c r="E59" s="242"/>
      <c r="F59" s="242"/>
      <c r="G59" s="242"/>
      <c r="H59" s="242"/>
      <c r="I59" s="245"/>
      <c r="J59" s="242"/>
      <c r="K59" s="242"/>
      <c r="L59" s="242"/>
      <c r="M59" s="242"/>
      <c r="N59" s="242"/>
      <c r="O59" s="241"/>
      <c r="P59" s="242"/>
      <c r="Q59" s="253"/>
      <c r="R59" s="242"/>
    </row>
    <row r="60" spans="1:18">
      <c r="A60" s="242"/>
      <c r="B60" s="242"/>
      <c r="C60" s="242"/>
      <c r="D60" s="242"/>
      <c r="E60" s="242"/>
      <c r="F60" s="242"/>
      <c r="G60" s="242"/>
      <c r="H60" s="242"/>
      <c r="I60" s="245"/>
      <c r="J60" s="242"/>
      <c r="K60" s="242"/>
      <c r="L60" s="242"/>
      <c r="M60" s="242"/>
      <c r="N60" s="242"/>
      <c r="O60" s="241"/>
      <c r="P60" s="242"/>
      <c r="Q60" s="253"/>
      <c r="R60" s="242"/>
    </row>
    <row r="61" spans="1:18">
      <c r="A61" s="242"/>
      <c r="B61" s="242"/>
      <c r="C61" s="242"/>
      <c r="D61" s="242"/>
      <c r="E61" s="242"/>
      <c r="F61" s="242"/>
      <c r="G61" s="242"/>
      <c r="H61" s="242"/>
      <c r="I61" s="245"/>
      <c r="J61" s="242"/>
      <c r="K61" s="242"/>
      <c r="L61" s="242"/>
      <c r="M61" s="242"/>
      <c r="N61" s="242"/>
      <c r="O61" s="241"/>
      <c r="P61" s="242"/>
      <c r="Q61" s="253"/>
      <c r="R61" s="242"/>
    </row>
    <row r="62" spans="1:18">
      <c r="A62" s="242"/>
      <c r="B62" s="242"/>
      <c r="C62" s="242"/>
      <c r="D62" s="242"/>
      <c r="E62" s="242"/>
      <c r="F62" s="242"/>
      <c r="G62" s="242"/>
      <c r="H62" s="242"/>
      <c r="I62" s="245"/>
      <c r="J62" s="242"/>
      <c r="K62" s="242"/>
      <c r="L62" s="242"/>
      <c r="M62" s="242"/>
      <c r="N62" s="242"/>
      <c r="O62" s="241"/>
      <c r="P62" s="242"/>
      <c r="Q62" s="253"/>
      <c r="R62" s="242"/>
    </row>
    <row r="63" spans="1:18">
      <c r="A63" s="242"/>
      <c r="B63" s="242"/>
      <c r="C63" s="242"/>
      <c r="D63" s="242"/>
      <c r="E63" s="242"/>
      <c r="F63" s="242"/>
      <c r="G63" s="242"/>
      <c r="H63" s="242"/>
      <c r="I63" s="245"/>
      <c r="J63" s="242"/>
      <c r="K63" s="242"/>
      <c r="L63" s="242"/>
      <c r="M63" s="242"/>
      <c r="N63" s="242"/>
      <c r="O63" s="241"/>
      <c r="P63" s="242"/>
      <c r="Q63" s="253"/>
      <c r="R63" s="242"/>
    </row>
    <row r="64" spans="1:18">
      <c r="A64" s="242"/>
      <c r="B64" s="242"/>
      <c r="C64" s="242"/>
      <c r="D64" s="242"/>
      <c r="E64" s="242"/>
      <c r="F64" s="242"/>
      <c r="G64" s="242"/>
      <c r="H64" s="242"/>
      <c r="I64" s="245"/>
      <c r="J64" s="242"/>
      <c r="K64" s="242"/>
      <c r="L64" s="242"/>
      <c r="M64" s="242"/>
      <c r="N64" s="242"/>
      <c r="O64" s="241"/>
      <c r="P64" s="242"/>
      <c r="Q64" s="253"/>
      <c r="R64" s="242"/>
    </row>
    <row r="65" spans="1:18">
      <c r="A65" s="242"/>
      <c r="B65" s="242"/>
      <c r="C65" s="242"/>
      <c r="D65" s="242"/>
      <c r="E65" s="242"/>
      <c r="F65" s="242"/>
      <c r="G65" s="242"/>
      <c r="H65" s="242"/>
      <c r="I65" s="245"/>
      <c r="J65" s="242"/>
      <c r="K65" s="242"/>
      <c r="L65" s="242"/>
      <c r="M65" s="242"/>
      <c r="N65" s="242"/>
      <c r="O65" s="241"/>
      <c r="P65" s="242"/>
      <c r="Q65" s="253"/>
      <c r="R65" s="242"/>
    </row>
    <row r="66" spans="1:18">
      <c r="A66" s="242"/>
      <c r="B66" s="242"/>
      <c r="C66" s="242"/>
      <c r="D66" s="242"/>
      <c r="E66" s="242"/>
      <c r="F66" s="242"/>
      <c r="G66" s="242"/>
      <c r="H66" s="242"/>
      <c r="I66" s="245"/>
      <c r="J66" s="242"/>
      <c r="K66" s="242"/>
      <c r="L66" s="242"/>
      <c r="M66" s="242"/>
      <c r="N66" s="242"/>
      <c r="O66" s="241"/>
      <c r="P66" s="242"/>
      <c r="Q66" s="253"/>
      <c r="R66" s="242"/>
    </row>
    <row r="67" spans="1:18">
      <c r="A67" s="242"/>
      <c r="B67" s="242"/>
      <c r="C67" s="242"/>
      <c r="D67" s="242"/>
      <c r="E67" s="242"/>
      <c r="F67" s="242"/>
      <c r="G67" s="242"/>
      <c r="H67" s="242"/>
      <c r="I67" s="245"/>
      <c r="J67" s="242"/>
      <c r="K67" s="242"/>
      <c r="L67" s="242"/>
      <c r="M67" s="242"/>
      <c r="N67" s="242"/>
      <c r="O67" s="241"/>
      <c r="P67" s="242"/>
      <c r="Q67" s="253"/>
      <c r="R67" s="242"/>
    </row>
    <row r="68" spans="1:18">
      <c r="A68" s="242"/>
      <c r="B68" s="242"/>
      <c r="C68" s="242"/>
      <c r="D68" s="242"/>
      <c r="E68" s="242"/>
      <c r="F68" s="242"/>
      <c r="G68" s="242"/>
      <c r="H68" s="242"/>
      <c r="I68" s="245"/>
      <c r="J68" s="242"/>
      <c r="K68" s="242"/>
      <c r="L68" s="242"/>
      <c r="M68" s="242"/>
      <c r="N68" s="242"/>
      <c r="O68" s="241"/>
      <c r="P68" s="242"/>
      <c r="Q68" s="253"/>
      <c r="R68" s="242"/>
    </row>
  </sheetData>
  <phoneticPr fontId="4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dimension ref="B9:BN141"/>
  <sheetViews>
    <sheetView topLeftCell="A4" workbookViewId="0">
      <selection activeCell="D18" sqref="D18"/>
    </sheetView>
  </sheetViews>
  <sheetFormatPr defaultRowHeight="15"/>
  <sheetData>
    <row r="9" spans="3:58" ht="15.75">
      <c r="C9" s="169"/>
      <c r="D9" s="171" t="s">
        <v>340</v>
      </c>
      <c r="E9" s="170"/>
      <c r="F9" s="171"/>
      <c r="G9" s="171"/>
      <c r="H9" s="171"/>
      <c r="I9" s="172" t="s">
        <v>341</v>
      </c>
      <c r="J9" s="170"/>
      <c r="K9" s="171"/>
      <c r="L9" s="171"/>
      <c r="M9" s="171"/>
      <c r="N9" s="171" t="s">
        <v>342</v>
      </c>
      <c r="O9" s="170"/>
      <c r="P9" s="171"/>
      <c r="Q9" s="171"/>
      <c r="R9" s="171"/>
      <c r="S9" s="172" t="s">
        <v>343</v>
      </c>
      <c r="T9" s="170"/>
      <c r="U9" s="171"/>
      <c r="V9" s="171"/>
      <c r="W9" s="171"/>
      <c r="X9" s="171" t="s">
        <v>344</v>
      </c>
      <c r="Y9" s="170"/>
      <c r="Z9" s="171"/>
      <c r="AA9" s="171"/>
      <c r="AB9" s="171"/>
      <c r="AC9" s="172" t="s">
        <v>345</v>
      </c>
      <c r="AD9" s="170"/>
      <c r="AE9" s="171"/>
      <c r="AF9" s="171"/>
      <c r="AG9" s="171"/>
      <c r="AH9" s="171" t="s">
        <v>346</v>
      </c>
      <c r="AI9" s="170"/>
      <c r="AJ9" s="171"/>
      <c r="AK9" s="171"/>
      <c r="AL9" s="171"/>
      <c r="AM9" s="172" t="s">
        <v>347</v>
      </c>
      <c r="AN9" s="170"/>
      <c r="AO9" s="171"/>
      <c r="AP9" s="171"/>
      <c r="AQ9" s="171"/>
      <c r="AR9" s="169"/>
      <c r="AS9" s="171" t="s">
        <v>348</v>
      </c>
      <c r="AT9" s="171"/>
      <c r="AU9" s="169"/>
      <c r="AV9" s="169"/>
      <c r="AW9" s="172" t="s">
        <v>349</v>
      </c>
      <c r="AX9" s="170"/>
      <c r="AY9" s="171"/>
      <c r="AZ9" s="171"/>
      <c r="BA9" s="171"/>
      <c r="BB9" s="171" t="s">
        <v>350</v>
      </c>
      <c r="BC9" s="170"/>
      <c r="BD9" s="171"/>
      <c r="BE9" s="171"/>
      <c r="BF9" s="171"/>
    </row>
    <row r="10" spans="3:58" ht="15.75">
      <c r="C10" s="169"/>
      <c r="D10" s="171"/>
      <c r="E10" s="170"/>
      <c r="F10" s="171"/>
      <c r="G10" s="171"/>
      <c r="H10" s="171"/>
      <c r="I10" s="172"/>
      <c r="J10" s="170"/>
      <c r="K10" s="171"/>
      <c r="L10" s="171"/>
      <c r="M10" s="171"/>
      <c r="N10" s="171"/>
      <c r="O10" s="170"/>
      <c r="P10" s="171"/>
      <c r="Q10" s="171"/>
      <c r="R10" s="171"/>
      <c r="S10" s="172"/>
      <c r="T10" s="170"/>
      <c r="U10" s="171"/>
      <c r="V10" s="171"/>
      <c r="W10" s="171"/>
      <c r="X10" s="171"/>
      <c r="Y10" s="170"/>
      <c r="Z10" s="171"/>
      <c r="AA10" s="171"/>
      <c r="AB10" s="171"/>
      <c r="AC10" s="172"/>
      <c r="AD10" s="170"/>
      <c r="AE10" s="171"/>
      <c r="AF10" s="171"/>
      <c r="AG10" s="171"/>
      <c r="AH10" s="171"/>
      <c r="AI10" s="170"/>
      <c r="AJ10" s="171"/>
      <c r="AK10" s="171"/>
      <c r="AL10" s="171"/>
      <c r="AM10" s="172"/>
      <c r="AN10" s="170"/>
      <c r="AO10" s="171"/>
      <c r="AP10" s="171"/>
      <c r="AQ10" s="171"/>
      <c r="AR10" s="169"/>
      <c r="AS10" s="171"/>
      <c r="AT10" s="171"/>
      <c r="AU10" s="169"/>
      <c r="AV10" s="169"/>
      <c r="AW10" s="172"/>
      <c r="AX10" s="170"/>
      <c r="AY10" s="171"/>
      <c r="AZ10" s="171"/>
      <c r="BA10" s="171"/>
      <c r="BB10" s="171"/>
      <c r="BC10" s="170"/>
      <c r="BD10" s="171"/>
      <c r="BE10" s="171"/>
      <c r="BF10" s="171"/>
    </row>
    <row r="11" spans="3:58" ht="15.75" hidden="1">
      <c r="C11" s="174"/>
      <c r="D11" s="174"/>
      <c r="E11" s="174">
        <v>1</v>
      </c>
      <c r="F11" s="174"/>
      <c r="G11" s="174"/>
      <c r="H11" s="174"/>
      <c r="I11" s="175"/>
      <c r="J11" s="174">
        <v>2</v>
      </c>
      <c r="K11" s="174"/>
      <c r="L11" s="174"/>
      <c r="M11" s="174"/>
      <c r="N11" s="174"/>
      <c r="O11" s="174">
        <v>3</v>
      </c>
      <c r="P11" s="174"/>
      <c r="Q11" s="174"/>
      <c r="R11" s="174"/>
      <c r="S11" s="175"/>
      <c r="T11" s="174">
        <v>4</v>
      </c>
      <c r="U11" s="174"/>
      <c r="V11" s="174"/>
      <c r="W11" s="174"/>
      <c r="X11" s="174"/>
      <c r="Y11" s="174">
        <v>5</v>
      </c>
      <c r="Z11" s="174"/>
      <c r="AA11" s="174"/>
      <c r="AB11" s="174"/>
      <c r="AC11" s="175"/>
      <c r="AD11" s="174">
        <v>6</v>
      </c>
      <c r="AE11" s="174"/>
      <c r="AF11" s="174"/>
      <c r="AG11" s="174"/>
      <c r="AH11" s="174"/>
      <c r="AI11" s="174">
        <v>7</v>
      </c>
      <c r="AJ11" s="174"/>
      <c r="AK11" s="174"/>
      <c r="AL11" s="174"/>
      <c r="AM11" s="175"/>
      <c r="AN11" s="174">
        <v>8</v>
      </c>
      <c r="AO11" s="174"/>
      <c r="AP11" s="174"/>
      <c r="AQ11" s="174"/>
      <c r="AR11" s="174"/>
      <c r="AS11" s="174">
        <v>9</v>
      </c>
      <c r="AT11" s="174"/>
      <c r="AU11" s="174"/>
      <c r="AV11" s="174"/>
      <c r="AW11" s="175"/>
      <c r="AX11" s="174">
        <v>10</v>
      </c>
      <c r="AY11" s="174"/>
      <c r="AZ11" s="174"/>
      <c r="BA11" s="174"/>
      <c r="BB11" s="174"/>
      <c r="BC11" s="174">
        <v>11</v>
      </c>
      <c r="BD11" s="174"/>
      <c r="BE11" s="174"/>
      <c r="BF11" s="174"/>
    </row>
    <row r="12" spans="3:58" ht="15.75" hidden="1">
      <c r="C12" s="174"/>
      <c r="D12" s="174"/>
      <c r="E12" s="174"/>
      <c r="F12" s="174">
        <v>1</v>
      </c>
      <c r="G12" s="174"/>
      <c r="H12" s="174"/>
      <c r="I12" s="175"/>
      <c r="J12" s="174"/>
      <c r="K12" s="174">
        <v>2</v>
      </c>
      <c r="L12" s="174"/>
      <c r="M12" s="174"/>
      <c r="N12" s="174"/>
      <c r="O12" s="174"/>
      <c r="P12" s="174">
        <v>3</v>
      </c>
      <c r="Q12" s="174"/>
      <c r="R12" s="174"/>
      <c r="S12" s="175"/>
      <c r="T12" s="174"/>
      <c r="U12" s="174">
        <v>4</v>
      </c>
      <c r="V12" s="174"/>
      <c r="W12" s="174"/>
      <c r="X12" s="174"/>
      <c r="Y12" s="174"/>
      <c r="Z12" s="174">
        <v>5</v>
      </c>
      <c r="AA12" s="174"/>
      <c r="AB12" s="174"/>
      <c r="AC12" s="175"/>
      <c r="AD12" s="174"/>
      <c r="AE12" s="174">
        <v>6</v>
      </c>
      <c r="AF12" s="174"/>
      <c r="AG12" s="174"/>
      <c r="AH12" s="174"/>
      <c r="AI12" s="174"/>
      <c r="AJ12" s="174">
        <v>7</v>
      </c>
      <c r="AK12" s="174"/>
      <c r="AL12" s="174"/>
      <c r="AM12" s="175"/>
      <c r="AN12" s="174"/>
      <c r="AO12" s="174">
        <v>8</v>
      </c>
      <c r="AP12" s="174"/>
      <c r="AQ12" s="174"/>
      <c r="AR12" s="174"/>
      <c r="AS12" s="174"/>
      <c r="AT12" s="174">
        <v>9</v>
      </c>
      <c r="AU12" s="174"/>
      <c r="AV12" s="174"/>
      <c r="AW12" s="175"/>
      <c r="AX12" s="174"/>
      <c r="AY12" s="174">
        <v>10</v>
      </c>
      <c r="AZ12" s="174"/>
      <c r="BA12" s="174"/>
      <c r="BB12" s="174"/>
      <c r="BC12" s="174"/>
      <c r="BD12" s="174">
        <v>11</v>
      </c>
      <c r="BE12" s="174"/>
      <c r="BF12" s="174"/>
    </row>
    <row r="13" spans="3:58" ht="15.75" hidden="1">
      <c r="C13" s="174"/>
      <c r="D13" s="174"/>
      <c r="E13" s="174"/>
      <c r="F13" s="174"/>
      <c r="G13" s="174">
        <v>1</v>
      </c>
      <c r="H13" s="174"/>
      <c r="I13" s="175"/>
      <c r="J13" s="174"/>
      <c r="K13" s="174"/>
      <c r="L13" s="174">
        <v>2</v>
      </c>
      <c r="M13" s="174"/>
      <c r="N13" s="174"/>
      <c r="O13" s="174"/>
      <c r="P13" s="174"/>
      <c r="Q13" s="174">
        <v>3</v>
      </c>
      <c r="R13" s="174"/>
      <c r="S13" s="175"/>
      <c r="T13" s="174"/>
      <c r="U13" s="174"/>
      <c r="V13" s="174">
        <v>4</v>
      </c>
      <c r="W13" s="174"/>
      <c r="X13" s="174"/>
      <c r="Y13" s="174"/>
      <c r="Z13" s="174"/>
      <c r="AA13" s="174">
        <v>5</v>
      </c>
      <c r="AB13" s="174"/>
      <c r="AC13" s="175"/>
      <c r="AD13" s="174"/>
      <c r="AE13" s="174"/>
      <c r="AF13" s="174">
        <v>6</v>
      </c>
      <c r="AG13" s="174"/>
      <c r="AH13" s="174"/>
      <c r="AI13" s="174"/>
      <c r="AJ13" s="174"/>
      <c r="AK13" s="174">
        <v>7</v>
      </c>
      <c r="AL13" s="174"/>
      <c r="AM13" s="175"/>
      <c r="AN13" s="174"/>
      <c r="AO13" s="174"/>
      <c r="AP13" s="174">
        <v>8</v>
      </c>
      <c r="AQ13" s="174"/>
      <c r="AR13" s="174"/>
      <c r="AS13" s="174"/>
      <c r="AT13" s="174"/>
      <c r="AU13" s="174">
        <v>9</v>
      </c>
      <c r="AV13" s="174"/>
      <c r="AW13" s="175"/>
      <c r="AX13" s="174"/>
      <c r="AY13" s="174"/>
      <c r="AZ13" s="174">
        <v>10</v>
      </c>
      <c r="BA13" s="174"/>
      <c r="BB13" s="174"/>
      <c r="BC13" s="174"/>
      <c r="BD13" s="174"/>
      <c r="BE13" s="174">
        <v>11</v>
      </c>
      <c r="BF13" s="174"/>
    </row>
    <row r="14" spans="3:58" ht="15.75" hidden="1">
      <c r="C14" s="174"/>
      <c r="D14" s="174"/>
      <c r="E14" s="174"/>
      <c r="F14" s="174"/>
      <c r="G14" s="174"/>
      <c r="H14" s="174">
        <v>1</v>
      </c>
      <c r="I14" s="174"/>
      <c r="J14" s="174"/>
      <c r="K14" s="174"/>
      <c r="L14" s="174"/>
      <c r="M14" s="174">
        <v>2</v>
      </c>
      <c r="N14" s="174"/>
      <c r="O14" s="174"/>
      <c r="P14" s="174"/>
      <c r="Q14" s="174"/>
      <c r="R14" s="174">
        <v>3</v>
      </c>
      <c r="S14" s="174"/>
      <c r="T14" s="174"/>
      <c r="U14" s="174"/>
      <c r="V14" s="174"/>
      <c r="W14" s="174">
        <v>4</v>
      </c>
      <c r="X14" s="174"/>
      <c r="Y14" s="174"/>
      <c r="Z14" s="174"/>
      <c r="AA14" s="174"/>
      <c r="AB14" s="174">
        <v>5</v>
      </c>
      <c r="AC14" s="174"/>
      <c r="AD14" s="174"/>
      <c r="AE14" s="174"/>
      <c r="AF14" s="174"/>
      <c r="AG14" s="174">
        <v>6</v>
      </c>
      <c r="AH14" s="174"/>
      <c r="AI14" s="174"/>
      <c r="AJ14" s="174"/>
      <c r="AK14" s="174"/>
      <c r="AL14" s="174">
        <v>7</v>
      </c>
      <c r="AM14" s="174"/>
      <c r="AN14" s="174"/>
      <c r="AO14" s="174"/>
      <c r="AP14" s="174"/>
      <c r="AQ14" s="174">
        <v>8</v>
      </c>
      <c r="AR14" s="174"/>
      <c r="AS14" s="174"/>
      <c r="AT14" s="174"/>
      <c r="AU14" s="174"/>
      <c r="AV14" s="174">
        <v>9</v>
      </c>
      <c r="AW14" s="174"/>
      <c r="AX14" s="174"/>
      <c r="AY14" s="174"/>
      <c r="AZ14" s="174"/>
      <c r="BA14" s="174">
        <v>10</v>
      </c>
      <c r="BB14" s="174"/>
      <c r="BC14" s="174"/>
      <c r="BD14" s="174"/>
      <c r="BE14" s="174"/>
      <c r="BF14" s="174">
        <v>11</v>
      </c>
    </row>
    <row r="15" spans="3:58" ht="15.75">
      <c r="C15" s="174"/>
      <c r="D15" s="174">
        <v>1</v>
      </c>
      <c r="E15" s="174">
        <v>2</v>
      </c>
      <c r="F15" s="174">
        <v>3</v>
      </c>
      <c r="G15" s="174">
        <v>4</v>
      </c>
      <c r="H15" s="174">
        <v>5</v>
      </c>
      <c r="I15" s="175">
        <v>6</v>
      </c>
      <c r="J15" s="175">
        <v>7</v>
      </c>
      <c r="K15" s="175">
        <v>8</v>
      </c>
      <c r="L15" s="175">
        <v>9</v>
      </c>
      <c r="M15" s="175">
        <v>10</v>
      </c>
      <c r="N15" s="174">
        <v>11</v>
      </c>
      <c r="O15" s="174">
        <v>12</v>
      </c>
      <c r="P15" s="174">
        <v>13</v>
      </c>
      <c r="Q15" s="174">
        <v>14</v>
      </c>
      <c r="R15" s="174">
        <v>15</v>
      </c>
      <c r="S15" s="175">
        <v>16</v>
      </c>
      <c r="T15" s="175">
        <v>17</v>
      </c>
      <c r="U15" s="175">
        <v>18</v>
      </c>
      <c r="V15" s="175">
        <v>19</v>
      </c>
      <c r="W15" s="175">
        <v>20</v>
      </c>
      <c r="X15" s="174">
        <v>21</v>
      </c>
      <c r="Y15" s="174">
        <v>22</v>
      </c>
      <c r="Z15" s="174">
        <v>23</v>
      </c>
      <c r="AA15" s="174">
        <v>24</v>
      </c>
      <c r="AB15" s="174">
        <v>25</v>
      </c>
      <c r="AC15" s="175">
        <v>26</v>
      </c>
      <c r="AD15" s="175">
        <v>27</v>
      </c>
      <c r="AE15" s="175">
        <v>28</v>
      </c>
      <c r="AF15" s="175">
        <v>29</v>
      </c>
      <c r="AG15" s="175">
        <v>30</v>
      </c>
      <c r="AH15" s="174">
        <v>31</v>
      </c>
      <c r="AI15" s="174">
        <v>32</v>
      </c>
      <c r="AJ15" s="174">
        <v>33</v>
      </c>
      <c r="AK15" s="174">
        <v>34</v>
      </c>
      <c r="AL15" s="174">
        <v>35</v>
      </c>
      <c r="AM15" s="175">
        <v>36</v>
      </c>
      <c r="AN15" s="175">
        <v>37</v>
      </c>
      <c r="AO15" s="175">
        <v>38</v>
      </c>
      <c r="AP15" s="175">
        <v>39</v>
      </c>
      <c r="AQ15" s="175">
        <v>40</v>
      </c>
      <c r="AR15" s="174">
        <v>41</v>
      </c>
      <c r="AS15" s="174">
        <v>42</v>
      </c>
      <c r="AT15" s="174">
        <v>43</v>
      </c>
      <c r="AU15" s="174">
        <v>44</v>
      </c>
      <c r="AV15" s="174">
        <v>45</v>
      </c>
      <c r="AW15" s="175">
        <v>46</v>
      </c>
      <c r="AX15" s="175">
        <v>47</v>
      </c>
      <c r="AY15" s="175">
        <v>48</v>
      </c>
      <c r="AZ15" s="175">
        <v>49</v>
      </c>
      <c r="BA15" s="175">
        <v>50</v>
      </c>
      <c r="BB15" s="174">
        <v>51</v>
      </c>
      <c r="BC15" s="174">
        <v>52</v>
      </c>
      <c r="BD15" s="174">
        <v>53</v>
      </c>
      <c r="BE15" s="174">
        <v>54</v>
      </c>
      <c r="BF15" s="174">
        <v>55</v>
      </c>
    </row>
    <row r="17" spans="4:66" ht="15.75">
      <c r="D17" s="176" t="s">
        <v>351</v>
      </c>
      <c r="E17" s="177" t="s">
        <v>352</v>
      </c>
      <c r="F17" s="177" t="s">
        <v>353</v>
      </c>
      <c r="G17" s="177" t="s">
        <v>354</v>
      </c>
      <c r="H17" s="177" t="s">
        <v>355</v>
      </c>
      <c r="I17" s="178" t="s">
        <v>351</v>
      </c>
      <c r="J17" s="179" t="s">
        <v>356</v>
      </c>
      <c r="K17" s="179" t="s">
        <v>357</v>
      </c>
      <c r="L17" s="179" t="s">
        <v>358</v>
      </c>
      <c r="M17" s="179" t="s">
        <v>359</v>
      </c>
      <c r="N17" s="176" t="s">
        <v>351</v>
      </c>
      <c r="O17" s="177" t="s">
        <v>360</v>
      </c>
      <c r="P17" s="177" t="s">
        <v>361</v>
      </c>
      <c r="Q17" s="177" t="s">
        <v>362</v>
      </c>
      <c r="R17" s="177" t="s">
        <v>363</v>
      </c>
      <c r="S17" s="178" t="s">
        <v>351</v>
      </c>
      <c r="T17" s="179" t="s">
        <v>364</v>
      </c>
      <c r="U17" s="179" t="s">
        <v>365</v>
      </c>
      <c r="V17" s="179" t="s">
        <v>366</v>
      </c>
      <c r="W17" s="179" t="s">
        <v>367</v>
      </c>
      <c r="X17" s="176" t="s">
        <v>351</v>
      </c>
      <c r="Y17" s="177" t="s">
        <v>368</v>
      </c>
      <c r="Z17" s="177" t="s">
        <v>369</v>
      </c>
      <c r="AA17" s="177" t="s">
        <v>370</v>
      </c>
      <c r="AB17" s="177" t="s">
        <v>371</v>
      </c>
      <c r="AC17" s="178" t="s">
        <v>351</v>
      </c>
      <c r="AD17" s="179" t="s">
        <v>372</v>
      </c>
      <c r="AE17" s="179" t="s">
        <v>373</v>
      </c>
      <c r="AF17" s="179" t="s">
        <v>374</v>
      </c>
      <c r="AG17" s="179" t="s">
        <v>375</v>
      </c>
      <c r="AH17" s="176" t="s">
        <v>351</v>
      </c>
      <c r="AI17" s="177" t="s">
        <v>376</v>
      </c>
      <c r="AJ17" s="177" t="s">
        <v>377</v>
      </c>
      <c r="AK17" s="177" t="s">
        <v>378</v>
      </c>
      <c r="AL17" s="177" t="s">
        <v>379</v>
      </c>
      <c r="AM17" s="178" t="s">
        <v>351</v>
      </c>
      <c r="AN17" s="179" t="s">
        <v>380</v>
      </c>
      <c r="AO17" s="179" t="s">
        <v>381</v>
      </c>
      <c r="AP17" s="179" t="s">
        <v>382</v>
      </c>
      <c r="AQ17" s="179" t="s">
        <v>383</v>
      </c>
      <c r="AR17" s="176" t="s">
        <v>351</v>
      </c>
      <c r="AS17" s="177" t="s">
        <v>384</v>
      </c>
      <c r="AT17" s="177" t="s">
        <v>385</v>
      </c>
      <c r="AU17" s="177" t="s">
        <v>386</v>
      </c>
      <c r="AV17" s="177" t="s">
        <v>387</v>
      </c>
      <c r="AW17" s="178" t="s">
        <v>351</v>
      </c>
      <c r="AX17" s="179" t="s">
        <v>388</v>
      </c>
      <c r="AY17" s="179" t="s">
        <v>389</v>
      </c>
      <c r="AZ17" s="179" t="s">
        <v>390</v>
      </c>
      <c r="BA17" s="179" t="s">
        <v>391</v>
      </c>
      <c r="BB17" s="176" t="s">
        <v>351</v>
      </c>
      <c r="BC17" s="177" t="s">
        <v>392</v>
      </c>
      <c r="BD17" s="177" t="s">
        <v>393</v>
      </c>
      <c r="BE17" s="177" t="s">
        <v>394</v>
      </c>
      <c r="BF17" s="177" t="s">
        <v>395</v>
      </c>
      <c r="BG17" s="169"/>
      <c r="BH17" s="170" t="s">
        <v>396</v>
      </c>
      <c r="BI17" s="170" t="s">
        <v>397</v>
      </c>
      <c r="BJ17" s="169"/>
      <c r="BK17" s="170" t="s">
        <v>398</v>
      </c>
      <c r="BL17" s="170" t="s">
        <v>399</v>
      </c>
      <c r="BM17" s="170" t="s">
        <v>400</v>
      </c>
      <c r="BN17" s="170" t="s">
        <v>401</v>
      </c>
    </row>
    <row r="18" spans="4:66" ht="15.75">
      <c r="D18" s="180">
        <v>1</v>
      </c>
      <c r="E18" s="181">
        <v>3.6499999999999998E-2</v>
      </c>
      <c r="F18" s="181">
        <v>3.6499999999999998E-2</v>
      </c>
      <c r="G18" s="181">
        <v>0</v>
      </c>
      <c r="H18" s="181">
        <v>0</v>
      </c>
      <c r="I18" s="180">
        <v>1</v>
      </c>
      <c r="J18" s="181">
        <v>3.3399999999999999E-2</v>
      </c>
      <c r="K18" s="181">
        <v>2.7300000000000001E-2</v>
      </c>
      <c r="L18" s="181">
        <v>8.9200000000000002E-2</v>
      </c>
      <c r="M18" s="181">
        <v>0</v>
      </c>
      <c r="N18" s="180">
        <v>1</v>
      </c>
      <c r="O18" s="181">
        <v>2.7300000000000001E-2</v>
      </c>
      <c r="P18" s="181">
        <v>3.3399999999999999E-2</v>
      </c>
      <c r="Q18" s="181">
        <v>0</v>
      </c>
      <c r="R18" s="181">
        <v>8.9300000000000004E-2</v>
      </c>
      <c r="S18" s="180">
        <v>1</v>
      </c>
      <c r="T18" s="181">
        <v>2.6700000000000002E-2</v>
      </c>
      <c r="U18" s="181">
        <v>1.7999999999999999E-2</v>
      </c>
      <c r="V18" s="181">
        <v>6.9400000000000003E-2</v>
      </c>
      <c r="W18" s="181">
        <v>0</v>
      </c>
      <c r="X18" s="180">
        <v>1</v>
      </c>
      <c r="Y18" s="181">
        <v>1.7999999999999999E-2</v>
      </c>
      <c r="Z18" s="181">
        <v>2.6700000000000002E-2</v>
      </c>
      <c r="AA18" s="181">
        <v>0</v>
      </c>
      <c r="AB18" s="181">
        <v>6.9400000000000003E-2</v>
      </c>
      <c r="AC18" s="180">
        <v>1</v>
      </c>
      <c r="AD18" s="181">
        <v>2.69E-2</v>
      </c>
      <c r="AE18" s="181">
        <v>2.69E-2</v>
      </c>
      <c r="AF18" s="181">
        <v>6.25E-2</v>
      </c>
      <c r="AG18" s="181">
        <v>6.25E-2</v>
      </c>
      <c r="AH18" s="180">
        <v>1</v>
      </c>
      <c r="AI18" s="181">
        <v>2.2599999999999999E-2</v>
      </c>
      <c r="AJ18" s="181">
        <v>1.9800000000000002E-2</v>
      </c>
      <c r="AK18" s="181">
        <v>5.5599999999999997E-2</v>
      </c>
      <c r="AL18" s="181">
        <v>4.1700000000000001E-2</v>
      </c>
      <c r="AM18" s="180">
        <v>1</v>
      </c>
      <c r="AN18" s="181">
        <v>1.9800000000000002E-2</v>
      </c>
      <c r="AO18" s="181">
        <v>2.2599999999999999E-2</v>
      </c>
      <c r="AP18" s="181">
        <v>4.1700000000000001E-2</v>
      </c>
      <c r="AQ18" s="181">
        <v>5.5599999999999997E-2</v>
      </c>
      <c r="AR18" s="180">
        <v>1</v>
      </c>
      <c r="AS18" s="181">
        <v>1.7899999999999999E-2</v>
      </c>
      <c r="AT18" s="181">
        <v>1.7899999999999999E-2</v>
      </c>
      <c r="AU18" s="181">
        <v>4.1700000000000001E-2</v>
      </c>
      <c r="AV18" s="181">
        <v>4.1700000000000001E-2</v>
      </c>
      <c r="AW18" s="180">
        <v>1</v>
      </c>
      <c r="AX18" s="181">
        <v>9.9000000000000008E-3</v>
      </c>
      <c r="AY18" s="181">
        <v>4.5699999999999998E-2</v>
      </c>
      <c r="AZ18" s="181">
        <v>5.0999999999999997E-2</v>
      </c>
      <c r="BA18" s="181">
        <v>8.5300000000000001E-2</v>
      </c>
      <c r="BB18" s="180">
        <v>1</v>
      </c>
      <c r="BC18" s="181">
        <v>4.5699999999999998E-2</v>
      </c>
      <c r="BD18" s="181">
        <v>8.9999999999999993E-3</v>
      </c>
      <c r="BE18" s="181">
        <v>8.5500000000000007E-2</v>
      </c>
      <c r="BF18" s="181">
        <v>5.0999999999999997E-2</v>
      </c>
      <c r="BG18" s="169"/>
      <c r="BH18" s="170">
        <v>150</v>
      </c>
      <c r="BI18" s="170">
        <v>65</v>
      </c>
      <c r="BJ18" s="170" t="s">
        <v>402</v>
      </c>
      <c r="BK18" s="170">
        <v>2000</v>
      </c>
      <c r="BL18" s="170">
        <v>3000</v>
      </c>
      <c r="BM18" s="170">
        <v>4000</v>
      </c>
      <c r="BN18" s="170">
        <v>6000</v>
      </c>
    </row>
    <row r="19" spans="4:66" ht="15.75">
      <c r="D19" s="182">
        <v>1.01</v>
      </c>
      <c r="E19" s="183">
        <v>3.6879999999999996E-2</v>
      </c>
      <c r="F19" s="183">
        <v>3.6019999999999996E-2</v>
      </c>
      <c r="G19" s="183">
        <v>0</v>
      </c>
      <c r="H19" s="183">
        <v>0</v>
      </c>
      <c r="I19" s="182">
        <v>1.01</v>
      </c>
      <c r="J19" s="183">
        <v>3.3579999999999999E-2</v>
      </c>
      <c r="K19" s="183">
        <v>2.6880000000000001E-2</v>
      </c>
      <c r="L19" s="183">
        <v>8.9260000000000006E-2</v>
      </c>
      <c r="M19" s="183">
        <v>0</v>
      </c>
      <c r="N19" s="182">
        <v>1.01</v>
      </c>
      <c r="O19" s="183">
        <v>2.7700000000000002E-2</v>
      </c>
      <c r="P19" s="183">
        <v>3.322E-2</v>
      </c>
      <c r="Q19" s="183">
        <v>0</v>
      </c>
      <c r="R19" s="183">
        <v>8.9099999999999999E-2</v>
      </c>
      <c r="S19" s="182">
        <v>1.01</v>
      </c>
      <c r="T19" s="183">
        <v>2.6700000000000002E-2</v>
      </c>
      <c r="U19" s="183">
        <v>1.762E-2</v>
      </c>
      <c r="V19" s="183">
        <v>6.9120000000000001E-2</v>
      </c>
      <c r="W19" s="183">
        <v>0</v>
      </c>
      <c r="X19" s="182">
        <v>1.01</v>
      </c>
      <c r="Y19" s="183">
        <v>1.8380000000000001E-2</v>
      </c>
      <c r="Z19" s="183">
        <v>2.666E-2</v>
      </c>
      <c r="AA19" s="183">
        <v>0</v>
      </c>
      <c r="AB19" s="183">
        <v>6.9620000000000001E-2</v>
      </c>
      <c r="AC19" s="182">
        <v>1.01</v>
      </c>
      <c r="AD19" s="183">
        <v>2.716E-2</v>
      </c>
      <c r="AE19" s="183">
        <v>2.6620000000000001E-2</v>
      </c>
      <c r="AF19" s="183">
        <v>6.3100000000000003E-2</v>
      </c>
      <c r="AG19" s="183">
        <v>6.1800000000000001E-2</v>
      </c>
      <c r="AH19" s="182">
        <v>1.01</v>
      </c>
      <c r="AI19" s="183">
        <v>2.2699999999999998E-2</v>
      </c>
      <c r="AJ19" s="183">
        <v>1.9520000000000003E-2</v>
      </c>
      <c r="AK19" s="183">
        <v>5.568E-2</v>
      </c>
      <c r="AL19" s="183">
        <v>4.1059999999999999E-2</v>
      </c>
      <c r="AM19" s="182">
        <v>1.01</v>
      </c>
      <c r="AN19" s="183">
        <v>2.01E-2</v>
      </c>
      <c r="AO19" s="183">
        <v>2.2499999999999999E-2</v>
      </c>
      <c r="AP19" s="183">
        <v>4.2360000000000002E-2</v>
      </c>
      <c r="AQ19" s="183">
        <v>5.5379999999999999E-2</v>
      </c>
      <c r="AR19" s="182">
        <v>1.01</v>
      </c>
      <c r="AS19" s="183">
        <v>1.806E-2</v>
      </c>
      <c r="AT19" s="183">
        <v>1.7739999999999999E-2</v>
      </c>
      <c r="AU19" s="183">
        <v>4.2099999999999999E-2</v>
      </c>
      <c r="AV19" s="183">
        <v>4.1239999999999999E-2</v>
      </c>
      <c r="AW19" s="182">
        <v>1.01</v>
      </c>
      <c r="AX19" s="183">
        <v>9.9300000000000013E-3</v>
      </c>
      <c r="AY19" s="183">
        <v>4.6050000000000001E-2</v>
      </c>
      <c r="AZ19" s="183">
        <v>5.1639999999999998E-2</v>
      </c>
      <c r="BA19" s="183">
        <v>8.6070000000000008E-2</v>
      </c>
      <c r="BB19" s="182">
        <v>1.01</v>
      </c>
      <c r="BC19" s="183">
        <v>4.5339999999999998E-2</v>
      </c>
      <c r="BD19" s="183">
        <v>9.0399999999999994E-3</v>
      </c>
      <c r="BE19" s="183">
        <v>8.4720000000000004E-2</v>
      </c>
      <c r="BF19" s="183">
        <v>5.0379999999999994E-2</v>
      </c>
      <c r="BG19" s="169"/>
      <c r="BH19" s="170">
        <v>200</v>
      </c>
      <c r="BI19" s="170">
        <v>90</v>
      </c>
      <c r="BJ19" s="169"/>
      <c r="BK19" s="169"/>
      <c r="BL19" s="169"/>
      <c r="BM19" s="169"/>
      <c r="BN19" s="169"/>
    </row>
    <row r="20" spans="4:66" ht="15.75">
      <c r="D20" s="182">
        <v>1.02</v>
      </c>
      <c r="E20" s="183">
        <v>3.7259999999999995E-2</v>
      </c>
      <c r="F20" s="183">
        <v>3.5539999999999995E-2</v>
      </c>
      <c r="G20" s="183">
        <v>0</v>
      </c>
      <c r="H20" s="183">
        <v>0</v>
      </c>
      <c r="I20" s="182">
        <v>1.02</v>
      </c>
      <c r="J20" s="183">
        <v>3.3759999999999998E-2</v>
      </c>
      <c r="K20" s="183">
        <v>2.6460000000000001E-2</v>
      </c>
      <c r="L20" s="183">
        <v>8.9319999999999997E-2</v>
      </c>
      <c r="M20" s="183">
        <v>0</v>
      </c>
      <c r="N20" s="182">
        <v>1.02</v>
      </c>
      <c r="O20" s="183">
        <v>2.81E-2</v>
      </c>
      <c r="P20" s="183">
        <v>3.304E-2</v>
      </c>
      <c r="Q20" s="183">
        <v>0</v>
      </c>
      <c r="R20" s="183">
        <v>8.8900000000000007E-2</v>
      </c>
      <c r="S20" s="182">
        <v>1.02</v>
      </c>
      <c r="T20" s="183">
        <v>2.6700000000000002E-2</v>
      </c>
      <c r="U20" s="183">
        <v>1.7239999999999998E-2</v>
      </c>
      <c r="V20" s="183">
        <v>6.8839999999999998E-2</v>
      </c>
      <c r="W20" s="183">
        <v>0</v>
      </c>
      <c r="X20" s="182">
        <v>1.02</v>
      </c>
      <c r="Y20" s="183">
        <v>1.8759999999999999E-2</v>
      </c>
      <c r="Z20" s="183">
        <v>2.6620000000000001E-2</v>
      </c>
      <c r="AA20" s="183">
        <v>0</v>
      </c>
      <c r="AB20" s="183">
        <v>6.9839999999999999E-2</v>
      </c>
      <c r="AC20" s="182">
        <v>1.02</v>
      </c>
      <c r="AD20" s="183">
        <v>2.742E-2</v>
      </c>
      <c r="AE20" s="183">
        <v>2.6339999999999999E-2</v>
      </c>
      <c r="AF20" s="183">
        <v>6.3700000000000007E-2</v>
      </c>
      <c r="AG20" s="183">
        <v>6.1100000000000002E-2</v>
      </c>
      <c r="AH20" s="182">
        <v>1.02</v>
      </c>
      <c r="AI20" s="183">
        <v>2.2799999999999997E-2</v>
      </c>
      <c r="AJ20" s="183">
        <v>1.924E-2</v>
      </c>
      <c r="AK20" s="183">
        <v>5.5759999999999997E-2</v>
      </c>
      <c r="AL20" s="183">
        <v>4.0419999999999998E-2</v>
      </c>
      <c r="AM20" s="182">
        <v>1.02</v>
      </c>
      <c r="AN20" s="183">
        <v>2.0400000000000001E-2</v>
      </c>
      <c r="AO20" s="183">
        <v>2.24E-2</v>
      </c>
      <c r="AP20" s="183">
        <v>4.3020000000000003E-2</v>
      </c>
      <c r="AQ20" s="183">
        <v>5.5160000000000001E-2</v>
      </c>
      <c r="AR20" s="182">
        <v>1.02</v>
      </c>
      <c r="AS20" s="183">
        <v>1.822E-2</v>
      </c>
      <c r="AT20" s="183">
        <v>1.7579999999999998E-2</v>
      </c>
      <c r="AU20" s="183">
        <v>4.2500000000000003E-2</v>
      </c>
      <c r="AV20" s="183">
        <v>4.0779999999999997E-2</v>
      </c>
      <c r="AW20" s="182">
        <v>1.02</v>
      </c>
      <c r="AX20" s="183">
        <v>9.9600000000000001E-3</v>
      </c>
      <c r="AY20" s="183">
        <v>4.6399999999999997E-2</v>
      </c>
      <c r="AZ20" s="183">
        <v>5.228E-2</v>
      </c>
      <c r="BA20" s="183">
        <v>8.6840000000000001E-2</v>
      </c>
      <c r="BB20" s="182">
        <v>1.02</v>
      </c>
      <c r="BC20" s="183">
        <v>4.4979999999999999E-2</v>
      </c>
      <c r="BD20" s="183">
        <v>9.0799999999999995E-3</v>
      </c>
      <c r="BE20" s="183">
        <v>8.3940000000000001E-2</v>
      </c>
      <c r="BF20" s="183">
        <v>4.9759999999999999E-2</v>
      </c>
      <c r="BG20" s="169"/>
      <c r="BH20" s="170">
        <v>250</v>
      </c>
      <c r="BI20" s="170">
        <v>110</v>
      </c>
      <c r="BJ20" s="169"/>
      <c r="BK20" s="170" t="s">
        <v>403</v>
      </c>
      <c r="BL20" s="170" t="s">
        <v>404</v>
      </c>
      <c r="BM20" s="170" t="s">
        <v>405</v>
      </c>
      <c r="BN20" s="170" t="s">
        <v>406</v>
      </c>
    </row>
    <row r="21" spans="4:66" ht="15.75">
      <c r="D21" s="182">
        <v>1.03</v>
      </c>
      <c r="E21" s="183">
        <v>3.764E-2</v>
      </c>
      <c r="F21" s="183">
        <v>3.5060000000000001E-2</v>
      </c>
      <c r="G21" s="183">
        <v>0</v>
      </c>
      <c r="H21" s="183">
        <v>0</v>
      </c>
      <c r="I21" s="182">
        <v>1.03</v>
      </c>
      <c r="J21" s="183">
        <v>3.3939999999999998E-2</v>
      </c>
      <c r="K21" s="183">
        <v>2.6040000000000001E-2</v>
      </c>
      <c r="L21" s="183">
        <v>8.9380000000000001E-2</v>
      </c>
      <c r="M21" s="183">
        <v>0</v>
      </c>
      <c r="N21" s="182">
        <v>1.03</v>
      </c>
      <c r="O21" s="183">
        <v>2.8500000000000001E-2</v>
      </c>
      <c r="P21" s="183">
        <v>3.286E-2</v>
      </c>
      <c r="Q21" s="183">
        <v>0</v>
      </c>
      <c r="R21" s="183">
        <v>8.8700000000000001E-2</v>
      </c>
      <c r="S21" s="182">
        <v>1.03</v>
      </c>
      <c r="T21" s="183">
        <v>2.6700000000000002E-2</v>
      </c>
      <c r="U21" s="183">
        <v>1.686E-2</v>
      </c>
      <c r="V21" s="183">
        <v>6.856000000000001E-2</v>
      </c>
      <c r="W21" s="183">
        <v>0</v>
      </c>
      <c r="X21" s="182">
        <v>1.03</v>
      </c>
      <c r="Y21" s="183">
        <v>1.9140000000000001E-2</v>
      </c>
      <c r="Z21" s="183">
        <v>2.6579999999999999E-2</v>
      </c>
      <c r="AA21" s="183">
        <v>0</v>
      </c>
      <c r="AB21" s="183">
        <v>7.0059999999999997E-2</v>
      </c>
      <c r="AC21" s="182">
        <v>1.03</v>
      </c>
      <c r="AD21" s="183">
        <v>2.768E-2</v>
      </c>
      <c r="AE21" s="183">
        <v>2.606E-2</v>
      </c>
      <c r="AF21" s="183">
        <v>6.4299999999999996E-2</v>
      </c>
      <c r="AG21" s="183">
        <v>6.0399999999999995E-2</v>
      </c>
      <c r="AH21" s="182">
        <v>1.03</v>
      </c>
      <c r="AI21" s="183">
        <v>2.29E-2</v>
      </c>
      <c r="AJ21" s="183">
        <v>1.8960000000000001E-2</v>
      </c>
      <c r="AK21" s="183">
        <v>5.5840000000000001E-2</v>
      </c>
      <c r="AL21" s="183">
        <v>3.9780000000000003E-2</v>
      </c>
      <c r="AM21" s="182">
        <v>1.03</v>
      </c>
      <c r="AN21" s="183">
        <v>2.07E-2</v>
      </c>
      <c r="AO21" s="183">
        <v>2.23E-2</v>
      </c>
      <c r="AP21" s="183">
        <v>4.3679999999999997E-2</v>
      </c>
      <c r="AQ21" s="183">
        <v>5.4939999999999996E-2</v>
      </c>
      <c r="AR21" s="182">
        <v>1.03</v>
      </c>
      <c r="AS21" s="183">
        <v>1.8380000000000001E-2</v>
      </c>
      <c r="AT21" s="183">
        <v>1.7420000000000001E-2</v>
      </c>
      <c r="AU21" s="183">
        <v>4.2900000000000001E-2</v>
      </c>
      <c r="AV21" s="183">
        <v>4.0320000000000002E-2</v>
      </c>
      <c r="AW21" s="182">
        <v>1.03</v>
      </c>
      <c r="AX21" s="183">
        <v>9.9900000000000006E-3</v>
      </c>
      <c r="AY21" s="183">
        <v>4.675E-2</v>
      </c>
      <c r="AZ21" s="183">
        <v>5.2919999999999995E-2</v>
      </c>
      <c r="BA21" s="183">
        <v>8.7610000000000007E-2</v>
      </c>
      <c r="BB21" s="182">
        <v>1.03</v>
      </c>
      <c r="BC21" s="183">
        <v>4.4619999999999993E-2</v>
      </c>
      <c r="BD21" s="183">
        <v>9.1199999999999996E-3</v>
      </c>
      <c r="BE21" s="183">
        <v>8.3160000000000012E-2</v>
      </c>
      <c r="BF21" s="183">
        <v>4.9139999999999996E-2</v>
      </c>
      <c r="BG21" s="169"/>
      <c r="BH21" s="170">
        <v>300</v>
      </c>
      <c r="BI21" s="170">
        <v>130</v>
      </c>
      <c r="BJ21" s="170" t="s">
        <v>402</v>
      </c>
      <c r="BK21" s="170">
        <v>2300</v>
      </c>
      <c r="BL21" s="170">
        <v>2800</v>
      </c>
      <c r="BM21" s="170">
        <v>3600</v>
      </c>
      <c r="BN21" s="170">
        <v>5000</v>
      </c>
    </row>
    <row r="22" spans="4:66" ht="15.75">
      <c r="D22" s="182">
        <v>1.04</v>
      </c>
      <c r="E22" s="183">
        <v>3.8019999999999998E-2</v>
      </c>
      <c r="F22" s="183">
        <v>3.458E-2</v>
      </c>
      <c r="G22" s="183">
        <v>0</v>
      </c>
      <c r="H22" s="183">
        <v>0</v>
      </c>
      <c r="I22" s="182">
        <v>1.04</v>
      </c>
      <c r="J22" s="183">
        <v>3.4119999999999998E-2</v>
      </c>
      <c r="K22" s="183">
        <v>2.562E-2</v>
      </c>
      <c r="L22" s="183">
        <v>8.9439999999999992E-2</v>
      </c>
      <c r="M22" s="183">
        <v>0</v>
      </c>
      <c r="N22" s="182">
        <v>1.04</v>
      </c>
      <c r="O22" s="183">
        <v>2.8899999999999999E-2</v>
      </c>
      <c r="P22" s="183">
        <v>3.2680000000000001E-2</v>
      </c>
      <c r="Q22" s="183">
        <v>0</v>
      </c>
      <c r="R22" s="183">
        <v>8.8500000000000009E-2</v>
      </c>
      <c r="S22" s="182">
        <v>1.04</v>
      </c>
      <c r="T22" s="183">
        <v>2.6700000000000002E-2</v>
      </c>
      <c r="U22" s="183">
        <v>1.6479999999999998E-2</v>
      </c>
      <c r="V22" s="183">
        <v>6.8280000000000007E-2</v>
      </c>
      <c r="W22" s="183">
        <v>0</v>
      </c>
      <c r="X22" s="182">
        <v>1.04</v>
      </c>
      <c r="Y22" s="183">
        <v>1.9519999999999999E-2</v>
      </c>
      <c r="Z22" s="183">
        <v>2.6540000000000001E-2</v>
      </c>
      <c r="AA22" s="183">
        <v>0</v>
      </c>
      <c r="AB22" s="183">
        <v>7.0279999999999995E-2</v>
      </c>
      <c r="AC22" s="182">
        <v>1.04</v>
      </c>
      <c r="AD22" s="183">
        <v>2.794E-2</v>
      </c>
      <c r="AE22" s="183">
        <v>2.5779999999999997E-2</v>
      </c>
      <c r="AF22" s="183">
        <v>6.4899999999999999E-2</v>
      </c>
      <c r="AG22" s="183">
        <v>5.9699999999999996E-2</v>
      </c>
      <c r="AH22" s="182">
        <v>1.04</v>
      </c>
      <c r="AI22" s="183">
        <v>2.3E-2</v>
      </c>
      <c r="AJ22" s="183">
        <v>1.8679999999999999E-2</v>
      </c>
      <c r="AK22" s="183">
        <v>5.5919999999999997E-2</v>
      </c>
      <c r="AL22" s="183">
        <v>3.9140000000000001E-2</v>
      </c>
      <c r="AM22" s="182">
        <v>1.04</v>
      </c>
      <c r="AN22" s="183">
        <v>2.1000000000000001E-2</v>
      </c>
      <c r="AO22" s="183">
        <v>2.2200000000000001E-2</v>
      </c>
      <c r="AP22" s="183">
        <v>4.4339999999999997E-2</v>
      </c>
      <c r="AQ22" s="183">
        <v>5.4719999999999998E-2</v>
      </c>
      <c r="AR22" s="182">
        <v>1.04</v>
      </c>
      <c r="AS22" s="183">
        <v>1.8540000000000001E-2</v>
      </c>
      <c r="AT22" s="183">
        <v>1.7260000000000001E-2</v>
      </c>
      <c r="AU22" s="183">
        <v>4.3300000000000005E-2</v>
      </c>
      <c r="AV22" s="183">
        <v>3.986E-2</v>
      </c>
      <c r="AW22" s="182">
        <v>1.04</v>
      </c>
      <c r="AX22" s="183">
        <v>1.0019999999999999E-2</v>
      </c>
      <c r="AY22" s="183">
        <v>4.7099999999999996E-2</v>
      </c>
      <c r="AZ22" s="183">
        <v>5.3559999999999997E-2</v>
      </c>
      <c r="BA22" s="183">
        <v>8.838E-2</v>
      </c>
      <c r="BB22" s="182">
        <v>1.04</v>
      </c>
      <c r="BC22" s="183">
        <v>4.4259999999999994E-2</v>
      </c>
      <c r="BD22" s="183">
        <v>9.1599999999999997E-3</v>
      </c>
      <c r="BE22" s="183">
        <v>8.2380000000000009E-2</v>
      </c>
      <c r="BF22" s="183">
        <v>4.8520000000000001E-2</v>
      </c>
      <c r="BG22" s="169"/>
      <c r="BH22" s="170">
        <v>350</v>
      </c>
      <c r="BI22" s="170">
        <v>155</v>
      </c>
      <c r="BJ22" s="169"/>
      <c r="BK22" s="169"/>
      <c r="BL22" s="169"/>
      <c r="BM22" s="169"/>
      <c r="BN22" s="169"/>
    </row>
    <row r="23" spans="4:66" ht="15.75">
      <c r="D23" s="180">
        <v>1.05</v>
      </c>
      <c r="E23" s="181">
        <v>3.8399999999999997E-2</v>
      </c>
      <c r="F23" s="181">
        <v>3.4099999999999998E-2</v>
      </c>
      <c r="G23" s="183">
        <v>0</v>
      </c>
      <c r="H23" s="183">
        <v>0</v>
      </c>
      <c r="I23" s="180">
        <v>1.05</v>
      </c>
      <c r="J23" s="181">
        <v>3.4299999999999997E-2</v>
      </c>
      <c r="K23" s="181">
        <v>2.52E-2</v>
      </c>
      <c r="L23" s="181">
        <v>8.9499999999999996E-2</v>
      </c>
      <c r="M23" s="183">
        <v>0</v>
      </c>
      <c r="N23" s="180">
        <v>1.05</v>
      </c>
      <c r="O23" s="181">
        <v>2.93E-2</v>
      </c>
      <c r="P23" s="181">
        <v>3.2500000000000001E-2</v>
      </c>
      <c r="Q23" s="183">
        <v>0</v>
      </c>
      <c r="R23" s="181">
        <v>8.8300000000000003E-2</v>
      </c>
      <c r="S23" s="180">
        <v>1.05</v>
      </c>
      <c r="T23" s="181">
        <v>2.6700000000000002E-2</v>
      </c>
      <c r="U23" s="181">
        <v>1.61E-2</v>
      </c>
      <c r="V23" s="181">
        <v>6.8000000000000005E-2</v>
      </c>
      <c r="W23" s="183">
        <v>0</v>
      </c>
      <c r="X23" s="180">
        <v>1.05</v>
      </c>
      <c r="Y23" s="181">
        <v>1.9900000000000001E-2</v>
      </c>
      <c r="Z23" s="181">
        <v>2.6499999999999999E-2</v>
      </c>
      <c r="AA23" s="183">
        <v>0</v>
      </c>
      <c r="AB23" s="181">
        <v>7.0499999999999993E-2</v>
      </c>
      <c r="AC23" s="180">
        <v>1.05</v>
      </c>
      <c r="AD23" s="181">
        <v>2.8199999999999999E-2</v>
      </c>
      <c r="AE23" s="181">
        <v>2.5499999999999998E-2</v>
      </c>
      <c r="AF23" s="181">
        <v>6.5500000000000003E-2</v>
      </c>
      <c r="AG23" s="181">
        <v>5.8999999999999997E-2</v>
      </c>
      <c r="AH23" s="180">
        <v>1.05</v>
      </c>
      <c r="AI23" s="181">
        <v>2.3099999999999999E-2</v>
      </c>
      <c r="AJ23" s="181">
        <v>1.84E-2</v>
      </c>
      <c r="AK23" s="181">
        <v>5.6000000000000001E-2</v>
      </c>
      <c r="AL23" s="181">
        <v>3.85E-2</v>
      </c>
      <c r="AM23" s="180">
        <v>1.05</v>
      </c>
      <c r="AN23" s="181">
        <v>2.1299999999999999E-2</v>
      </c>
      <c r="AO23" s="181">
        <v>2.2100000000000002E-2</v>
      </c>
      <c r="AP23" s="181">
        <v>4.4999999999999998E-2</v>
      </c>
      <c r="AQ23" s="181">
        <v>5.45E-2</v>
      </c>
      <c r="AR23" s="180">
        <v>1.05</v>
      </c>
      <c r="AS23" s="181">
        <v>1.8700000000000001E-2</v>
      </c>
      <c r="AT23" s="181">
        <v>1.7100000000000001E-2</v>
      </c>
      <c r="AU23" s="181">
        <v>4.3700000000000003E-2</v>
      </c>
      <c r="AV23" s="181">
        <v>3.9399999999999998E-2</v>
      </c>
      <c r="AW23" s="180">
        <v>1.05</v>
      </c>
      <c r="AX23" s="181">
        <v>1.005E-2</v>
      </c>
      <c r="AY23" s="181">
        <v>4.7449999999999999E-2</v>
      </c>
      <c r="AZ23" s="181">
        <v>5.4199999999999998E-2</v>
      </c>
      <c r="BA23" s="181">
        <v>8.9150000000000007E-2</v>
      </c>
      <c r="BB23" s="180">
        <v>1.05</v>
      </c>
      <c r="BC23" s="181">
        <v>4.3899999999999995E-2</v>
      </c>
      <c r="BD23" s="181">
        <v>9.1999999999999998E-3</v>
      </c>
      <c r="BE23" s="181">
        <v>8.1600000000000006E-2</v>
      </c>
      <c r="BF23" s="181">
        <v>4.7899999999999998E-2</v>
      </c>
      <c r="BG23" s="169"/>
      <c r="BH23" s="170">
        <v>400</v>
      </c>
      <c r="BI23" s="170">
        <v>170</v>
      </c>
      <c r="BJ23" s="169"/>
      <c r="BK23" s="169"/>
      <c r="BL23" s="169"/>
      <c r="BM23" s="169"/>
      <c r="BN23" s="169"/>
    </row>
    <row r="24" spans="4:66" ht="15.75">
      <c r="D24" s="182">
        <v>1.06</v>
      </c>
      <c r="E24" s="183">
        <v>3.8699999999999998E-2</v>
      </c>
      <c r="F24" s="183">
        <v>3.388E-2</v>
      </c>
      <c r="G24" s="183">
        <v>0</v>
      </c>
      <c r="H24" s="183">
        <v>0</v>
      </c>
      <c r="I24" s="182">
        <v>1.06</v>
      </c>
      <c r="J24" s="183">
        <v>3.4419999999999999E-2</v>
      </c>
      <c r="K24" s="183">
        <v>2.478E-2</v>
      </c>
      <c r="L24" s="183">
        <v>8.9439999999999992E-2</v>
      </c>
      <c r="M24" s="183">
        <v>0</v>
      </c>
      <c r="N24" s="182">
        <v>1.06</v>
      </c>
      <c r="O24" s="183">
        <v>2.9700000000000001E-2</v>
      </c>
      <c r="P24" s="183">
        <v>3.2260000000000004E-2</v>
      </c>
      <c r="Q24" s="183">
        <v>0</v>
      </c>
      <c r="R24" s="183">
        <v>8.7980000000000003E-2</v>
      </c>
      <c r="S24" s="182">
        <v>1.06</v>
      </c>
      <c r="T24" s="183">
        <v>2.6680000000000002E-2</v>
      </c>
      <c r="U24" s="183">
        <v>1.5800000000000002E-2</v>
      </c>
      <c r="V24" s="183">
        <v>6.7740000000000009E-2</v>
      </c>
      <c r="W24" s="183">
        <v>0</v>
      </c>
      <c r="X24" s="182">
        <v>1.06</v>
      </c>
      <c r="Y24" s="183">
        <v>2.0279999999999999E-2</v>
      </c>
      <c r="Z24" s="183">
        <v>2.6439999999999998E-2</v>
      </c>
      <c r="AA24" s="183">
        <v>0</v>
      </c>
      <c r="AB24" s="183">
        <v>7.0559999999999998E-2</v>
      </c>
      <c r="AC24" s="182">
        <v>1.06</v>
      </c>
      <c r="AD24" s="183">
        <v>2.8399999999999998E-2</v>
      </c>
      <c r="AE24" s="183">
        <v>2.5239999999999999E-2</v>
      </c>
      <c r="AF24" s="183">
        <v>6.59E-2</v>
      </c>
      <c r="AG24" s="183">
        <v>5.8359999999999995E-2</v>
      </c>
      <c r="AH24" s="182">
        <v>1.06</v>
      </c>
      <c r="AI24" s="183">
        <v>2.316E-2</v>
      </c>
      <c r="AJ24" s="183">
        <v>1.8099999999999998E-2</v>
      </c>
      <c r="AK24" s="183">
        <v>5.6100000000000004E-2</v>
      </c>
      <c r="AL24" s="183">
        <v>3.78E-2</v>
      </c>
      <c r="AM24" s="182">
        <v>1.06</v>
      </c>
      <c r="AN24" s="183">
        <v>2.1559999999999999E-2</v>
      </c>
      <c r="AO24" s="183">
        <v>2.1920000000000002E-2</v>
      </c>
      <c r="AP24" s="183">
        <v>4.5620000000000001E-2</v>
      </c>
      <c r="AQ24" s="183">
        <v>5.4199999999999998E-2</v>
      </c>
      <c r="AR24" s="182">
        <v>1.06</v>
      </c>
      <c r="AS24" s="183">
        <v>1.8840000000000003E-2</v>
      </c>
      <c r="AT24" s="183">
        <v>1.6900000000000002E-2</v>
      </c>
      <c r="AU24" s="183">
        <v>4.3959999999999999E-2</v>
      </c>
      <c r="AV24" s="183">
        <v>3.8959999999999995E-2</v>
      </c>
      <c r="AW24" s="182">
        <v>1.06</v>
      </c>
      <c r="AX24" s="183">
        <v>1.008E-2</v>
      </c>
      <c r="AY24" s="183">
        <v>4.7800000000000002E-2</v>
      </c>
      <c r="AZ24" s="183">
        <v>5.484E-2</v>
      </c>
      <c r="BA24" s="183">
        <v>8.992E-2</v>
      </c>
      <c r="BB24" s="182">
        <v>1.06</v>
      </c>
      <c r="BC24" s="183">
        <v>4.3539999999999995E-2</v>
      </c>
      <c r="BD24" s="183">
        <v>9.2399999999999999E-3</v>
      </c>
      <c r="BE24" s="183">
        <v>8.0820000000000003E-2</v>
      </c>
      <c r="BF24" s="183">
        <v>4.7279999999999996E-2</v>
      </c>
      <c r="BG24" s="169"/>
      <c r="BH24" s="170">
        <v>500</v>
      </c>
      <c r="BI24" s="170">
        <v>215</v>
      </c>
      <c r="BJ24" s="169"/>
      <c r="BK24" s="169"/>
      <c r="BL24" s="169"/>
      <c r="BM24" s="169"/>
      <c r="BN24" s="169"/>
    </row>
    <row r="25" spans="4:66" ht="15.75">
      <c r="D25" s="182">
        <v>1.07</v>
      </c>
      <c r="E25" s="183">
        <v>3.9E-2</v>
      </c>
      <c r="F25" s="183">
        <v>3.3660000000000002E-2</v>
      </c>
      <c r="G25" s="183">
        <v>0</v>
      </c>
      <c r="H25" s="183">
        <v>0</v>
      </c>
      <c r="I25" s="182">
        <v>1.07</v>
      </c>
      <c r="J25" s="183">
        <v>3.4540000000000001E-2</v>
      </c>
      <c r="K25" s="183">
        <v>2.436E-2</v>
      </c>
      <c r="L25" s="183">
        <v>8.9380000000000001E-2</v>
      </c>
      <c r="M25" s="183">
        <v>0</v>
      </c>
      <c r="N25" s="182">
        <v>1.07</v>
      </c>
      <c r="O25" s="183">
        <v>3.0100000000000002E-2</v>
      </c>
      <c r="P25" s="183">
        <v>3.202E-2</v>
      </c>
      <c r="Q25" s="183">
        <v>0</v>
      </c>
      <c r="R25" s="183">
        <v>8.7660000000000002E-2</v>
      </c>
      <c r="S25" s="182">
        <v>1.07</v>
      </c>
      <c r="T25" s="183">
        <v>2.666E-2</v>
      </c>
      <c r="U25" s="183">
        <v>1.55E-2</v>
      </c>
      <c r="V25" s="183">
        <v>6.7479999999999998E-2</v>
      </c>
      <c r="W25" s="183">
        <v>0</v>
      </c>
      <c r="X25" s="182">
        <v>1.07</v>
      </c>
      <c r="Y25" s="183">
        <v>2.0660000000000001E-2</v>
      </c>
      <c r="Z25" s="183">
        <v>2.6380000000000001E-2</v>
      </c>
      <c r="AA25" s="183">
        <v>0</v>
      </c>
      <c r="AB25" s="183">
        <v>7.0620000000000002E-2</v>
      </c>
      <c r="AC25" s="182">
        <v>1.07</v>
      </c>
      <c r="AD25" s="183">
        <v>2.86E-2</v>
      </c>
      <c r="AE25" s="183">
        <v>2.4979999999999999E-2</v>
      </c>
      <c r="AF25" s="183">
        <v>6.6299999999999998E-2</v>
      </c>
      <c r="AG25" s="183">
        <v>5.772E-2</v>
      </c>
      <c r="AH25" s="182">
        <v>1.07</v>
      </c>
      <c r="AI25" s="183">
        <v>2.3220000000000001E-2</v>
      </c>
      <c r="AJ25" s="183">
        <v>1.78E-2</v>
      </c>
      <c r="AK25" s="183">
        <v>5.62E-2</v>
      </c>
      <c r="AL25" s="183">
        <v>3.7100000000000001E-2</v>
      </c>
      <c r="AM25" s="182">
        <v>1.07</v>
      </c>
      <c r="AN25" s="183">
        <v>2.1819999999999999E-2</v>
      </c>
      <c r="AO25" s="183">
        <v>2.1740000000000002E-2</v>
      </c>
      <c r="AP25" s="183">
        <v>4.6239999999999996E-2</v>
      </c>
      <c r="AQ25" s="183">
        <v>5.3899999999999997E-2</v>
      </c>
      <c r="AR25" s="182">
        <v>1.07</v>
      </c>
      <c r="AS25" s="183">
        <v>1.898E-2</v>
      </c>
      <c r="AT25" s="183">
        <v>1.67E-2</v>
      </c>
      <c r="AU25" s="183">
        <v>4.4220000000000002E-2</v>
      </c>
      <c r="AV25" s="183">
        <v>3.8519999999999999E-2</v>
      </c>
      <c r="AW25" s="182">
        <v>1.07</v>
      </c>
      <c r="AX25" s="183">
        <v>1.0110000000000001E-2</v>
      </c>
      <c r="AY25" s="183">
        <v>4.8149999999999998E-2</v>
      </c>
      <c r="AZ25" s="183">
        <v>5.5480000000000002E-2</v>
      </c>
      <c r="BA25" s="183">
        <v>9.0690000000000007E-2</v>
      </c>
      <c r="BB25" s="182">
        <v>1.07</v>
      </c>
      <c r="BC25" s="183">
        <v>4.3179999999999996E-2</v>
      </c>
      <c r="BD25" s="183">
        <v>9.2800000000000001E-3</v>
      </c>
      <c r="BE25" s="183">
        <v>8.004E-2</v>
      </c>
      <c r="BF25" s="183">
        <v>4.666E-2</v>
      </c>
      <c r="BG25" s="169"/>
      <c r="BH25" s="170">
        <v>600</v>
      </c>
      <c r="BI25" s="170">
        <v>250</v>
      </c>
      <c r="BJ25" s="169"/>
      <c r="BK25" s="169"/>
      <c r="BL25" s="169"/>
      <c r="BM25" s="169"/>
      <c r="BN25" s="169"/>
    </row>
    <row r="26" spans="4:66" ht="15.75">
      <c r="D26" s="182">
        <v>1.08</v>
      </c>
      <c r="E26" s="183">
        <v>3.9299999999999995E-2</v>
      </c>
      <c r="F26" s="183">
        <v>3.3439999999999998E-2</v>
      </c>
      <c r="G26" s="183">
        <v>0</v>
      </c>
      <c r="H26" s="183">
        <v>0</v>
      </c>
      <c r="I26" s="182">
        <v>1.08</v>
      </c>
      <c r="J26" s="183">
        <v>3.4659999999999996E-2</v>
      </c>
      <c r="K26" s="183">
        <v>2.3939999999999999E-2</v>
      </c>
      <c r="L26" s="183">
        <v>8.9319999999999997E-2</v>
      </c>
      <c r="M26" s="183">
        <v>0</v>
      </c>
      <c r="N26" s="182">
        <v>1.08</v>
      </c>
      <c r="O26" s="183">
        <v>3.0499999999999999E-2</v>
      </c>
      <c r="P26" s="183">
        <v>3.1780000000000003E-2</v>
      </c>
      <c r="Q26" s="183">
        <v>0</v>
      </c>
      <c r="R26" s="183">
        <v>8.7340000000000001E-2</v>
      </c>
      <c r="S26" s="182">
        <v>1.08</v>
      </c>
      <c r="T26" s="183">
        <v>2.664E-2</v>
      </c>
      <c r="U26" s="183">
        <v>1.52E-2</v>
      </c>
      <c r="V26" s="183">
        <v>6.7220000000000002E-2</v>
      </c>
      <c r="W26" s="183">
        <v>0</v>
      </c>
      <c r="X26" s="182">
        <v>1.08</v>
      </c>
      <c r="Y26" s="183">
        <v>2.104E-2</v>
      </c>
      <c r="Z26" s="183">
        <v>2.632E-2</v>
      </c>
      <c r="AA26" s="183">
        <v>0</v>
      </c>
      <c r="AB26" s="183">
        <v>7.0679999999999993E-2</v>
      </c>
      <c r="AC26" s="182">
        <v>1.08</v>
      </c>
      <c r="AD26" s="183">
        <v>2.8799999999999999E-2</v>
      </c>
      <c r="AE26" s="183">
        <v>2.4719999999999999E-2</v>
      </c>
      <c r="AF26" s="183">
        <v>6.6700000000000009E-2</v>
      </c>
      <c r="AG26" s="183">
        <v>5.7079999999999999E-2</v>
      </c>
      <c r="AH26" s="182">
        <v>1.08</v>
      </c>
      <c r="AI26" s="183">
        <v>2.3279999999999999E-2</v>
      </c>
      <c r="AJ26" s="183">
        <v>1.7499999999999998E-2</v>
      </c>
      <c r="AK26" s="183">
        <v>5.6300000000000003E-2</v>
      </c>
      <c r="AL26" s="183">
        <v>3.6400000000000002E-2</v>
      </c>
      <c r="AM26" s="182">
        <v>1.08</v>
      </c>
      <c r="AN26" s="183">
        <v>2.2079999999999999E-2</v>
      </c>
      <c r="AO26" s="183">
        <v>2.1559999999999999E-2</v>
      </c>
      <c r="AP26" s="183">
        <v>4.6859999999999999E-2</v>
      </c>
      <c r="AQ26" s="183">
        <v>5.3600000000000002E-2</v>
      </c>
      <c r="AR26" s="182">
        <v>1.08</v>
      </c>
      <c r="AS26" s="183">
        <v>1.9120000000000002E-2</v>
      </c>
      <c r="AT26" s="183">
        <v>1.6500000000000001E-2</v>
      </c>
      <c r="AU26" s="183">
        <v>4.4479999999999999E-2</v>
      </c>
      <c r="AV26" s="183">
        <v>3.8079999999999996E-2</v>
      </c>
      <c r="AW26" s="182">
        <v>1.08</v>
      </c>
      <c r="AX26" s="183">
        <v>1.014E-2</v>
      </c>
      <c r="AY26" s="183">
        <v>4.8500000000000001E-2</v>
      </c>
      <c r="AZ26" s="183">
        <v>5.6119999999999996E-2</v>
      </c>
      <c r="BA26" s="183">
        <v>9.146E-2</v>
      </c>
      <c r="BB26" s="182">
        <v>1.08</v>
      </c>
      <c r="BC26" s="183">
        <v>4.2819999999999997E-2</v>
      </c>
      <c r="BD26" s="183">
        <v>9.3200000000000002E-3</v>
      </c>
      <c r="BE26" s="183">
        <v>7.9260000000000011E-2</v>
      </c>
      <c r="BF26" s="183">
        <v>4.6039999999999998E-2</v>
      </c>
      <c r="BG26" s="169"/>
      <c r="BH26" s="169"/>
      <c r="BI26" s="169"/>
      <c r="BJ26" s="169"/>
      <c r="BK26" s="169"/>
      <c r="BL26" s="169"/>
      <c r="BM26" s="169"/>
      <c r="BN26" s="169"/>
    </row>
    <row r="27" spans="4:66" ht="15.75">
      <c r="D27" s="182">
        <v>1.0900000000000001</v>
      </c>
      <c r="E27" s="183">
        <v>3.9599999999999996E-2</v>
      </c>
      <c r="F27" s="183">
        <v>3.322E-2</v>
      </c>
      <c r="G27" s="183">
        <v>0</v>
      </c>
      <c r="H27" s="183">
        <v>0</v>
      </c>
      <c r="I27" s="182">
        <v>1.0900000000000001</v>
      </c>
      <c r="J27" s="183">
        <v>3.4779999999999998E-2</v>
      </c>
      <c r="K27" s="183">
        <v>2.3519999999999999E-2</v>
      </c>
      <c r="L27" s="183">
        <v>8.9260000000000006E-2</v>
      </c>
      <c r="M27" s="183">
        <v>0</v>
      </c>
      <c r="N27" s="182">
        <v>1.0900000000000001</v>
      </c>
      <c r="O27" s="183">
        <v>3.09E-2</v>
      </c>
      <c r="P27" s="183">
        <v>3.1539999999999999E-2</v>
      </c>
      <c r="Q27" s="183">
        <v>0</v>
      </c>
      <c r="R27" s="183">
        <v>8.702E-2</v>
      </c>
      <c r="S27" s="182">
        <v>1.0900000000000001</v>
      </c>
      <c r="T27" s="183">
        <v>2.6619999999999998E-2</v>
      </c>
      <c r="U27" s="183">
        <v>1.49E-2</v>
      </c>
      <c r="V27" s="183">
        <v>6.6959999999999992E-2</v>
      </c>
      <c r="W27" s="183">
        <v>0</v>
      </c>
      <c r="X27" s="182">
        <v>1.0900000000000001</v>
      </c>
      <c r="Y27" s="183">
        <v>2.1420000000000002E-2</v>
      </c>
      <c r="Z27" s="183">
        <v>2.6260000000000002E-2</v>
      </c>
      <c r="AA27" s="183">
        <v>0</v>
      </c>
      <c r="AB27" s="183">
        <v>7.0739999999999997E-2</v>
      </c>
      <c r="AC27" s="182">
        <v>1.0900000000000001</v>
      </c>
      <c r="AD27" s="183">
        <v>2.9000000000000001E-2</v>
      </c>
      <c r="AE27" s="183">
        <v>2.4459999999999999E-2</v>
      </c>
      <c r="AF27" s="183">
        <v>6.7100000000000007E-2</v>
      </c>
      <c r="AG27" s="183">
        <v>5.6440000000000004E-2</v>
      </c>
      <c r="AH27" s="182">
        <v>1.0900000000000001</v>
      </c>
      <c r="AI27" s="183">
        <v>2.334E-2</v>
      </c>
      <c r="AJ27" s="183">
        <v>1.72E-2</v>
      </c>
      <c r="AK27" s="183">
        <v>5.6399999999999999E-2</v>
      </c>
      <c r="AL27" s="183">
        <v>3.5700000000000003E-2</v>
      </c>
      <c r="AM27" s="182">
        <v>1.0900000000000001</v>
      </c>
      <c r="AN27" s="183">
        <v>2.2339999999999999E-2</v>
      </c>
      <c r="AO27" s="183">
        <v>2.138E-2</v>
      </c>
      <c r="AP27" s="183">
        <v>4.7479999999999994E-2</v>
      </c>
      <c r="AQ27" s="183">
        <v>5.33E-2</v>
      </c>
      <c r="AR27" s="182">
        <v>1.0900000000000001</v>
      </c>
      <c r="AS27" s="183">
        <v>1.9259999999999999E-2</v>
      </c>
      <c r="AT27" s="183">
        <v>1.6299999999999999E-2</v>
      </c>
      <c r="AU27" s="183">
        <v>4.4740000000000002E-2</v>
      </c>
      <c r="AV27" s="183">
        <v>3.764E-2</v>
      </c>
      <c r="AW27" s="182">
        <v>1.0900000000000001</v>
      </c>
      <c r="AX27" s="183">
        <v>1.017E-2</v>
      </c>
      <c r="AY27" s="183">
        <v>4.8849999999999998E-2</v>
      </c>
      <c r="AZ27" s="183">
        <v>5.6759999999999998E-2</v>
      </c>
      <c r="BA27" s="183">
        <v>9.2230000000000006E-2</v>
      </c>
      <c r="BB27" s="182">
        <v>1.0900000000000001</v>
      </c>
      <c r="BC27" s="183">
        <v>4.2459999999999998E-2</v>
      </c>
      <c r="BD27" s="183">
        <v>9.3600000000000003E-3</v>
      </c>
      <c r="BE27" s="183">
        <v>7.8480000000000008E-2</v>
      </c>
      <c r="BF27" s="183">
        <v>4.5420000000000002E-2</v>
      </c>
      <c r="BG27" s="169"/>
      <c r="BH27" s="169"/>
      <c r="BI27" s="169"/>
      <c r="BJ27" s="169"/>
      <c r="BK27" s="169"/>
      <c r="BL27" s="169"/>
      <c r="BM27" s="169"/>
      <c r="BN27" s="169"/>
    </row>
    <row r="28" spans="4:66" ht="15.75">
      <c r="D28" s="180">
        <v>1.1000000000000001</v>
      </c>
      <c r="E28" s="181">
        <v>3.9899999999999998E-2</v>
      </c>
      <c r="F28" s="181">
        <v>3.3000000000000002E-2</v>
      </c>
      <c r="G28" s="183">
        <v>0</v>
      </c>
      <c r="H28" s="183">
        <v>0</v>
      </c>
      <c r="I28" s="180">
        <v>1.1000000000000001</v>
      </c>
      <c r="J28" s="181">
        <v>3.49E-2</v>
      </c>
      <c r="K28" s="181">
        <v>2.3099999999999999E-2</v>
      </c>
      <c r="L28" s="181">
        <v>8.9200000000000002E-2</v>
      </c>
      <c r="M28" s="183">
        <v>0</v>
      </c>
      <c r="N28" s="180">
        <v>1.1000000000000001</v>
      </c>
      <c r="O28" s="181">
        <v>3.1300000000000001E-2</v>
      </c>
      <c r="P28" s="181">
        <v>3.1300000000000001E-2</v>
      </c>
      <c r="Q28" s="183">
        <v>0</v>
      </c>
      <c r="R28" s="181">
        <v>8.6699999999999999E-2</v>
      </c>
      <c r="S28" s="180">
        <v>1.1000000000000001</v>
      </c>
      <c r="T28" s="181">
        <v>2.6599999999999999E-2</v>
      </c>
      <c r="U28" s="181">
        <v>1.46E-2</v>
      </c>
      <c r="V28" s="181">
        <v>6.6699999999999995E-2</v>
      </c>
      <c r="W28" s="183">
        <v>0</v>
      </c>
      <c r="X28" s="180">
        <v>1.1000000000000001</v>
      </c>
      <c r="Y28" s="181">
        <v>2.18E-2</v>
      </c>
      <c r="Z28" s="181">
        <v>2.6200000000000001E-2</v>
      </c>
      <c r="AA28" s="183">
        <v>0</v>
      </c>
      <c r="AB28" s="181">
        <v>7.0800000000000002E-2</v>
      </c>
      <c r="AC28" s="180">
        <v>1.1000000000000001</v>
      </c>
      <c r="AD28" s="181">
        <v>2.92E-2</v>
      </c>
      <c r="AE28" s="181">
        <v>2.4199999999999999E-2</v>
      </c>
      <c r="AF28" s="181">
        <v>6.7500000000000004E-2</v>
      </c>
      <c r="AG28" s="181">
        <v>5.5800000000000002E-2</v>
      </c>
      <c r="AH28" s="180">
        <v>1.1000000000000001</v>
      </c>
      <c r="AI28" s="181">
        <v>2.3400000000000001E-2</v>
      </c>
      <c r="AJ28" s="181">
        <v>1.6899999999999998E-2</v>
      </c>
      <c r="AK28" s="181">
        <v>5.6500000000000002E-2</v>
      </c>
      <c r="AL28" s="181">
        <v>3.5000000000000003E-2</v>
      </c>
      <c r="AM28" s="180">
        <v>1.1000000000000001</v>
      </c>
      <c r="AN28" s="181">
        <v>2.2599999999999999E-2</v>
      </c>
      <c r="AO28" s="181">
        <v>2.12E-2</v>
      </c>
      <c r="AP28" s="181">
        <v>4.8099999999999997E-2</v>
      </c>
      <c r="AQ28" s="181">
        <v>5.2999999999999999E-2</v>
      </c>
      <c r="AR28" s="180">
        <v>1.1000000000000001</v>
      </c>
      <c r="AS28" s="181">
        <v>1.9400000000000001E-2</v>
      </c>
      <c r="AT28" s="181">
        <v>1.61E-2</v>
      </c>
      <c r="AU28" s="181">
        <v>4.4999999999999998E-2</v>
      </c>
      <c r="AV28" s="181">
        <v>3.7199999999999997E-2</v>
      </c>
      <c r="AW28" s="180">
        <v>1.1000000000000001</v>
      </c>
      <c r="AX28" s="181">
        <v>1.0200000000000001E-2</v>
      </c>
      <c r="AY28" s="181">
        <v>4.9200000000000001E-2</v>
      </c>
      <c r="AZ28" s="181">
        <v>5.74E-2</v>
      </c>
      <c r="BA28" s="181">
        <v>9.2999999999999999E-2</v>
      </c>
      <c r="BB28" s="180">
        <v>1.1000000000000001</v>
      </c>
      <c r="BC28" s="181">
        <v>4.2099999999999999E-2</v>
      </c>
      <c r="BD28" s="181">
        <v>9.4000000000000004E-3</v>
      </c>
      <c r="BE28" s="181">
        <v>7.7700000000000005E-2</v>
      </c>
      <c r="BF28" s="181">
        <v>4.48E-2</v>
      </c>
      <c r="BG28" s="169"/>
      <c r="BH28" s="169"/>
      <c r="BI28" s="169"/>
      <c r="BJ28" s="169"/>
      <c r="BK28" s="169"/>
      <c r="BL28" s="169"/>
      <c r="BM28" s="169"/>
      <c r="BN28" s="169"/>
    </row>
    <row r="29" spans="4:66" ht="15.75">
      <c r="D29" s="182">
        <v>1.1100000000000001</v>
      </c>
      <c r="E29" s="183">
        <v>4.02E-2</v>
      </c>
      <c r="F29" s="183">
        <v>3.2680000000000001E-2</v>
      </c>
      <c r="G29" s="183">
        <v>0</v>
      </c>
      <c r="H29" s="183">
        <v>0</v>
      </c>
      <c r="I29" s="182">
        <v>1.1100000000000001</v>
      </c>
      <c r="J29" s="183">
        <v>3.4979999999999997E-2</v>
      </c>
      <c r="K29" s="183">
        <v>2.2739999999999996E-2</v>
      </c>
      <c r="L29" s="183">
        <v>8.906E-2</v>
      </c>
      <c r="M29" s="183">
        <v>0</v>
      </c>
      <c r="N29" s="182">
        <v>1.1100000000000001</v>
      </c>
      <c r="O29" s="183">
        <v>3.168E-2</v>
      </c>
      <c r="P29" s="183">
        <v>3.108E-2</v>
      </c>
      <c r="Q29" s="183">
        <v>0</v>
      </c>
      <c r="R29" s="183">
        <v>8.6239999999999997E-2</v>
      </c>
      <c r="S29" s="182">
        <v>1.1100000000000001</v>
      </c>
      <c r="T29" s="183">
        <v>2.656E-2</v>
      </c>
      <c r="U29" s="183">
        <v>1.4299999999999998E-2</v>
      </c>
      <c r="V29" s="183">
        <v>6.6359999999999988E-2</v>
      </c>
      <c r="W29" s="183">
        <v>0</v>
      </c>
      <c r="X29" s="182">
        <v>1.1100000000000001</v>
      </c>
      <c r="Y29" s="183">
        <v>2.2160000000000003E-2</v>
      </c>
      <c r="Z29" s="183">
        <v>2.6120000000000001E-2</v>
      </c>
      <c r="AA29" s="183">
        <v>0</v>
      </c>
      <c r="AB29" s="183">
        <v>7.084E-2</v>
      </c>
      <c r="AC29" s="182">
        <v>1.1100000000000001</v>
      </c>
      <c r="AD29" s="183">
        <v>2.938E-2</v>
      </c>
      <c r="AE29" s="183">
        <v>2.3919999999999997E-2</v>
      </c>
      <c r="AF29" s="183">
        <v>6.7820000000000005E-2</v>
      </c>
      <c r="AG29" s="183">
        <v>5.5079999999999997E-2</v>
      </c>
      <c r="AH29" s="182">
        <v>1.1100000000000001</v>
      </c>
      <c r="AI29" s="183">
        <v>2.3439999999999999E-2</v>
      </c>
      <c r="AJ29" s="183">
        <v>1.6599999999999997E-2</v>
      </c>
      <c r="AK29" s="183">
        <v>5.6480000000000002E-2</v>
      </c>
      <c r="AL29" s="183">
        <v>3.4380000000000001E-2</v>
      </c>
      <c r="AM29" s="182">
        <v>1.1100000000000001</v>
      </c>
      <c r="AN29" s="183">
        <v>2.2839999999999999E-2</v>
      </c>
      <c r="AO29" s="183">
        <v>2.1079999999999998E-2</v>
      </c>
      <c r="AP29" s="183">
        <v>4.8620000000000003E-2</v>
      </c>
      <c r="AQ29" s="183">
        <v>5.262E-2</v>
      </c>
      <c r="AR29" s="182">
        <v>1.1100000000000001</v>
      </c>
      <c r="AS29" s="183">
        <v>1.9520000000000003E-2</v>
      </c>
      <c r="AT29" s="183">
        <v>1.5879999999999998E-2</v>
      </c>
      <c r="AU29" s="183">
        <v>4.5220000000000003E-2</v>
      </c>
      <c r="AV29" s="183">
        <v>3.6739999999999995E-2</v>
      </c>
      <c r="AW29" s="182">
        <v>1.1100000000000001</v>
      </c>
      <c r="AX29" s="183">
        <v>1.0200000000000001E-2</v>
      </c>
      <c r="AY29" s="183">
        <v>4.947E-2</v>
      </c>
      <c r="AZ29" s="183">
        <v>5.8020000000000002E-2</v>
      </c>
      <c r="BA29" s="183">
        <v>9.3700000000000006E-2</v>
      </c>
      <c r="BB29" s="182">
        <v>1.1100000000000001</v>
      </c>
      <c r="BC29" s="183">
        <v>4.1779999999999998E-2</v>
      </c>
      <c r="BD29" s="183">
        <v>9.3299999999999998E-3</v>
      </c>
      <c r="BE29" s="183">
        <v>7.7050000000000007E-2</v>
      </c>
      <c r="BF29" s="183">
        <v>4.3716999999999999E-2</v>
      </c>
      <c r="BG29" s="169"/>
      <c r="BH29" s="169"/>
      <c r="BI29" s="169"/>
      <c r="BJ29" s="169"/>
      <c r="BK29" s="169"/>
      <c r="BL29" s="169"/>
      <c r="BM29" s="169"/>
      <c r="BN29" s="169"/>
    </row>
    <row r="30" spans="4:66" ht="15.75">
      <c r="D30" s="182">
        <v>1.1200000000000001</v>
      </c>
      <c r="E30" s="183">
        <v>4.0500000000000001E-2</v>
      </c>
      <c r="F30" s="183">
        <v>3.236E-2</v>
      </c>
      <c r="G30" s="183">
        <v>0</v>
      </c>
      <c r="H30" s="183">
        <v>0</v>
      </c>
      <c r="I30" s="182">
        <v>1.1200000000000001</v>
      </c>
      <c r="J30" s="183">
        <v>3.5060000000000001E-2</v>
      </c>
      <c r="K30" s="183">
        <v>2.2379999999999997E-2</v>
      </c>
      <c r="L30" s="183">
        <v>8.8919999999999999E-2</v>
      </c>
      <c r="M30" s="183">
        <v>0</v>
      </c>
      <c r="N30" s="182">
        <v>1.1200000000000001</v>
      </c>
      <c r="O30" s="183">
        <v>3.2060000000000005E-2</v>
      </c>
      <c r="P30" s="183">
        <v>3.0859999999999999E-2</v>
      </c>
      <c r="Q30" s="183">
        <v>0</v>
      </c>
      <c r="R30" s="183">
        <v>8.5779999999999995E-2</v>
      </c>
      <c r="S30" s="182">
        <v>1.1200000000000001</v>
      </c>
      <c r="T30" s="183">
        <v>2.6519999999999998E-2</v>
      </c>
      <c r="U30" s="183">
        <v>1.3999999999999999E-2</v>
      </c>
      <c r="V30" s="183">
        <v>6.6019999999999995E-2</v>
      </c>
      <c r="W30" s="183">
        <v>0</v>
      </c>
      <c r="X30" s="182">
        <v>1.1200000000000001</v>
      </c>
      <c r="Y30" s="183">
        <v>2.2520000000000002E-2</v>
      </c>
      <c r="Z30" s="183">
        <v>2.6040000000000001E-2</v>
      </c>
      <c r="AA30" s="183">
        <v>0</v>
      </c>
      <c r="AB30" s="183">
        <v>7.0879999999999999E-2</v>
      </c>
      <c r="AC30" s="182">
        <v>1.1200000000000001</v>
      </c>
      <c r="AD30" s="183">
        <v>2.9559999999999999E-2</v>
      </c>
      <c r="AE30" s="183">
        <v>2.3639999999999998E-2</v>
      </c>
      <c r="AF30" s="183">
        <v>6.8140000000000006E-2</v>
      </c>
      <c r="AG30" s="183">
        <v>5.4359999999999999E-2</v>
      </c>
      <c r="AH30" s="182">
        <v>1.1200000000000001</v>
      </c>
      <c r="AI30" s="183">
        <v>2.3480000000000001E-2</v>
      </c>
      <c r="AJ30" s="183">
        <v>1.6299999999999995E-2</v>
      </c>
      <c r="AK30" s="183">
        <v>5.6460000000000003E-2</v>
      </c>
      <c r="AL30" s="183">
        <v>3.3759999999999998E-2</v>
      </c>
      <c r="AM30" s="182">
        <v>1.1200000000000001</v>
      </c>
      <c r="AN30" s="183">
        <v>2.3080000000000003E-2</v>
      </c>
      <c r="AO30" s="183">
        <v>2.0959999999999999E-2</v>
      </c>
      <c r="AP30" s="183">
        <v>4.9140000000000003E-2</v>
      </c>
      <c r="AQ30" s="183">
        <v>5.2239999999999995E-2</v>
      </c>
      <c r="AR30" s="182">
        <v>1.1200000000000001</v>
      </c>
      <c r="AS30" s="183">
        <v>1.9640000000000001E-2</v>
      </c>
      <c r="AT30" s="183">
        <v>1.5659999999999997E-2</v>
      </c>
      <c r="AU30" s="183">
        <v>4.5440000000000001E-2</v>
      </c>
      <c r="AV30" s="183">
        <v>3.6279999999999993E-2</v>
      </c>
      <c r="AW30" s="182">
        <v>1.1200000000000001</v>
      </c>
      <c r="AX30" s="183">
        <v>1.0200000000000001E-2</v>
      </c>
      <c r="AY30" s="183">
        <v>4.9739999999999999E-2</v>
      </c>
      <c r="AZ30" s="183">
        <v>5.8640000000000005E-2</v>
      </c>
      <c r="BA30" s="183">
        <v>9.4399999999999998E-2</v>
      </c>
      <c r="BB30" s="182">
        <v>1.1200000000000001</v>
      </c>
      <c r="BC30" s="183">
        <v>4.1459999999999997E-2</v>
      </c>
      <c r="BD30" s="183">
        <v>9.2599999999999991E-3</v>
      </c>
      <c r="BE30" s="183">
        <v>7.640000000000001E-2</v>
      </c>
      <c r="BF30" s="183">
        <v>4.2633999999999991E-2</v>
      </c>
      <c r="BG30" s="169"/>
      <c r="BH30" s="169"/>
      <c r="BI30" s="169"/>
      <c r="BJ30" s="169"/>
      <c r="BK30" s="169"/>
      <c r="BL30" s="169"/>
      <c r="BM30" s="169"/>
      <c r="BN30" s="169"/>
    </row>
    <row r="31" spans="4:66" ht="15.75">
      <c r="D31" s="182">
        <v>1.1299999999999999</v>
      </c>
      <c r="E31" s="183">
        <v>4.0799999999999996E-2</v>
      </c>
      <c r="F31" s="183">
        <v>3.2039999999999999E-2</v>
      </c>
      <c r="G31" s="183">
        <v>0</v>
      </c>
      <c r="H31" s="183">
        <v>0</v>
      </c>
      <c r="I31" s="182">
        <v>1.1299999999999999</v>
      </c>
      <c r="J31" s="183">
        <v>3.5139999999999998E-2</v>
      </c>
      <c r="K31" s="183">
        <v>2.2020000000000001E-2</v>
      </c>
      <c r="L31" s="183">
        <v>8.8779999999999998E-2</v>
      </c>
      <c r="M31" s="183">
        <v>0</v>
      </c>
      <c r="N31" s="182">
        <v>1.1299999999999999</v>
      </c>
      <c r="O31" s="183">
        <v>3.2439999999999997E-2</v>
      </c>
      <c r="P31" s="183">
        <v>3.0640000000000004E-2</v>
      </c>
      <c r="Q31" s="183">
        <v>0</v>
      </c>
      <c r="R31" s="183">
        <v>8.5320000000000007E-2</v>
      </c>
      <c r="S31" s="182">
        <v>1.1299999999999999</v>
      </c>
      <c r="T31" s="183">
        <v>2.648E-2</v>
      </c>
      <c r="U31" s="183">
        <v>1.3700000000000004E-2</v>
      </c>
      <c r="V31" s="183">
        <v>6.5680000000000002E-2</v>
      </c>
      <c r="W31" s="183">
        <v>0</v>
      </c>
      <c r="X31" s="182">
        <v>1.1299999999999999</v>
      </c>
      <c r="Y31" s="183">
        <v>2.2879999999999998E-2</v>
      </c>
      <c r="Z31" s="183">
        <v>2.596E-2</v>
      </c>
      <c r="AA31" s="183">
        <v>0</v>
      </c>
      <c r="AB31" s="183">
        <v>7.0919999999999997E-2</v>
      </c>
      <c r="AC31" s="182">
        <v>1.1299999999999999</v>
      </c>
      <c r="AD31" s="183">
        <v>2.9739999999999999E-2</v>
      </c>
      <c r="AE31" s="183">
        <v>2.3360000000000002E-2</v>
      </c>
      <c r="AF31" s="183">
        <v>6.8459999999999993E-2</v>
      </c>
      <c r="AG31" s="183">
        <v>5.3640000000000007E-2</v>
      </c>
      <c r="AH31" s="182">
        <v>1.1299999999999999</v>
      </c>
      <c r="AI31" s="183">
        <v>2.3519999999999999E-2</v>
      </c>
      <c r="AJ31" s="183">
        <v>1.6000000000000004E-2</v>
      </c>
      <c r="AK31" s="183">
        <v>5.6439999999999997E-2</v>
      </c>
      <c r="AL31" s="183">
        <v>3.3140000000000003E-2</v>
      </c>
      <c r="AM31" s="182">
        <v>1.1299999999999999</v>
      </c>
      <c r="AN31" s="183">
        <v>2.3319999999999997E-2</v>
      </c>
      <c r="AO31" s="183">
        <v>2.0840000000000001E-2</v>
      </c>
      <c r="AP31" s="183">
        <v>4.9659999999999996E-2</v>
      </c>
      <c r="AQ31" s="183">
        <v>5.1860000000000003E-2</v>
      </c>
      <c r="AR31" s="182">
        <v>1.1299999999999999</v>
      </c>
      <c r="AS31" s="183">
        <v>1.976E-2</v>
      </c>
      <c r="AT31" s="183">
        <v>1.5440000000000002E-2</v>
      </c>
      <c r="AU31" s="183">
        <v>4.5659999999999999E-2</v>
      </c>
      <c r="AV31" s="183">
        <v>3.5820000000000005E-2</v>
      </c>
      <c r="AW31" s="182">
        <v>1.1299999999999999</v>
      </c>
      <c r="AX31" s="183">
        <v>1.0200000000000001E-2</v>
      </c>
      <c r="AY31" s="183">
        <v>5.0009999999999999E-2</v>
      </c>
      <c r="AZ31" s="183">
        <v>5.9259999999999993E-2</v>
      </c>
      <c r="BA31" s="183">
        <v>9.509999999999999E-2</v>
      </c>
      <c r="BB31" s="182">
        <v>1.1299999999999999</v>
      </c>
      <c r="BC31" s="183">
        <v>4.1140000000000003E-2</v>
      </c>
      <c r="BD31" s="183">
        <v>9.190000000000002E-3</v>
      </c>
      <c r="BE31" s="183">
        <v>7.5750000000000012E-2</v>
      </c>
      <c r="BF31" s="183">
        <v>4.1551000000000018E-2</v>
      </c>
      <c r="BG31" s="169"/>
      <c r="BH31" s="169"/>
      <c r="BI31" s="169"/>
      <c r="BJ31" s="169"/>
      <c r="BK31" s="169"/>
      <c r="BL31" s="169"/>
      <c r="BM31" s="169"/>
      <c r="BN31" s="169"/>
    </row>
    <row r="32" spans="4:66" ht="15.75">
      <c r="D32" s="182">
        <v>1.1399999999999999</v>
      </c>
      <c r="E32" s="183">
        <v>4.1099999999999998E-2</v>
      </c>
      <c r="F32" s="183">
        <v>3.1719999999999998E-2</v>
      </c>
      <c r="G32" s="183">
        <v>0</v>
      </c>
      <c r="H32" s="183">
        <v>0</v>
      </c>
      <c r="I32" s="182">
        <v>1.1399999999999999</v>
      </c>
      <c r="J32" s="183">
        <v>3.5220000000000001E-2</v>
      </c>
      <c r="K32" s="183">
        <v>2.1660000000000002E-2</v>
      </c>
      <c r="L32" s="183">
        <v>8.8639999999999997E-2</v>
      </c>
      <c r="M32" s="183">
        <v>0</v>
      </c>
      <c r="N32" s="182">
        <v>1.1399999999999999</v>
      </c>
      <c r="O32" s="183">
        <v>3.2820000000000002E-2</v>
      </c>
      <c r="P32" s="183">
        <v>3.0420000000000003E-2</v>
      </c>
      <c r="Q32" s="183">
        <v>0</v>
      </c>
      <c r="R32" s="183">
        <v>8.4860000000000005E-2</v>
      </c>
      <c r="S32" s="182">
        <v>1.1399999999999999</v>
      </c>
      <c r="T32" s="183">
        <v>2.6439999999999998E-2</v>
      </c>
      <c r="U32" s="183">
        <v>1.3400000000000002E-2</v>
      </c>
      <c r="V32" s="183">
        <v>6.5340000000000009E-2</v>
      </c>
      <c r="W32" s="183">
        <v>0</v>
      </c>
      <c r="X32" s="182">
        <v>1.1399999999999999</v>
      </c>
      <c r="Y32" s="183">
        <v>2.3239999999999997E-2</v>
      </c>
      <c r="Z32" s="183">
        <v>2.588E-2</v>
      </c>
      <c r="AA32" s="183">
        <v>0</v>
      </c>
      <c r="AB32" s="183">
        <v>7.0959999999999995E-2</v>
      </c>
      <c r="AC32" s="182">
        <v>1.1399999999999999</v>
      </c>
      <c r="AD32" s="183">
        <v>2.9919999999999999E-2</v>
      </c>
      <c r="AE32" s="183">
        <v>2.3080000000000003E-2</v>
      </c>
      <c r="AF32" s="183">
        <v>6.8779999999999994E-2</v>
      </c>
      <c r="AG32" s="183">
        <v>5.2920000000000009E-2</v>
      </c>
      <c r="AH32" s="182">
        <v>1.1399999999999999</v>
      </c>
      <c r="AI32" s="183">
        <v>2.3560000000000001E-2</v>
      </c>
      <c r="AJ32" s="183">
        <v>1.5700000000000002E-2</v>
      </c>
      <c r="AK32" s="183">
        <v>5.6419999999999998E-2</v>
      </c>
      <c r="AL32" s="183">
        <v>3.252E-2</v>
      </c>
      <c r="AM32" s="182">
        <v>1.1399999999999999</v>
      </c>
      <c r="AN32" s="183">
        <v>2.3560000000000001E-2</v>
      </c>
      <c r="AO32" s="183">
        <v>2.0720000000000002E-2</v>
      </c>
      <c r="AP32" s="183">
        <v>5.0180000000000002E-2</v>
      </c>
      <c r="AQ32" s="183">
        <v>5.1479999999999998E-2</v>
      </c>
      <c r="AR32" s="182">
        <v>1.1399999999999999</v>
      </c>
      <c r="AS32" s="183">
        <v>1.9879999999999998E-2</v>
      </c>
      <c r="AT32" s="183">
        <v>1.5220000000000001E-2</v>
      </c>
      <c r="AU32" s="183">
        <v>4.5879999999999997E-2</v>
      </c>
      <c r="AV32" s="183">
        <v>3.5360000000000003E-2</v>
      </c>
      <c r="AW32" s="182">
        <v>1.1399999999999999</v>
      </c>
      <c r="AX32" s="183">
        <v>1.0200000000000001E-2</v>
      </c>
      <c r="AY32" s="183">
        <v>5.0279999999999998E-2</v>
      </c>
      <c r="AZ32" s="183">
        <v>5.9879999999999996E-2</v>
      </c>
      <c r="BA32" s="183">
        <v>9.5799999999999982E-2</v>
      </c>
      <c r="BB32" s="182">
        <v>1.1399999999999999</v>
      </c>
      <c r="BC32" s="183">
        <v>4.0820000000000002E-2</v>
      </c>
      <c r="BD32" s="183">
        <v>9.1200000000000014E-3</v>
      </c>
      <c r="BE32" s="183">
        <v>7.5100000000000014E-2</v>
      </c>
      <c r="BF32" s="183">
        <v>4.0468000000000011E-2</v>
      </c>
      <c r="BG32" s="169"/>
      <c r="BH32" s="169"/>
      <c r="BI32" s="169"/>
      <c r="BJ32" s="169"/>
      <c r="BK32" s="169"/>
      <c r="BL32" s="169"/>
      <c r="BM32" s="169"/>
      <c r="BN32" s="169"/>
    </row>
    <row r="33" spans="4:58" ht="15.75">
      <c r="D33" s="180">
        <v>1.1499999999999999</v>
      </c>
      <c r="E33" s="181">
        <v>4.1399999999999999E-2</v>
      </c>
      <c r="F33" s="181">
        <v>3.1399999999999997E-2</v>
      </c>
      <c r="G33" s="183">
        <v>0</v>
      </c>
      <c r="H33" s="183">
        <v>0</v>
      </c>
      <c r="I33" s="180">
        <v>1.1499999999999999</v>
      </c>
      <c r="J33" s="181">
        <v>3.5299999999999998E-2</v>
      </c>
      <c r="K33" s="181">
        <v>2.1299999999999999E-2</v>
      </c>
      <c r="L33" s="181">
        <v>8.8499999999999995E-2</v>
      </c>
      <c r="M33" s="183">
        <v>0</v>
      </c>
      <c r="N33" s="180">
        <v>1.1499999999999999</v>
      </c>
      <c r="O33" s="181">
        <v>3.32E-2</v>
      </c>
      <c r="P33" s="181">
        <v>3.0200000000000001E-2</v>
      </c>
      <c r="Q33" s="183">
        <v>0</v>
      </c>
      <c r="R33" s="181">
        <v>8.4400000000000003E-2</v>
      </c>
      <c r="S33" s="180">
        <v>1.1499999999999999</v>
      </c>
      <c r="T33" s="181">
        <v>2.64E-2</v>
      </c>
      <c r="U33" s="181">
        <v>1.3100000000000001E-2</v>
      </c>
      <c r="V33" s="181">
        <v>6.5000000000000002E-2</v>
      </c>
      <c r="W33" s="183">
        <v>0</v>
      </c>
      <c r="X33" s="180">
        <v>1.1499999999999999</v>
      </c>
      <c r="Y33" s="181">
        <v>2.3599999999999999E-2</v>
      </c>
      <c r="Z33" s="181">
        <v>2.58E-2</v>
      </c>
      <c r="AA33" s="183">
        <v>0</v>
      </c>
      <c r="AB33" s="181">
        <v>7.0999999999999994E-2</v>
      </c>
      <c r="AC33" s="180">
        <v>1.1499999999999999</v>
      </c>
      <c r="AD33" s="181">
        <v>3.0099999999999998E-2</v>
      </c>
      <c r="AE33" s="181">
        <v>2.2800000000000001E-2</v>
      </c>
      <c r="AF33" s="181">
        <v>6.9099999999999995E-2</v>
      </c>
      <c r="AG33" s="181">
        <v>5.2200000000000003E-2</v>
      </c>
      <c r="AH33" s="180">
        <v>1.1499999999999999</v>
      </c>
      <c r="AI33" s="181">
        <v>2.3599999999999999E-2</v>
      </c>
      <c r="AJ33" s="181">
        <v>1.54E-2</v>
      </c>
      <c r="AK33" s="181">
        <v>5.6399999999999999E-2</v>
      </c>
      <c r="AL33" s="181">
        <v>3.1899999999999998E-2</v>
      </c>
      <c r="AM33" s="180">
        <v>1.1499999999999999</v>
      </c>
      <c r="AN33" s="181">
        <v>2.3800000000000002E-2</v>
      </c>
      <c r="AO33" s="181">
        <v>2.06E-2</v>
      </c>
      <c r="AP33" s="181">
        <v>5.0700000000000002E-2</v>
      </c>
      <c r="AQ33" s="181">
        <v>5.11E-2</v>
      </c>
      <c r="AR33" s="180">
        <v>1.1499999999999999</v>
      </c>
      <c r="AS33" s="181">
        <v>0.02</v>
      </c>
      <c r="AT33" s="181">
        <v>1.4999999999999999E-2</v>
      </c>
      <c r="AU33" s="181">
        <v>4.6100000000000002E-2</v>
      </c>
      <c r="AV33" s="181">
        <v>3.49E-2</v>
      </c>
      <c r="AW33" s="180">
        <v>1.1499999999999999</v>
      </c>
      <c r="AX33" s="181">
        <v>1.0200000000000001E-2</v>
      </c>
      <c r="AY33" s="181">
        <v>5.0549999999999998E-2</v>
      </c>
      <c r="AZ33" s="181">
        <v>6.0499999999999998E-2</v>
      </c>
      <c r="BA33" s="181">
        <v>9.6499999999999989E-2</v>
      </c>
      <c r="BB33" s="180">
        <v>1.1499999999999999</v>
      </c>
      <c r="BC33" s="181">
        <v>4.0500000000000001E-2</v>
      </c>
      <c r="BD33" s="181">
        <v>9.0500000000000008E-3</v>
      </c>
      <c r="BE33" s="181">
        <v>7.4450000000000016E-2</v>
      </c>
      <c r="BF33" s="181">
        <v>3.938500000000001E-2</v>
      </c>
    </row>
    <row r="34" spans="4:58" ht="15.75">
      <c r="D34" s="182">
        <v>1.1599999999999999</v>
      </c>
      <c r="E34" s="183">
        <v>4.1680000000000002E-2</v>
      </c>
      <c r="F34" s="183">
        <v>3.1079999999999997E-2</v>
      </c>
      <c r="G34" s="183">
        <v>0</v>
      </c>
      <c r="H34" s="183">
        <v>0</v>
      </c>
      <c r="I34" s="182">
        <v>1.1599999999999999</v>
      </c>
      <c r="J34" s="183">
        <v>3.5380000000000002E-2</v>
      </c>
      <c r="K34" s="183">
        <v>2.0959999999999999E-2</v>
      </c>
      <c r="L34" s="183">
        <v>8.8239999999999999E-2</v>
      </c>
      <c r="M34" s="183">
        <v>0</v>
      </c>
      <c r="N34" s="182">
        <v>1.1599999999999999</v>
      </c>
      <c r="O34" s="183">
        <v>3.3520000000000001E-2</v>
      </c>
      <c r="P34" s="183">
        <v>3.0000000000000002E-2</v>
      </c>
      <c r="Q34" s="183">
        <v>0</v>
      </c>
      <c r="R34" s="183">
        <v>8.3920000000000008E-2</v>
      </c>
      <c r="S34" s="182">
        <v>1.1599999999999999</v>
      </c>
      <c r="T34" s="183">
        <v>2.6339999999999999E-2</v>
      </c>
      <c r="U34" s="183">
        <v>1.2840000000000001E-2</v>
      </c>
      <c r="V34" s="183">
        <v>6.4659999999999995E-2</v>
      </c>
      <c r="W34" s="183">
        <v>0</v>
      </c>
      <c r="X34" s="182">
        <v>1.1599999999999999</v>
      </c>
      <c r="Y34" s="183">
        <v>2.3959999999999999E-2</v>
      </c>
      <c r="Z34" s="183">
        <v>2.572E-2</v>
      </c>
      <c r="AA34" s="183">
        <v>0</v>
      </c>
      <c r="AB34" s="183">
        <v>7.0939999999999989E-2</v>
      </c>
      <c r="AC34" s="182">
        <v>1.1599999999999999</v>
      </c>
      <c r="AD34" s="183">
        <v>3.0259999999999999E-2</v>
      </c>
      <c r="AE34" s="183">
        <v>2.2520000000000002E-2</v>
      </c>
      <c r="AF34" s="183">
        <v>6.9339999999999999E-2</v>
      </c>
      <c r="AG34" s="183">
        <v>5.1520000000000003E-2</v>
      </c>
      <c r="AH34" s="182">
        <v>1.1599999999999999</v>
      </c>
      <c r="AI34" s="183">
        <v>2.3599999999999999E-2</v>
      </c>
      <c r="AJ34" s="183">
        <v>1.516E-2</v>
      </c>
      <c r="AK34" s="183">
        <v>5.6320000000000002E-2</v>
      </c>
      <c r="AL34" s="183">
        <v>3.1359999999999999E-2</v>
      </c>
      <c r="AM34" s="182">
        <v>1.1599999999999999</v>
      </c>
      <c r="AN34" s="183">
        <v>2.402E-2</v>
      </c>
      <c r="AO34" s="183">
        <v>2.044E-2</v>
      </c>
      <c r="AP34" s="183">
        <v>5.1160000000000004E-2</v>
      </c>
      <c r="AQ34" s="183">
        <v>5.0700000000000002E-2</v>
      </c>
      <c r="AR34" s="182">
        <v>1.1599999999999999</v>
      </c>
      <c r="AS34" s="183">
        <v>2.0080000000000001E-2</v>
      </c>
      <c r="AT34" s="183">
        <v>1.4839999999999999E-2</v>
      </c>
      <c r="AU34" s="183">
        <v>4.6240000000000003E-2</v>
      </c>
      <c r="AV34" s="183">
        <v>3.4419999999999999E-2</v>
      </c>
      <c r="AW34" s="182">
        <v>1.1599999999999999</v>
      </c>
      <c r="AX34" s="183">
        <v>1.0200000000000001E-2</v>
      </c>
      <c r="AY34" s="183">
        <v>5.0819999999999997E-2</v>
      </c>
      <c r="AZ34" s="183">
        <v>6.1120000000000001E-2</v>
      </c>
      <c r="BA34" s="183">
        <v>9.7199999999999995E-2</v>
      </c>
      <c r="BB34" s="182">
        <v>1.1599999999999999</v>
      </c>
      <c r="BC34" s="183">
        <v>4.018E-2</v>
      </c>
      <c r="BD34" s="183">
        <v>8.9800000000000001E-3</v>
      </c>
      <c r="BE34" s="183">
        <v>7.3800000000000018E-2</v>
      </c>
      <c r="BF34" s="183">
        <v>3.830200000000001E-2</v>
      </c>
    </row>
    <row r="35" spans="4:58" ht="15.75">
      <c r="D35" s="182">
        <v>1.17</v>
      </c>
      <c r="E35" s="183">
        <v>4.1959999999999997E-2</v>
      </c>
      <c r="F35" s="183">
        <v>3.0759999999999999E-2</v>
      </c>
      <c r="G35" s="183">
        <v>0</v>
      </c>
      <c r="H35" s="183">
        <v>0</v>
      </c>
      <c r="I35" s="182">
        <v>1.17</v>
      </c>
      <c r="J35" s="183">
        <v>3.5459999999999998E-2</v>
      </c>
      <c r="K35" s="183">
        <v>2.0619999999999999E-2</v>
      </c>
      <c r="L35" s="183">
        <v>8.7980000000000003E-2</v>
      </c>
      <c r="M35" s="183">
        <v>0</v>
      </c>
      <c r="N35" s="182">
        <v>1.17</v>
      </c>
      <c r="O35" s="183">
        <v>3.3840000000000002E-2</v>
      </c>
      <c r="P35" s="183">
        <v>2.98E-2</v>
      </c>
      <c r="Q35" s="183">
        <v>0</v>
      </c>
      <c r="R35" s="183">
        <v>8.344E-2</v>
      </c>
      <c r="S35" s="182">
        <v>1.17</v>
      </c>
      <c r="T35" s="183">
        <v>2.6280000000000001E-2</v>
      </c>
      <c r="U35" s="183">
        <v>1.2580000000000001E-2</v>
      </c>
      <c r="V35" s="183">
        <v>6.4320000000000002E-2</v>
      </c>
      <c r="W35" s="183">
        <v>0</v>
      </c>
      <c r="X35" s="182">
        <v>1.17</v>
      </c>
      <c r="Y35" s="183">
        <v>2.4319999999999998E-2</v>
      </c>
      <c r="Z35" s="183">
        <v>2.564E-2</v>
      </c>
      <c r="AA35" s="183">
        <v>0</v>
      </c>
      <c r="AB35" s="183">
        <v>7.0879999999999999E-2</v>
      </c>
      <c r="AC35" s="182">
        <v>1.17</v>
      </c>
      <c r="AD35" s="183">
        <v>3.0419999999999999E-2</v>
      </c>
      <c r="AE35" s="183">
        <v>2.2239999999999999E-2</v>
      </c>
      <c r="AF35" s="183">
        <v>6.9580000000000003E-2</v>
      </c>
      <c r="AG35" s="183">
        <v>5.0840000000000003E-2</v>
      </c>
      <c r="AH35" s="182">
        <v>1.17</v>
      </c>
      <c r="AI35" s="183">
        <v>2.3599999999999999E-2</v>
      </c>
      <c r="AJ35" s="183">
        <v>1.4920000000000001E-2</v>
      </c>
      <c r="AK35" s="183">
        <v>5.6239999999999998E-2</v>
      </c>
      <c r="AL35" s="183">
        <v>3.082E-2</v>
      </c>
      <c r="AM35" s="182">
        <v>1.17</v>
      </c>
      <c r="AN35" s="183">
        <v>2.4240000000000001E-2</v>
      </c>
      <c r="AO35" s="183">
        <v>2.0279999999999999E-2</v>
      </c>
      <c r="AP35" s="183">
        <v>5.1619999999999999E-2</v>
      </c>
      <c r="AQ35" s="183">
        <v>5.0299999999999997E-2</v>
      </c>
      <c r="AR35" s="182">
        <v>1.17</v>
      </c>
      <c r="AS35" s="183">
        <v>2.0160000000000001E-2</v>
      </c>
      <c r="AT35" s="183">
        <v>1.468E-2</v>
      </c>
      <c r="AU35" s="183">
        <v>4.6380000000000005E-2</v>
      </c>
      <c r="AV35" s="183">
        <v>3.3939999999999998E-2</v>
      </c>
      <c r="AW35" s="182">
        <v>1.17</v>
      </c>
      <c r="AX35" s="183">
        <v>1.0200000000000001E-2</v>
      </c>
      <c r="AY35" s="183">
        <v>5.1089999999999997E-2</v>
      </c>
      <c r="AZ35" s="183">
        <v>6.1740000000000003E-2</v>
      </c>
      <c r="BA35" s="183">
        <v>9.7900000000000001E-2</v>
      </c>
      <c r="BB35" s="182">
        <v>1.17</v>
      </c>
      <c r="BC35" s="183">
        <v>3.986E-2</v>
      </c>
      <c r="BD35" s="183">
        <v>8.9099999999999995E-3</v>
      </c>
      <c r="BE35" s="183">
        <v>7.3150000000000007E-2</v>
      </c>
      <c r="BF35" s="183">
        <v>3.7219000000000009E-2</v>
      </c>
    </row>
    <row r="36" spans="4:58" ht="15.75">
      <c r="D36" s="182">
        <v>1.18</v>
      </c>
      <c r="E36" s="183">
        <v>4.224E-2</v>
      </c>
      <c r="F36" s="183">
        <v>3.0439999999999998E-2</v>
      </c>
      <c r="G36" s="183">
        <v>0</v>
      </c>
      <c r="H36" s="183">
        <v>0</v>
      </c>
      <c r="I36" s="182">
        <v>1.18</v>
      </c>
      <c r="J36" s="183">
        <v>3.5540000000000002E-2</v>
      </c>
      <c r="K36" s="183">
        <v>2.0279999999999999E-2</v>
      </c>
      <c r="L36" s="183">
        <v>8.7719999999999992E-2</v>
      </c>
      <c r="M36" s="183">
        <v>0</v>
      </c>
      <c r="N36" s="182">
        <v>1.18</v>
      </c>
      <c r="O36" s="183">
        <v>3.4159999999999996E-2</v>
      </c>
      <c r="P36" s="183">
        <v>2.9600000000000001E-2</v>
      </c>
      <c r="Q36" s="183">
        <v>0</v>
      </c>
      <c r="R36" s="183">
        <v>8.2960000000000006E-2</v>
      </c>
      <c r="S36" s="182">
        <v>1.18</v>
      </c>
      <c r="T36" s="183">
        <v>2.622E-2</v>
      </c>
      <c r="U36" s="183">
        <v>1.2319999999999999E-2</v>
      </c>
      <c r="V36" s="183">
        <v>6.3979999999999995E-2</v>
      </c>
      <c r="W36" s="183">
        <v>0</v>
      </c>
      <c r="X36" s="182">
        <v>1.18</v>
      </c>
      <c r="Y36" s="183">
        <v>2.4680000000000001E-2</v>
      </c>
      <c r="Z36" s="183">
        <v>2.5559999999999999E-2</v>
      </c>
      <c r="AA36" s="183">
        <v>0</v>
      </c>
      <c r="AB36" s="183">
        <v>7.0819999999999994E-2</v>
      </c>
      <c r="AC36" s="182">
        <v>1.18</v>
      </c>
      <c r="AD36" s="183">
        <v>3.058E-2</v>
      </c>
      <c r="AE36" s="183">
        <v>2.196E-2</v>
      </c>
      <c r="AF36" s="183">
        <v>6.9819999999999993E-2</v>
      </c>
      <c r="AG36" s="183">
        <v>5.0160000000000003E-2</v>
      </c>
      <c r="AH36" s="182">
        <v>1.18</v>
      </c>
      <c r="AI36" s="183">
        <v>2.3599999999999999E-2</v>
      </c>
      <c r="AJ36" s="183">
        <v>1.468E-2</v>
      </c>
      <c r="AK36" s="183">
        <v>5.6160000000000002E-2</v>
      </c>
      <c r="AL36" s="183">
        <v>3.0279999999999998E-2</v>
      </c>
      <c r="AM36" s="182">
        <v>1.18</v>
      </c>
      <c r="AN36" s="183">
        <v>2.4459999999999999E-2</v>
      </c>
      <c r="AO36" s="183">
        <v>2.0120000000000002E-2</v>
      </c>
      <c r="AP36" s="183">
        <v>5.2080000000000001E-2</v>
      </c>
      <c r="AQ36" s="183">
        <v>4.99E-2</v>
      </c>
      <c r="AR36" s="182">
        <v>1.18</v>
      </c>
      <c r="AS36" s="183">
        <v>2.0240000000000001E-2</v>
      </c>
      <c r="AT36" s="183">
        <v>1.452E-2</v>
      </c>
      <c r="AU36" s="183">
        <v>4.6519999999999999E-2</v>
      </c>
      <c r="AV36" s="183">
        <v>3.3460000000000004E-2</v>
      </c>
      <c r="AW36" s="182">
        <v>1.18</v>
      </c>
      <c r="AX36" s="183">
        <v>1.0200000000000001E-2</v>
      </c>
      <c r="AY36" s="183">
        <v>5.1360000000000003E-2</v>
      </c>
      <c r="AZ36" s="183">
        <v>6.2359999999999999E-2</v>
      </c>
      <c r="BA36" s="183">
        <v>9.8599999999999993E-2</v>
      </c>
      <c r="BB36" s="182">
        <v>1.18</v>
      </c>
      <c r="BC36" s="183">
        <v>3.9539999999999999E-2</v>
      </c>
      <c r="BD36" s="183">
        <v>8.8400000000000006E-3</v>
      </c>
      <c r="BE36" s="183">
        <v>7.2500000000000009E-2</v>
      </c>
      <c r="BF36" s="183">
        <v>3.6136000000000001E-2</v>
      </c>
    </row>
    <row r="37" spans="4:58" ht="15.75">
      <c r="D37" s="182">
        <v>1.19</v>
      </c>
      <c r="E37" s="183">
        <v>4.2519999999999995E-2</v>
      </c>
      <c r="F37" s="183">
        <v>3.0120000000000001E-2</v>
      </c>
      <c r="G37" s="183">
        <v>0</v>
      </c>
      <c r="H37" s="183">
        <v>0</v>
      </c>
      <c r="I37" s="182">
        <v>1.19</v>
      </c>
      <c r="J37" s="183">
        <v>3.5619999999999999E-2</v>
      </c>
      <c r="K37" s="183">
        <v>1.9939999999999999E-2</v>
      </c>
      <c r="L37" s="183">
        <v>8.7459999999999996E-2</v>
      </c>
      <c r="M37" s="183">
        <v>0</v>
      </c>
      <c r="N37" s="182">
        <v>1.19</v>
      </c>
      <c r="O37" s="183">
        <v>3.4479999999999997E-2</v>
      </c>
      <c r="P37" s="183">
        <v>2.9399999999999999E-2</v>
      </c>
      <c r="Q37" s="183">
        <v>0</v>
      </c>
      <c r="R37" s="183">
        <v>8.2479999999999998E-2</v>
      </c>
      <c r="S37" s="182">
        <v>1.19</v>
      </c>
      <c r="T37" s="183">
        <v>2.6160000000000003E-2</v>
      </c>
      <c r="U37" s="183">
        <v>1.206E-2</v>
      </c>
      <c r="V37" s="183">
        <v>6.3640000000000002E-2</v>
      </c>
      <c r="W37" s="183">
        <v>0</v>
      </c>
      <c r="X37" s="182">
        <v>1.19</v>
      </c>
      <c r="Y37" s="183">
        <v>2.504E-2</v>
      </c>
      <c r="Z37" s="183">
        <v>2.5479999999999999E-2</v>
      </c>
      <c r="AA37" s="183">
        <v>0</v>
      </c>
      <c r="AB37" s="183">
        <v>7.0760000000000003E-2</v>
      </c>
      <c r="AC37" s="182">
        <v>1.19</v>
      </c>
      <c r="AD37" s="183">
        <v>3.074E-2</v>
      </c>
      <c r="AE37" s="183">
        <v>2.1679999999999998E-2</v>
      </c>
      <c r="AF37" s="183">
        <v>7.0059999999999997E-2</v>
      </c>
      <c r="AG37" s="183">
        <v>4.9480000000000003E-2</v>
      </c>
      <c r="AH37" s="182">
        <v>1.19</v>
      </c>
      <c r="AI37" s="183">
        <v>2.3599999999999999E-2</v>
      </c>
      <c r="AJ37" s="183">
        <v>1.4440000000000001E-2</v>
      </c>
      <c r="AK37" s="183">
        <v>5.6079999999999998E-2</v>
      </c>
      <c r="AL37" s="183">
        <v>2.9739999999999999E-2</v>
      </c>
      <c r="AM37" s="182">
        <v>1.19</v>
      </c>
      <c r="AN37" s="183">
        <v>2.4680000000000001E-2</v>
      </c>
      <c r="AO37" s="183">
        <v>1.9960000000000002E-2</v>
      </c>
      <c r="AP37" s="183">
        <v>5.2539999999999996E-2</v>
      </c>
      <c r="AQ37" s="183">
        <v>4.9499999999999995E-2</v>
      </c>
      <c r="AR37" s="182">
        <v>1.19</v>
      </c>
      <c r="AS37" s="183">
        <v>2.0320000000000001E-2</v>
      </c>
      <c r="AT37" s="183">
        <v>1.4360000000000001E-2</v>
      </c>
      <c r="AU37" s="183">
        <v>4.666E-2</v>
      </c>
      <c r="AV37" s="183">
        <v>3.2980000000000002E-2</v>
      </c>
      <c r="AW37" s="182">
        <v>1.19</v>
      </c>
      <c r="AX37" s="183">
        <v>1.0200000000000001E-2</v>
      </c>
      <c r="AY37" s="183">
        <v>5.1630000000000002E-2</v>
      </c>
      <c r="AZ37" s="183">
        <v>6.2980000000000008E-2</v>
      </c>
      <c r="BA37" s="183">
        <v>9.9299999999999999E-2</v>
      </c>
      <c r="BB37" s="182">
        <v>1.19</v>
      </c>
      <c r="BC37" s="183">
        <v>3.9219999999999998E-2</v>
      </c>
      <c r="BD37" s="183">
        <v>8.77E-3</v>
      </c>
      <c r="BE37" s="183">
        <v>7.1849999999999997E-2</v>
      </c>
      <c r="BF37" s="183">
        <v>3.5053000000000001E-2</v>
      </c>
    </row>
    <row r="38" spans="4:58" ht="15.75">
      <c r="D38" s="180">
        <v>1.2</v>
      </c>
      <c r="E38" s="181">
        <v>4.2799999999999998E-2</v>
      </c>
      <c r="F38" s="181">
        <v>2.98E-2</v>
      </c>
      <c r="G38" s="183">
        <v>0</v>
      </c>
      <c r="H38" s="183">
        <v>0</v>
      </c>
      <c r="I38" s="180">
        <v>1.2</v>
      </c>
      <c r="J38" s="181">
        <v>3.5700000000000003E-2</v>
      </c>
      <c r="K38" s="181">
        <v>1.9599999999999999E-2</v>
      </c>
      <c r="L38" s="181">
        <v>8.72E-2</v>
      </c>
      <c r="M38" s="183">
        <v>0</v>
      </c>
      <c r="N38" s="180">
        <v>1.2</v>
      </c>
      <c r="O38" s="181">
        <v>3.4799999999999998E-2</v>
      </c>
      <c r="P38" s="181">
        <v>2.92E-2</v>
      </c>
      <c r="Q38" s="183">
        <v>0</v>
      </c>
      <c r="R38" s="181">
        <v>8.2000000000000003E-2</v>
      </c>
      <c r="S38" s="180">
        <v>1.2</v>
      </c>
      <c r="T38" s="181">
        <v>2.6100000000000002E-2</v>
      </c>
      <c r="U38" s="181">
        <v>1.18E-2</v>
      </c>
      <c r="V38" s="181">
        <v>6.3299999999999995E-2</v>
      </c>
      <c r="W38" s="183">
        <v>0</v>
      </c>
      <c r="X38" s="180">
        <v>1.2</v>
      </c>
      <c r="Y38" s="181">
        <v>2.5399999999999999E-2</v>
      </c>
      <c r="Z38" s="181">
        <v>2.5399999999999999E-2</v>
      </c>
      <c r="AA38" s="183">
        <v>0</v>
      </c>
      <c r="AB38" s="181">
        <v>7.0699999999999999E-2</v>
      </c>
      <c r="AC38" s="180">
        <v>1.2</v>
      </c>
      <c r="AD38" s="181">
        <v>3.09E-2</v>
      </c>
      <c r="AE38" s="181">
        <v>2.1399999999999999E-2</v>
      </c>
      <c r="AF38" s="181">
        <v>7.0300000000000001E-2</v>
      </c>
      <c r="AG38" s="181">
        <v>4.8800000000000003E-2</v>
      </c>
      <c r="AH38" s="180">
        <v>1.2</v>
      </c>
      <c r="AI38" s="181">
        <v>2.3599999999999999E-2</v>
      </c>
      <c r="AJ38" s="181">
        <v>1.4200000000000001E-2</v>
      </c>
      <c r="AK38" s="181">
        <v>5.6000000000000001E-2</v>
      </c>
      <c r="AL38" s="181">
        <v>2.92E-2</v>
      </c>
      <c r="AM38" s="180">
        <v>1.2</v>
      </c>
      <c r="AN38" s="181">
        <v>2.4899999999999999E-2</v>
      </c>
      <c r="AO38" s="181">
        <v>1.9800000000000002E-2</v>
      </c>
      <c r="AP38" s="181">
        <v>5.2999999999999999E-2</v>
      </c>
      <c r="AQ38" s="181">
        <v>4.9099999999999998E-2</v>
      </c>
      <c r="AR38" s="180">
        <v>1.2</v>
      </c>
      <c r="AS38" s="181">
        <v>2.0400000000000001E-2</v>
      </c>
      <c r="AT38" s="181">
        <v>1.4200000000000001E-2</v>
      </c>
      <c r="AU38" s="181">
        <v>4.6800000000000001E-2</v>
      </c>
      <c r="AV38" s="181">
        <v>3.2500000000000001E-2</v>
      </c>
      <c r="AW38" s="180">
        <v>1.2</v>
      </c>
      <c r="AX38" s="181">
        <v>1.0200000000000001E-2</v>
      </c>
      <c r="AY38" s="181">
        <v>5.1900000000000002E-2</v>
      </c>
      <c r="AZ38" s="181">
        <v>6.3600000000000004E-2</v>
      </c>
      <c r="BA38" s="181">
        <v>0.1</v>
      </c>
      <c r="BB38" s="180">
        <v>1.2</v>
      </c>
      <c r="BC38" s="181">
        <v>3.8899999999999997E-2</v>
      </c>
      <c r="BD38" s="181">
        <v>8.6999999999999994E-3</v>
      </c>
      <c r="BE38" s="181">
        <v>7.1199999999999999E-2</v>
      </c>
      <c r="BF38" s="181">
        <v>3.397E-2</v>
      </c>
    </row>
    <row r="39" spans="4:58" ht="15.75">
      <c r="D39" s="182">
        <v>1.21</v>
      </c>
      <c r="E39" s="183">
        <v>4.3039999999999995E-2</v>
      </c>
      <c r="F39" s="183">
        <v>2.9479999999999999E-2</v>
      </c>
      <c r="G39" s="183">
        <v>0</v>
      </c>
      <c r="H39" s="183">
        <v>0</v>
      </c>
      <c r="I39" s="182">
        <v>1.21</v>
      </c>
      <c r="J39" s="183">
        <v>3.5740000000000001E-2</v>
      </c>
      <c r="K39" s="183">
        <v>1.9259999999999999E-2</v>
      </c>
      <c r="L39" s="183">
        <v>8.6940000000000003E-2</v>
      </c>
      <c r="M39" s="183">
        <v>0</v>
      </c>
      <c r="N39" s="182">
        <v>1.21</v>
      </c>
      <c r="O39" s="183">
        <v>3.5099999999999999E-2</v>
      </c>
      <c r="P39" s="183">
        <v>2.896E-2</v>
      </c>
      <c r="Q39" s="183">
        <v>0</v>
      </c>
      <c r="R39" s="183">
        <v>8.1420000000000006E-2</v>
      </c>
      <c r="S39" s="182">
        <v>1.21</v>
      </c>
      <c r="T39" s="183">
        <v>2.6020000000000001E-2</v>
      </c>
      <c r="U39" s="183">
        <v>1.1559999999999999E-2</v>
      </c>
      <c r="V39" s="183">
        <v>6.2960000000000002E-2</v>
      </c>
      <c r="W39" s="183">
        <v>0</v>
      </c>
      <c r="X39" s="182">
        <v>1.21</v>
      </c>
      <c r="Y39" s="183">
        <v>2.5739999999999999E-2</v>
      </c>
      <c r="Z39" s="183">
        <v>2.528E-2</v>
      </c>
      <c r="AA39" s="183">
        <v>0</v>
      </c>
      <c r="AB39" s="183">
        <v>7.0559999999999998E-2</v>
      </c>
      <c r="AC39" s="182">
        <v>1.21</v>
      </c>
      <c r="AD39" s="183">
        <v>3.1E-2</v>
      </c>
      <c r="AE39" s="183">
        <v>2.1159999999999998E-2</v>
      </c>
      <c r="AF39" s="183">
        <v>7.0440000000000003E-2</v>
      </c>
      <c r="AG39" s="183">
        <v>4.8120000000000003E-2</v>
      </c>
      <c r="AH39" s="182">
        <v>1.21</v>
      </c>
      <c r="AI39" s="183">
        <v>2.3599999999999999E-2</v>
      </c>
      <c r="AJ39" s="183">
        <v>1.4E-2</v>
      </c>
      <c r="AK39" s="183">
        <v>5.5840000000000001E-2</v>
      </c>
      <c r="AL39" s="183">
        <v>2.87E-2</v>
      </c>
      <c r="AM39" s="182">
        <v>1.21</v>
      </c>
      <c r="AN39" s="183">
        <v>2.5079999999999998E-2</v>
      </c>
      <c r="AO39" s="183">
        <v>1.9620000000000002E-2</v>
      </c>
      <c r="AP39" s="183">
        <v>5.3379999999999997E-2</v>
      </c>
      <c r="AQ39" s="183">
        <v>4.8680000000000001E-2</v>
      </c>
      <c r="AR39" s="182">
        <v>1.21</v>
      </c>
      <c r="AS39" s="183">
        <v>2.0460000000000002E-2</v>
      </c>
      <c r="AT39" s="183">
        <v>1.4020000000000001E-2</v>
      </c>
      <c r="AU39" s="183">
        <v>4.6900000000000004E-2</v>
      </c>
      <c r="AV39" s="183">
        <v>3.2059999999999998E-2</v>
      </c>
      <c r="AW39" s="182">
        <v>1.21</v>
      </c>
      <c r="AX39" s="183">
        <v>1.0180000000000002E-2</v>
      </c>
      <c r="AY39" s="183">
        <v>5.2110000000000004E-2</v>
      </c>
      <c r="AZ39" s="183">
        <v>6.4240000000000005E-2</v>
      </c>
      <c r="BA39" s="183">
        <v>0.10062</v>
      </c>
      <c r="BB39" s="182">
        <v>1.21</v>
      </c>
      <c r="BC39" s="183">
        <v>3.8629999999999998E-2</v>
      </c>
      <c r="BD39" s="183">
        <v>8.6199999999999992E-3</v>
      </c>
      <c r="BE39" s="183">
        <v>7.0660000000000001E-2</v>
      </c>
      <c r="BF39" s="183">
        <v>3.4112999999999997E-2</v>
      </c>
    </row>
    <row r="40" spans="4:58" ht="15.75">
      <c r="D40" s="182">
        <v>1.22</v>
      </c>
      <c r="E40" s="183">
        <v>4.3279999999999999E-2</v>
      </c>
      <c r="F40" s="183">
        <v>2.9159999999999998E-2</v>
      </c>
      <c r="G40" s="183">
        <v>0</v>
      </c>
      <c r="H40" s="183">
        <v>0</v>
      </c>
      <c r="I40" s="182">
        <v>1.22</v>
      </c>
      <c r="J40" s="183">
        <v>3.5779999999999999E-2</v>
      </c>
      <c r="K40" s="183">
        <v>1.8919999999999999E-2</v>
      </c>
      <c r="L40" s="183">
        <v>8.6680000000000007E-2</v>
      </c>
      <c r="M40" s="183">
        <v>0</v>
      </c>
      <c r="N40" s="182">
        <v>1.22</v>
      </c>
      <c r="O40" s="183">
        <v>3.5400000000000001E-2</v>
      </c>
      <c r="P40" s="183">
        <v>2.8719999999999999E-2</v>
      </c>
      <c r="Q40" s="183">
        <v>0</v>
      </c>
      <c r="R40" s="183">
        <v>8.0840000000000009E-2</v>
      </c>
      <c r="S40" s="182">
        <v>1.22</v>
      </c>
      <c r="T40" s="183">
        <v>2.5940000000000001E-2</v>
      </c>
      <c r="U40" s="183">
        <v>1.132E-2</v>
      </c>
      <c r="V40" s="183">
        <v>6.2619999999999995E-2</v>
      </c>
      <c r="W40" s="183">
        <v>0</v>
      </c>
      <c r="X40" s="182">
        <v>1.22</v>
      </c>
      <c r="Y40" s="183">
        <v>2.6079999999999999E-2</v>
      </c>
      <c r="Z40" s="183">
        <v>2.5159999999999998E-2</v>
      </c>
      <c r="AA40" s="183">
        <v>0</v>
      </c>
      <c r="AB40" s="183">
        <v>7.0419999999999996E-2</v>
      </c>
      <c r="AC40" s="182">
        <v>1.22</v>
      </c>
      <c r="AD40" s="183">
        <v>3.1099999999999999E-2</v>
      </c>
      <c r="AE40" s="183">
        <v>2.0919999999999998E-2</v>
      </c>
      <c r="AF40" s="183">
        <v>7.0580000000000004E-2</v>
      </c>
      <c r="AG40" s="183">
        <v>4.7440000000000003E-2</v>
      </c>
      <c r="AH40" s="182">
        <v>1.22</v>
      </c>
      <c r="AI40" s="183">
        <v>2.3599999999999999E-2</v>
      </c>
      <c r="AJ40" s="183">
        <v>1.38E-2</v>
      </c>
      <c r="AK40" s="183">
        <v>5.568E-2</v>
      </c>
      <c r="AL40" s="183">
        <v>2.8199999999999999E-2</v>
      </c>
      <c r="AM40" s="182">
        <v>1.22</v>
      </c>
      <c r="AN40" s="183">
        <v>2.5259999999999998E-2</v>
      </c>
      <c r="AO40" s="183">
        <v>1.9440000000000002E-2</v>
      </c>
      <c r="AP40" s="183">
        <v>5.3759999999999995E-2</v>
      </c>
      <c r="AQ40" s="183">
        <v>4.8259999999999997E-2</v>
      </c>
      <c r="AR40" s="182">
        <v>1.22</v>
      </c>
      <c r="AS40" s="183">
        <v>2.052E-2</v>
      </c>
      <c r="AT40" s="183">
        <v>1.384E-2</v>
      </c>
      <c r="AU40" s="183">
        <v>4.7E-2</v>
      </c>
      <c r="AV40" s="183">
        <v>3.1620000000000002E-2</v>
      </c>
      <c r="AW40" s="182">
        <v>1.22</v>
      </c>
      <c r="AX40" s="183">
        <v>1.0160000000000001E-2</v>
      </c>
      <c r="AY40" s="183">
        <v>5.2319999999999998E-2</v>
      </c>
      <c r="AZ40" s="183">
        <v>6.4880000000000007E-2</v>
      </c>
      <c r="BA40" s="183">
        <v>0.10124</v>
      </c>
      <c r="BB40" s="182">
        <v>1.22</v>
      </c>
      <c r="BC40" s="183">
        <v>3.8359999999999998E-2</v>
      </c>
      <c r="BD40" s="183">
        <v>8.539999999999999E-3</v>
      </c>
      <c r="BE40" s="183">
        <v>7.0120000000000002E-2</v>
      </c>
      <c r="BF40" s="183">
        <v>3.4256000000000002E-2</v>
      </c>
    </row>
    <row r="41" spans="4:58" ht="15.75">
      <c r="D41" s="182">
        <v>1.23</v>
      </c>
      <c r="E41" s="183">
        <v>4.3519999999999996E-2</v>
      </c>
      <c r="F41" s="183">
        <v>2.8840000000000001E-2</v>
      </c>
      <c r="G41" s="183">
        <v>0</v>
      </c>
      <c r="H41" s="183">
        <v>0</v>
      </c>
      <c r="I41" s="182">
        <v>1.23</v>
      </c>
      <c r="J41" s="183">
        <v>3.5820000000000005E-2</v>
      </c>
      <c r="K41" s="183">
        <v>1.8579999999999999E-2</v>
      </c>
      <c r="L41" s="183">
        <v>8.6419999999999997E-2</v>
      </c>
      <c r="M41" s="183">
        <v>0</v>
      </c>
      <c r="N41" s="182">
        <v>1.23</v>
      </c>
      <c r="O41" s="183">
        <v>3.5699999999999996E-2</v>
      </c>
      <c r="P41" s="183">
        <v>2.8480000000000002E-2</v>
      </c>
      <c r="Q41" s="183">
        <v>0</v>
      </c>
      <c r="R41" s="183">
        <v>8.0259999999999998E-2</v>
      </c>
      <c r="S41" s="182">
        <v>1.23</v>
      </c>
      <c r="T41" s="183">
        <v>2.5860000000000001E-2</v>
      </c>
      <c r="U41" s="183">
        <v>1.108E-2</v>
      </c>
      <c r="V41" s="183">
        <v>6.2280000000000002E-2</v>
      </c>
      <c r="W41" s="183">
        <v>0</v>
      </c>
      <c r="X41" s="182">
        <v>1.23</v>
      </c>
      <c r="Y41" s="183">
        <v>2.6419999999999999E-2</v>
      </c>
      <c r="Z41" s="183">
        <v>2.504E-2</v>
      </c>
      <c r="AA41" s="183">
        <v>0</v>
      </c>
      <c r="AB41" s="183">
        <v>7.0280000000000009E-2</v>
      </c>
      <c r="AC41" s="182">
        <v>1.23</v>
      </c>
      <c r="AD41" s="183">
        <v>3.1199999999999999E-2</v>
      </c>
      <c r="AE41" s="183">
        <v>2.068E-2</v>
      </c>
      <c r="AF41" s="183">
        <v>7.0719999999999991E-2</v>
      </c>
      <c r="AG41" s="183">
        <v>4.6760000000000003E-2</v>
      </c>
      <c r="AH41" s="182">
        <v>1.23</v>
      </c>
      <c r="AI41" s="183">
        <v>2.3599999999999999E-2</v>
      </c>
      <c r="AJ41" s="183">
        <v>1.3600000000000001E-2</v>
      </c>
      <c r="AK41" s="183">
        <v>5.552E-2</v>
      </c>
      <c r="AL41" s="183">
        <v>2.7700000000000002E-2</v>
      </c>
      <c r="AM41" s="182">
        <v>1.23</v>
      </c>
      <c r="AN41" s="183">
        <v>2.5440000000000001E-2</v>
      </c>
      <c r="AO41" s="183">
        <v>1.9259999999999999E-2</v>
      </c>
      <c r="AP41" s="183">
        <v>5.4140000000000001E-2</v>
      </c>
      <c r="AQ41" s="183">
        <v>4.7840000000000001E-2</v>
      </c>
      <c r="AR41" s="182">
        <v>1.23</v>
      </c>
      <c r="AS41" s="183">
        <v>2.0580000000000001E-2</v>
      </c>
      <c r="AT41" s="183">
        <v>1.366E-2</v>
      </c>
      <c r="AU41" s="183">
        <v>4.7100000000000003E-2</v>
      </c>
      <c r="AV41" s="183">
        <v>3.1179999999999999E-2</v>
      </c>
      <c r="AW41" s="182">
        <v>1.23</v>
      </c>
      <c r="AX41" s="183">
        <v>1.0140000000000001E-2</v>
      </c>
      <c r="AY41" s="183">
        <v>5.253E-2</v>
      </c>
      <c r="AZ41" s="183">
        <v>6.5519999999999995E-2</v>
      </c>
      <c r="BA41" s="183">
        <v>0.10186000000000001</v>
      </c>
      <c r="BB41" s="182">
        <v>1.23</v>
      </c>
      <c r="BC41" s="183">
        <v>3.8089999999999999E-2</v>
      </c>
      <c r="BD41" s="183">
        <v>8.4600000000000005E-3</v>
      </c>
      <c r="BE41" s="183">
        <v>6.9580000000000003E-2</v>
      </c>
      <c r="BF41" s="183">
        <v>3.4398999999999999E-2</v>
      </c>
    </row>
    <row r="42" spans="4:58" ht="15.75">
      <c r="D42" s="182">
        <v>1.24</v>
      </c>
      <c r="E42" s="183">
        <v>4.376E-2</v>
      </c>
      <c r="F42" s="183">
        <v>2.852E-2</v>
      </c>
      <c r="G42" s="183">
        <v>0</v>
      </c>
      <c r="H42" s="183">
        <v>0</v>
      </c>
      <c r="I42" s="182">
        <v>1.24</v>
      </c>
      <c r="J42" s="183">
        <v>3.5860000000000003E-2</v>
      </c>
      <c r="K42" s="183">
        <v>1.8239999999999999E-2</v>
      </c>
      <c r="L42" s="183">
        <v>8.616E-2</v>
      </c>
      <c r="M42" s="183">
        <v>0</v>
      </c>
      <c r="N42" s="182">
        <v>1.24</v>
      </c>
      <c r="O42" s="183">
        <v>3.5999999999999997E-2</v>
      </c>
      <c r="P42" s="183">
        <v>2.8240000000000001E-2</v>
      </c>
      <c r="Q42" s="183">
        <v>0</v>
      </c>
      <c r="R42" s="183">
        <v>7.9680000000000001E-2</v>
      </c>
      <c r="S42" s="182">
        <v>1.24</v>
      </c>
      <c r="T42" s="183">
        <v>2.5780000000000001E-2</v>
      </c>
      <c r="U42" s="183">
        <v>1.0840000000000001E-2</v>
      </c>
      <c r="V42" s="183">
        <v>6.1940000000000002E-2</v>
      </c>
      <c r="W42" s="183">
        <v>0</v>
      </c>
      <c r="X42" s="182">
        <v>1.24</v>
      </c>
      <c r="Y42" s="183">
        <v>2.6759999999999999E-2</v>
      </c>
      <c r="Z42" s="183">
        <v>2.4919999999999998E-2</v>
      </c>
      <c r="AA42" s="183">
        <v>0</v>
      </c>
      <c r="AB42" s="183">
        <v>7.0140000000000008E-2</v>
      </c>
      <c r="AC42" s="182">
        <v>1.24</v>
      </c>
      <c r="AD42" s="183">
        <v>3.1299999999999994E-2</v>
      </c>
      <c r="AE42" s="183">
        <v>2.044E-2</v>
      </c>
      <c r="AF42" s="183">
        <v>7.0859999999999992E-2</v>
      </c>
      <c r="AG42" s="183">
        <v>4.6080000000000003E-2</v>
      </c>
      <c r="AH42" s="182">
        <v>1.24</v>
      </c>
      <c r="AI42" s="183">
        <v>2.3599999999999999E-2</v>
      </c>
      <c r="AJ42" s="183">
        <v>1.34E-2</v>
      </c>
      <c r="AK42" s="183">
        <v>5.5359999999999999E-2</v>
      </c>
      <c r="AL42" s="183">
        <v>2.7200000000000002E-2</v>
      </c>
      <c r="AM42" s="182">
        <v>1.24</v>
      </c>
      <c r="AN42" s="183">
        <v>2.562E-2</v>
      </c>
      <c r="AO42" s="183">
        <v>1.908E-2</v>
      </c>
      <c r="AP42" s="183">
        <v>5.4519999999999999E-2</v>
      </c>
      <c r="AQ42" s="183">
        <v>4.7419999999999997E-2</v>
      </c>
      <c r="AR42" s="182">
        <v>1.24</v>
      </c>
      <c r="AS42" s="183">
        <v>2.0639999999999999E-2</v>
      </c>
      <c r="AT42" s="183">
        <v>1.3479999999999999E-2</v>
      </c>
      <c r="AU42" s="183">
        <v>4.7199999999999999E-2</v>
      </c>
      <c r="AV42" s="183">
        <v>3.074E-2</v>
      </c>
      <c r="AW42" s="182">
        <v>1.24</v>
      </c>
      <c r="AX42" s="183">
        <v>1.0120000000000001E-2</v>
      </c>
      <c r="AY42" s="183">
        <v>5.2739999999999995E-2</v>
      </c>
      <c r="AZ42" s="183">
        <v>6.6159999999999997E-2</v>
      </c>
      <c r="BA42" s="183">
        <v>0.10248</v>
      </c>
      <c r="BB42" s="182">
        <v>1.24</v>
      </c>
      <c r="BC42" s="183">
        <v>3.7819999999999999E-2</v>
      </c>
      <c r="BD42" s="183">
        <v>8.3800000000000003E-3</v>
      </c>
      <c r="BE42" s="183">
        <v>6.9040000000000004E-2</v>
      </c>
      <c r="BF42" s="183">
        <v>3.4542000000000003E-2</v>
      </c>
    </row>
    <row r="43" spans="4:58" ht="15.75">
      <c r="D43" s="180">
        <v>1.25</v>
      </c>
      <c r="E43" s="181">
        <v>4.3999999999999997E-2</v>
      </c>
      <c r="F43" s="181">
        <v>2.8199999999999999E-2</v>
      </c>
      <c r="G43" s="183">
        <v>0</v>
      </c>
      <c r="H43" s="183">
        <v>0</v>
      </c>
      <c r="I43" s="180">
        <v>1.25</v>
      </c>
      <c r="J43" s="181">
        <v>3.5900000000000001E-2</v>
      </c>
      <c r="K43" s="181">
        <v>1.7899999999999999E-2</v>
      </c>
      <c r="L43" s="181">
        <v>8.5900000000000004E-2</v>
      </c>
      <c r="M43" s="183">
        <v>0</v>
      </c>
      <c r="N43" s="180">
        <v>1.25</v>
      </c>
      <c r="O43" s="181">
        <v>3.6299999999999999E-2</v>
      </c>
      <c r="P43" s="181">
        <v>2.8000000000000001E-2</v>
      </c>
      <c r="Q43" s="183">
        <v>0</v>
      </c>
      <c r="R43" s="181">
        <v>7.9100000000000004E-2</v>
      </c>
      <c r="S43" s="180">
        <v>1.25</v>
      </c>
      <c r="T43" s="181">
        <v>2.5700000000000001E-2</v>
      </c>
      <c r="U43" s="181">
        <v>1.06E-2</v>
      </c>
      <c r="V43" s="181">
        <v>6.1600000000000002E-2</v>
      </c>
      <c r="W43" s="183">
        <v>0</v>
      </c>
      <c r="X43" s="180">
        <v>1.25</v>
      </c>
      <c r="Y43" s="181">
        <v>2.7099999999999999E-2</v>
      </c>
      <c r="Z43" s="181">
        <v>2.4799999999999999E-2</v>
      </c>
      <c r="AA43" s="183">
        <v>0</v>
      </c>
      <c r="AB43" s="181">
        <v>7.0000000000000007E-2</v>
      </c>
      <c r="AC43" s="180">
        <v>1.25</v>
      </c>
      <c r="AD43" s="181">
        <v>3.1399999999999997E-2</v>
      </c>
      <c r="AE43" s="181">
        <v>2.0199999999999999E-2</v>
      </c>
      <c r="AF43" s="181">
        <v>7.0999999999999994E-2</v>
      </c>
      <c r="AG43" s="181">
        <v>4.5400000000000003E-2</v>
      </c>
      <c r="AH43" s="180">
        <v>1.25</v>
      </c>
      <c r="AI43" s="181">
        <v>2.3599999999999999E-2</v>
      </c>
      <c r="AJ43" s="181">
        <v>1.32E-2</v>
      </c>
      <c r="AK43" s="181">
        <v>5.5199999999999999E-2</v>
      </c>
      <c r="AL43" s="181">
        <v>2.6700000000000002E-2</v>
      </c>
      <c r="AM43" s="180">
        <v>1.25</v>
      </c>
      <c r="AN43" s="181">
        <v>2.58E-2</v>
      </c>
      <c r="AO43" s="181">
        <v>1.89E-2</v>
      </c>
      <c r="AP43" s="181">
        <v>5.4899999999999997E-2</v>
      </c>
      <c r="AQ43" s="181">
        <v>4.7E-2</v>
      </c>
      <c r="AR43" s="180">
        <v>1.25</v>
      </c>
      <c r="AS43" s="181">
        <v>2.07E-2</v>
      </c>
      <c r="AT43" s="181">
        <v>1.3299999999999999E-2</v>
      </c>
      <c r="AU43" s="181">
        <v>4.7300000000000002E-2</v>
      </c>
      <c r="AV43" s="181">
        <v>3.0300000000000001E-2</v>
      </c>
      <c r="AW43" s="180">
        <v>1.25</v>
      </c>
      <c r="AX43" s="181">
        <v>1.0100000000000001E-2</v>
      </c>
      <c r="AY43" s="181">
        <v>5.2949999999999997E-2</v>
      </c>
      <c r="AZ43" s="181">
        <v>6.6799999999999998E-2</v>
      </c>
      <c r="BA43" s="181">
        <v>0.1031</v>
      </c>
      <c r="BB43" s="180">
        <v>1.25</v>
      </c>
      <c r="BC43" s="181">
        <v>3.755E-2</v>
      </c>
      <c r="BD43" s="181">
        <v>8.3000000000000001E-3</v>
      </c>
      <c r="BE43" s="181">
        <v>6.8500000000000005E-2</v>
      </c>
      <c r="BF43" s="181">
        <v>3.4685000000000001E-2</v>
      </c>
    </row>
    <row r="44" spans="4:58" ht="15.75">
      <c r="D44" s="182">
        <v>1.26</v>
      </c>
      <c r="E44" s="183">
        <v>4.4239999999999995E-2</v>
      </c>
      <c r="F44" s="183">
        <v>2.792E-2</v>
      </c>
      <c r="G44" s="183">
        <v>0</v>
      </c>
      <c r="H44" s="183">
        <v>0</v>
      </c>
      <c r="I44" s="182">
        <v>1.26</v>
      </c>
      <c r="J44" s="183">
        <v>3.5900000000000001E-2</v>
      </c>
      <c r="K44" s="183">
        <v>1.762E-2</v>
      </c>
      <c r="L44" s="183">
        <v>8.5580000000000003E-2</v>
      </c>
      <c r="M44" s="183">
        <v>0</v>
      </c>
      <c r="N44" s="182">
        <v>1.26</v>
      </c>
      <c r="O44" s="183">
        <v>3.6600000000000001E-2</v>
      </c>
      <c r="P44" s="183">
        <v>2.7779999999999999E-2</v>
      </c>
      <c r="Q44" s="183">
        <v>0</v>
      </c>
      <c r="R44" s="183">
        <v>7.8480000000000008E-2</v>
      </c>
      <c r="S44" s="182">
        <v>1.26</v>
      </c>
      <c r="T44" s="183">
        <v>2.564E-2</v>
      </c>
      <c r="U44" s="183">
        <v>1.042E-2</v>
      </c>
      <c r="V44" s="183">
        <v>6.1260000000000002E-2</v>
      </c>
      <c r="W44" s="183">
        <v>0</v>
      </c>
      <c r="X44" s="182">
        <v>1.26</v>
      </c>
      <c r="Y44" s="183">
        <v>2.742E-2</v>
      </c>
      <c r="Z44" s="183">
        <v>2.4680000000000001E-2</v>
      </c>
      <c r="AA44" s="183">
        <v>0</v>
      </c>
      <c r="AB44" s="183">
        <v>6.9780000000000009E-2</v>
      </c>
      <c r="AC44" s="182">
        <v>1.26</v>
      </c>
      <c r="AD44" s="183">
        <v>3.15E-2</v>
      </c>
      <c r="AE44" s="183">
        <v>1.992E-2</v>
      </c>
      <c r="AF44" s="183">
        <v>7.102E-2</v>
      </c>
      <c r="AG44" s="183">
        <v>4.4740000000000002E-2</v>
      </c>
      <c r="AH44" s="182">
        <v>1.26</v>
      </c>
      <c r="AI44" s="183">
        <v>2.358E-2</v>
      </c>
      <c r="AJ44" s="183">
        <v>1.2959999999999999E-2</v>
      </c>
      <c r="AK44" s="183">
        <v>5.5059999999999998E-2</v>
      </c>
      <c r="AL44" s="183">
        <v>2.6200000000000001E-2</v>
      </c>
      <c r="AM44" s="182">
        <v>1.26</v>
      </c>
      <c r="AN44" s="183">
        <v>2.596E-2</v>
      </c>
      <c r="AO44" s="183">
        <v>1.874E-2</v>
      </c>
      <c r="AP44" s="183">
        <v>5.5219999999999998E-2</v>
      </c>
      <c r="AQ44" s="183">
        <v>4.6539999999999998E-2</v>
      </c>
      <c r="AR44" s="182">
        <v>1.26</v>
      </c>
      <c r="AS44" s="183">
        <v>2.0719999999999999E-2</v>
      </c>
      <c r="AT44" s="183">
        <v>1.3099999999999999E-2</v>
      </c>
      <c r="AU44" s="183">
        <v>4.734E-2</v>
      </c>
      <c r="AV44" s="183">
        <v>2.9860000000000001E-2</v>
      </c>
      <c r="AW44" s="182">
        <v>1.26</v>
      </c>
      <c r="AX44" s="183">
        <v>1.008E-2</v>
      </c>
      <c r="AY44" s="183">
        <v>5.3159999999999999E-2</v>
      </c>
      <c r="AZ44" s="183">
        <v>6.744E-2</v>
      </c>
      <c r="BA44" s="183">
        <v>0.10371999999999999</v>
      </c>
      <c r="BB44" s="182">
        <v>1.26</v>
      </c>
      <c r="BC44" s="183">
        <v>3.7280000000000001E-2</v>
      </c>
      <c r="BD44" s="183">
        <v>8.2199999999999999E-3</v>
      </c>
      <c r="BE44" s="183">
        <v>6.7960000000000007E-2</v>
      </c>
      <c r="BF44" s="183">
        <v>3.4827999999999998E-2</v>
      </c>
    </row>
    <row r="45" spans="4:58" ht="15.75">
      <c r="D45" s="182">
        <v>1.27</v>
      </c>
      <c r="E45" s="183">
        <v>4.4479999999999999E-2</v>
      </c>
      <c r="F45" s="183">
        <v>2.7640000000000001E-2</v>
      </c>
      <c r="G45" s="183">
        <v>0</v>
      </c>
      <c r="H45" s="183">
        <v>0</v>
      </c>
      <c r="I45" s="182">
        <v>1.27</v>
      </c>
      <c r="J45" s="183">
        <v>3.5900000000000001E-2</v>
      </c>
      <c r="K45" s="183">
        <v>1.7340000000000001E-2</v>
      </c>
      <c r="L45" s="183">
        <v>8.5260000000000002E-2</v>
      </c>
      <c r="M45" s="183">
        <v>0</v>
      </c>
      <c r="N45" s="182">
        <v>1.27</v>
      </c>
      <c r="O45" s="183">
        <v>3.6900000000000002E-2</v>
      </c>
      <c r="P45" s="183">
        <v>2.7560000000000001E-2</v>
      </c>
      <c r="Q45" s="183">
        <v>0</v>
      </c>
      <c r="R45" s="183">
        <v>7.7859999999999999E-2</v>
      </c>
      <c r="S45" s="182">
        <v>1.27</v>
      </c>
      <c r="T45" s="183">
        <v>2.5579999999999999E-2</v>
      </c>
      <c r="U45" s="183">
        <v>1.0240000000000001E-2</v>
      </c>
      <c r="V45" s="183">
        <v>6.0920000000000002E-2</v>
      </c>
      <c r="W45" s="183">
        <v>0</v>
      </c>
      <c r="X45" s="182">
        <v>1.27</v>
      </c>
      <c r="Y45" s="183">
        <v>2.7740000000000001E-2</v>
      </c>
      <c r="Z45" s="183">
        <v>2.4559999999999998E-2</v>
      </c>
      <c r="AA45" s="183">
        <v>0</v>
      </c>
      <c r="AB45" s="183">
        <v>6.9560000000000011E-2</v>
      </c>
      <c r="AC45" s="182">
        <v>1.27</v>
      </c>
      <c r="AD45" s="183">
        <v>3.1599999999999996E-2</v>
      </c>
      <c r="AE45" s="183">
        <v>1.9640000000000001E-2</v>
      </c>
      <c r="AF45" s="183">
        <v>7.1039999999999992E-2</v>
      </c>
      <c r="AG45" s="183">
        <v>4.4080000000000001E-2</v>
      </c>
      <c r="AH45" s="182">
        <v>1.27</v>
      </c>
      <c r="AI45" s="183">
        <v>2.3560000000000001E-2</v>
      </c>
      <c r="AJ45" s="183">
        <v>1.272E-2</v>
      </c>
      <c r="AK45" s="183">
        <v>5.4919999999999997E-2</v>
      </c>
      <c r="AL45" s="183">
        <v>2.5700000000000001E-2</v>
      </c>
      <c r="AM45" s="182">
        <v>1.27</v>
      </c>
      <c r="AN45" s="183">
        <v>2.6120000000000001E-2</v>
      </c>
      <c r="AO45" s="183">
        <v>1.8579999999999999E-2</v>
      </c>
      <c r="AP45" s="183">
        <v>5.5539999999999999E-2</v>
      </c>
      <c r="AQ45" s="183">
        <v>4.6079999999999996E-2</v>
      </c>
      <c r="AR45" s="182">
        <v>1.27</v>
      </c>
      <c r="AS45" s="183">
        <v>2.0739999999999998E-2</v>
      </c>
      <c r="AT45" s="183">
        <v>1.29E-2</v>
      </c>
      <c r="AU45" s="183">
        <v>4.7379999999999999E-2</v>
      </c>
      <c r="AV45" s="183">
        <v>2.9420000000000002E-2</v>
      </c>
      <c r="AW45" s="182">
        <v>1.27</v>
      </c>
      <c r="AX45" s="183">
        <v>1.0060000000000001E-2</v>
      </c>
      <c r="AY45" s="183">
        <v>5.3370000000000001E-2</v>
      </c>
      <c r="AZ45" s="183">
        <v>6.8080000000000002E-2</v>
      </c>
      <c r="BA45" s="183">
        <v>0.10434</v>
      </c>
      <c r="BB45" s="182">
        <v>1.27</v>
      </c>
      <c r="BC45" s="183">
        <v>3.7010000000000001E-2</v>
      </c>
      <c r="BD45" s="183">
        <v>8.1399999999999997E-3</v>
      </c>
      <c r="BE45" s="183">
        <v>6.7420000000000008E-2</v>
      </c>
      <c r="BF45" s="183">
        <v>3.4971000000000002E-2</v>
      </c>
    </row>
    <row r="46" spans="4:58" ht="15.75">
      <c r="D46" s="182">
        <v>1.28</v>
      </c>
      <c r="E46" s="183">
        <v>4.4719999999999996E-2</v>
      </c>
      <c r="F46" s="183">
        <v>2.7359999999999999E-2</v>
      </c>
      <c r="G46" s="183">
        <v>0</v>
      </c>
      <c r="H46" s="183">
        <v>0</v>
      </c>
      <c r="I46" s="182">
        <v>1.28</v>
      </c>
      <c r="J46" s="183">
        <v>3.5900000000000001E-2</v>
      </c>
      <c r="K46" s="183">
        <v>1.7059999999999999E-2</v>
      </c>
      <c r="L46" s="183">
        <v>8.4940000000000002E-2</v>
      </c>
      <c r="M46" s="183">
        <v>0</v>
      </c>
      <c r="N46" s="182">
        <v>1.28</v>
      </c>
      <c r="O46" s="183">
        <v>3.7199999999999997E-2</v>
      </c>
      <c r="P46" s="183">
        <v>2.734E-2</v>
      </c>
      <c r="Q46" s="183">
        <v>0</v>
      </c>
      <c r="R46" s="183">
        <v>7.7240000000000003E-2</v>
      </c>
      <c r="S46" s="182">
        <v>1.28</v>
      </c>
      <c r="T46" s="183">
        <v>2.5520000000000001E-2</v>
      </c>
      <c r="U46" s="183">
        <v>1.0059999999999999E-2</v>
      </c>
      <c r="V46" s="183">
        <v>6.0580000000000002E-2</v>
      </c>
      <c r="W46" s="183">
        <v>0</v>
      </c>
      <c r="X46" s="182">
        <v>1.28</v>
      </c>
      <c r="Y46" s="183">
        <v>2.8059999999999998E-2</v>
      </c>
      <c r="Z46" s="183">
        <v>2.444E-2</v>
      </c>
      <c r="AA46" s="183">
        <v>0</v>
      </c>
      <c r="AB46" s="183">
        <v>6.9339999999999999E-2</v>
      </c>
      <c r="AC46" s="182">
        <v>1.28</v>
      </c>
      <c r="AD46" s="183">
        <v>3.1699999999999999E-2</v>
      </c>
      <c r="AE46" s="183">
        <v>1.9359999999999999E-2</v>
      </c>
      <c r="AF46" s="183">
        <v>7.1059999999999998E-2</v>
      </c>
      <c r="AG46" s="183">
        <v>4.342E-2</v>
      </c>
      <c r="AH46" s="182">
        <v>1.28</v>
      </c>
      <c r="AI46" s="183">
        <v>2.3539999999999998E-2</v>
      </c>
      <c r="AJ46" s="183">
        <v>1.248E-2</v>
      </c>
      <c r="AK46" s="183">
        <v>5.4780000000000002E-2</v>
      </c>
      <c r="AL46" s="183">
        <v>2.52E-2</v>
      </c>
      <c r="AM46" s="182">
        <v>1.28</v>
      </c>
      <c r="AN46" s="183">
        <v>2.6279999999999998E-2</v>
      </c>
      <c r="AO46" s="183">
        <v>1.8420000000000002E-2</v>
      </c>
      <c r="AP46" s="183">
        <v>5.586E-2</v>
      </c>
      <c r="AQ46" s="183">
        <v>4.5620000000000001E-2</v>
      </c>
      <c r="AR46" s="182">
        <v>1.28</v>
      </c>
      <c r="AS46" s="183">
        <v>2.0760000000000001E-2</v>
      </c>
      <c r="AT46" s="183">
        <v>1.2699999999999999E-2</v>
      </c>
      <c r="AU46" s="183">
        <v>4.7420000000000004E-2</v>
      </c>
      <c r="AV46" s="183">
        <v>2.8979999999999999E-2</v>
      </c>
      <c r="AW46" s="182">
        <v>1.28</v>
      </c>
      <c r="AX46" s="183">
        <v>1.004E-2</v>
      </c>
      <c r="AY46" s="183">
        <v>5.3579999999999996E-2</v>
      </c>
      <c r="AZ46" s="183">
        <v>6.8720000000000003E-2</v>
      </c>
      <c r="BA46" s="183">
        <v>0.10496</v>
      </c>
      <c r="BB46" s="182">
        <v>1.28</v>
      </c>
      <c r="BC46" s="183">
        <v>3.6740000000000002E-2</v>
      </c>
      <c r="BD46" s="183">
        <v>8.0600000000000012E-3</v>
      </c>
      <c r="BE46" s="183">
        <v>6.6879999999999995E-2</v>
      </c>
      <c r="BF46" s="183">
        <v>3.5113999999999999E-2</v>
      </c>
    </row>
    <row r="47" spans="4:58" ht="15.75">
      <c r="D47" s="182">
        <v>1.29</v>
      </c>
      <c r="E47" s="183">
        <v>4.496E-2</v>
      </c>
      <c r="F47" s="183">
        <v>2.708E-2</v>
      </c>
      <c r="G47" s="183">
        <v>0</v>
      </c>
      <c r="H47" s="183">
        <v>0</v>
      </c>
      <c r="I47" s="182">
        <v>1.29</v>
      </c>
      <c r="J47" s="183">
        <v>3.5900000000000001E-2</v>
      </c>
      <c r="K47" s="183">
        <v>1.678E-2</v>
      </c>
      <c r="L47" s="183">
        <v>8.4620000000000001E-2</v>
      </c>
      <c r="M47" s="183">
        <v>0</v>
      </c>
      <c r="N47" s="182">
        <v>1.29</v>
      </c>
      <c r="O47" s="183">
        <v>3.7499999999999999E-2</v>
      </c>
      <c r="P47" s="183">
        <v>2.7120000000000002E-2</v>
      </c>
      <c r="Q47" s="183">
        <v>0</v>
      </c>
      <c r="R47" s="183">
        <v>7.6619999999999994E-2</v>
      </c>
      <c r="S47" s="182">
        <v>1.29</v>
      </c>
      <c r="T47" s="183">
        <v>2.546E-2</v>
      </c>
      <c r="U47" s="183">
        <v>9.8799999999999999E-3</v>
      </c>
      <c r="V47" s="183">
        <v>6.0240000000000002E-2</v>
      </c>
      <c r="W47" s="183">
        <v>0</v>
      </c>
      <c r="X47" s="182">
        <v>1.29</v>
      </c>
      <c r="Y47" s="183">
        <v>2.8379999999999999E-2</v>
      </c>
      <c r="Z47" s="183">
        <v>2.4319999999999998E-2</v>
      </c>
      <c r="AA47" s="183">
        <v>0</v>
      </c>
      <c r="AB47" s="183">
        <v>6.9120000000000001E-2</v>
      </c>
      <c r="AC47" s="182">
        <v>1.29</v>
      </c>
      <c r="AD47" s="183">
        <v>3.1799999999999995E-2</v>
      </c>
      <c r="AE47" s="183">
        <v>1.908E-2</v>
      </c>
      <c r="AF47" s="183">
        <v>7.107999999999999E-2</v>
      </c>
      <c r="AG47" s="183">
        <v>4.2759999999999999E-2</v>
      </c>
      <c r="AH47" s="182">
        <v>1.29</v>
      </c>
      <c r="AI47" s="183">
        <v>2.3519999999999999E-2</v>
      </c>
      <c r="AJ47" s="183">
        <v>1.2240000000000001E-2</v>
      </c>
      <c r="AK47" s="183">
        <v>5.4640000000000001E-2</v>
      </c>
      <c r="AL47" s="183">
        <v>2.47E-2</v>
      </c>
      <c r="AM47" s="182">
        <v>1.29</v>
      </c>
      <c r="AN47" s="183">
        <v>2.6439999999999998E-2</v>
      </c>
      <c r="AO47" s="183">
        <v>1.8260000000000002E-2</v>
      </c>
      <c r="AP47" s="183">
        <v>5.6180000000000001E-2</v>
      </c>
      <c r="AQ47" s="183">
        <v>4.5159999999999999E-2</v>
      </c>
      <c r="AR47" s="182">
        <v>1.29</v>
      </c>
      <c r="AS47" s="183">
        <v>2.078E-2</v>
      </c>
      <c r="AT47" s="183">
        <v>1.2500000000000001E-2</v>
      </c>
      <c r="AU47" s="183">
        <v>4.7460000000000002E-2</v>
      </c>
      <c r="AV47" s="183">
        <v>2.8539999999999999E-2</v>
      </c>
      <c r="AW47" s="182">
        <v>1.29</v>
      </c>
      <c r="AX47" s="183">
        <v>1.0020000000000001E-2</v>
      </c>
      <c r="AY47" s="183">
        <v>5.3789999999999998E-2</v>
      </c>
      <c r="AZ47" s="183">
        <v>6.9360000000000005E-2</v>
      </c>
      <c r="BA47" s="183">
        <v>0.10558000000000001</v>
      </c>
      <c r="BB47" s="182">
        <v>1.29</v>
      </c>
      <c r="BC47" s="183">
        <v>3.6470000000000002E-2</v>
      </c>
      <c r="BD47" s="183">
        <v>7.980000000000001E-3</v>
      </c>
      <c r="BE47" s="183">
        <v>6.6339999999999996E-2</v>
      </c>
      <c r="BF47" s="183">
        <v>3.5257000000000004E-2</v>
      </c>
    </row>
    <row r="48" spans="4:58" ht="15.75">
      <c r="D48" s="180">
        <v>1.3</v>
      </c>
      <c r="E48" s="181">
        <v>4.5199999999999997E-2</v>
      </c>
      <c r="F48" s="181">
        <v>2.6800000000000001E-2</v>
      </c>
      <c r="G48" s="183">
        <v>0</v>
      </c>
      <c r="H48" s="183">
        <v>0</v>
      </c>
      <c r="I48" s="180">
        <v>1.3</v>
      </c>
      <c r="J48" s="181">
        <v>3.5900000000000001E-2</v>
      </c>
      <c r="K48" s="181">
        <v>1.6500000000000001E-2</v>
      </c>
      <c r="L48" s="181">
        <v>8.43E-2</v>
      </c>
      <c r="M48" s="183">
        <v>0</v>
      </c>
      <c r="N48" s="180">
        <v>1.3</v>
      </c>
      <c r="O48" s="181">
        <v>3.78E-2</v>
      </c>
      <c r="P48" s="181">
        <v>2.69E-2</v>
      </c>
      <c r="Q48" s="183">
        <v>0</v>
      </c>
      <c r="R48" s="181">
        <v>7.5999999999999998E-2</v>
      </c>
      <c r="S48" s="180">
        <v>1.3</v>
      </c>
      <c r="T48" s="181">
        <v>2.5399999999999999E-2</v>
      </c>
      <c r="U48" s="181">
        <v>9.7000000000000003E-3</v>
      </c>
      <c r="V48" s="181">
        <v>5.9900000000000002E-2</v>
      </c>
      <c r="W48" s="183">
        <v>0</v>
      </c>
      <c r="X48" s="180">
        <v>1.3</v>
      </c>
      <c r="Y48" s="181">
        <v>2.87E-2</v>
      </c>
      <c r="Z48" s="181">
        <v>2.4199999999999999E-2</v>
      </c>
      <c r="AA48" s="183">
        <v>0</v>
      </c>
      <c r="AB48" s="181">
        <v>6.8900000000000003E-2</v>
      </c>
      <c r="AC48" s="180">
        <v>1.3</v>
      </c>
      <c r="AD48" s="181">
        <v>3.1899999999999998E-2</v>
      </c>
      <c r="AE48" s="181">
        <v>1.8800000000000001E-2</v>
      </c>
      <c r="AF48" s="181">
        <v>7.1099999999999997E-2</v>
      </c>
      <c r="AG48" s="181">
        <v>4.2099999999999999E-2</v>
      </c>
      <c r="AH48" s="180">
        <v>1.3</v>
      </c>
      <c r="AI48" s="181">
        <v>2.35E-2</v>
      </c>
      <c r="AJ48" s="181">
        <v>1.2E-2</v>
      </c>
      <c r="AK48" s="181">
        <v>5.45E-2</v>
      </c>
      <c r="AL48" s="181">
        <v>2.4199999999999999E-2</v>
      </c>
      <c r="AM48" s="180">
        <v>1.3</v>
      </c>
      <c r="AN48" s="181">
        <v>2.6599999999999999E-2</v>
      </c>
      <c r="AO48" s="181">
        <v>1.8100000000000002E-2</v>
      </c>
      <c r="AP48" s="181">
        <v>5.6500000000000002E-2</v>
      </c>
      <c r="AQ48" s="181">
        <v>4.4699999999999997E-2</v>
      </c>
      <c r="AR48" s="180">
        <v>1.3</v>
      </c>
      <c r="AS48" s="181">
        <v>2.0799999999999999E-2</v>
      </c>
      <c r="AT48" s="181">
        <v>1.23E-2</v>
      </c>
      <c r="AU48" s="181">
        <v>4.7500000000000001E-2</v>
      </c>
      <c r="AV48" s="181">
        <v>2.81E-2</v>
      </c>
      <c r="AW48" s="180">
        <v>1.3</v>
      </c>
      <c r="AX48" s="181">
        <v>0.01</v>
      </c>
      <c r="AY48" s="181">
        <v>5.3999999999999999E-2</v>
      </c>
      <c r="AZ48" s="181">
        <v>7.0000000000000007E-2</v>
      </c>
      <c r="BA48" s="181">
        <v>0.1062</v>
      </c>
      <c r="BB48" s="180">
        <v>1.3</v>
      </c>
      <c r="BC48" s="181">
        <v>3.6200000000000003E-2</v>
      </c>
      <c r="BD48" s="181">
        <v>7.9000000000000008E-3</v>
      </c>
      <c r="BE48" s="181">
        <v>6.5799999999999997E-2</v>
      </c>
      <c r="BF48" s="181">
        <v>3.5400000000000001E-2</v>
      </c>
    </row>
    <row r="49" spans="4:58" ht="15.75">
      <c r="D49" s="182">
        <v>1.31</v>
      </c>
      <c r="E49" s="183">
        <v>4.5379999999999997E-2</v>
      </c>
      <c r="F49" s="183">
        <v>2.6499999999999999E-2</v>
      </c>
      <c r="G49" s="183">
        <v>0</v>
      </c>
      <c r="H49" s="183">
        <v>0</v>
      </c>
      <c r="I49" s="182">
        <v>1.31</v>
      </c>
      <c r="J49" s="183">
        <v>3.5880000000000002E-2</v>
      </c>
      <c r="K49" s="183">
        <v>1.6240000000000001E-2</v>
      </c>
      <c r="L49" s="183">
        <v>8.3979999999999999E-2</v>
      </c>
      <c r="M49" s="183">
        <v>0</v>
      </c>
      <c r="N49" s="182">
        <v>1.31</v>
      </c>
      <c r="O49" s="183">
        <v>3.8060000000000004E-2</v>
      </c>
      <c r="P49" s="183">
        <v>2.6679999999999999E-2</v>
      </c>
      <c r="Q49" s="183">
        <v>0</v>
      </c>
      <c r="R49" s="183">
        <v>7.5319999999999998E-2</v>
      </c>
      <c r="S49" s="182">
        <v>1.31</v>
      </c>
      <c r="T49" s="183">
        <v>2.5319999999999999E-2</v>
      </c>
      <c r="U49" s="183">
        <v>9.5200000000000007E-3</v>
      </c>
      <c r="V49" s="183">
        <v>5.9560000000000002E-2</v>
      </c>
      <c r="W49" s="183">
        <v>0</v>
      </c>
      <c r="X49" s="182">
        <v>1.31</v>
      </c>
      <c r="Y49" s="183">
        <v>2.9000000000000001E-2</v>
      </c>
      <c r="Z49" s="183">
        <v>2.4059999999999998E-2</v>
      </c>
      <c r="AA49" s="183">
        <v>0</v>
      </c>
      <c r="AB49" s="183">
        <v>6.8640000000000007E-2</v>
      </c>
      <c r="AC49" s="182">
        <v>1.31</v>
      </c>
      <c r="AD49" s="183">
        <v>3.1919999999999997E-2</v>
      </c>
      <c r="AE49" s="183">
        <v>1.856E-2</v>
      </c>
      <c r="AF49" s="183">
        <v>7.1099999999999997E-2</v>
      </c>
      <c r="AG49" s="183">
        <v>4.1500000000000002E-2</v>
      </c>
      <c r="AH49" s="182">
        <v>1.31</v>
      </c>
      <c r="AI49" s="183">
        <v>2.3460000000000002E-2</v>
      </c>
      <c r="AJ49" s="183">
        <v>1.18E-2</v>
      </c>
      <c r="AK49" s="183">
        <v>5.432E-2</v>
      </c>
      <c r="AL49" s="183">
        <v>2.3799999999999998E-2</v>
      </c>
      <c r="AM49" s="182">
        <v>1.31</v>
      </c>
      <c r="AN49" s="183">
        <v>2.6719999999999997E-2</v>
      </c>
      <c r="AO49" s="183">
        <v>1.7920000000000002E-2</v>
      </c>
      <c r="AP49" s="183">
        <v>5.6739999999999999E-2</v>
      </c>
      <c r="AQ49" s="183">
        <v>4.4239999999999995E-2</v>
      </c>
      <c r="AR49" s="182">
        <v>1.31</v>
      </c>
      <c r="AS49" s="183">
        <v>2.0840000000000001E-2</v>
      </c>
      <c r="AT49" s="183">
        <v>1.214E-2</v>
      </c>
      <c r="AU49" s="183">
        <v>4.7480000000000001E-2</v>
      </c>
      <c r="AV49" s="183">
        <v>2.7720000000000002E-2</v>
      </c>
      <c r="AW49" s="182">
        <v>1.31</v>
      </c>
      <c r="AX49" s="183">
        <v>9.9699999999999997E-3</v>
      </c>
      <c r="AY49" s="183">
        <v>5.4120000000000001E-2</v>
      </c>
      <c r="AZ49" s="183">
        <v>7.0610000000000006E-2</v>
      </c>
      <c r="BA49" s="183">
        <v>0.10673000000000001</v>
      </c>
      <c r="BB49" s="182">
        <v>1.31</v>
      </c>
      <c r="BC49" s="183">
        <v>3.594E-2</v>
      </c>
      <c r="BD49" s="183">
        <v>7.8100000000000001E-3</v>
      </c>
      <c r="BE49" s="183">
        <v>6.5309999999999993E-2</v>
      </c>
      <c r="BF49" s="183">
        <v>3.5009999999999999E-2</v>
      </c>
    </row>
    <row r="50" spans="4:58" ht="15.75">
      <c r="D50" s="182">
        <v>1.32</v>
      </c>
      <c r="E50" s="183">
        <v>4.5559999999999996E-2</v>
      </c>
      <c r="F50" s="183">
        <v>2.6200000000000001E-2</v>
      </c>
      <c r="G50" s="183">
        <v>0</v>
      </c>
      <c r="H50" s="183">
        <v>0</v>
      </c>
      <c r="I50" s="182">
        <v>1.32</v>
      </c>
      <c r="J50" s="183">
        <v>3.5860000000000003E-2</v>
      </c>
      <c r="K50" s="183">
        <v>1.5980000000000001E-2</v>
      </c>
      <c r="L50" s="183">
        <v>8.3659999999999998E-2</v>
      </c>
      <c r="M50" s="183">
        <v>0</v>
      </c>
      <c r="N50" s="182">
        <v>1.32</v>
      </c>
      <c r="O50" s="183">
        <v>3.832E-2</v>
      </c>
      <c r="P50" s="183">
        <v>2.6460000000000001E-2</v>
      </c>
      <c r="Q50" s="183">
        <v>0</v>
      </c>
      <c r="R50" s="183">
        <v>7.4639999999999998E-2</v>
      </c>
      <c r="S50" s="182">
        <v>1.32</v>
      </c>
      <c r="T50" s="183">
        <v>2.5239999999999999E-2</v>
      </c>
      <c r="U50" s="183">
        <v>9.3400000000000011E-3</v>
      </c>
      <c r="V50" s="183">
        <v>5.9220000000000002E-2</v>
      </c>
      <c r="W50" s="183">
        <v>0</v>
      </c>
      <c r="X50" s="182">
        <v>1.32</v>
      </c>
      <c r="Y50" s="183">
        <v>2.93E-2</v>
      </c>
      <c r="Z50" s="183">
        <v>2.392E-2</v>
      </c>
      <c r="AA50" s="183">
        <v>0</v>
      </c>
      <c r="AB50" s="183">
        <v>6.8379999999999996E-2</v>
      </c>
      <c r="AC50" s="182">
        <v>1.32</v>
      </c>
      <c r="AD50" s="183">
        <v>3.1939999999999996E-2</v>
      </c>
      <c r="AE50" s="183">
        <v>1.8319999999999999E-2</v>
      </c>
      <c r="AF50" s="183">
        <v>7.1099999999999997E-2</v>
      </c>
      <c r="AG50" s="183">
        <v>4.0899999999999999E-2</v>
      </c>
      <c r="AH50" s="182">
        <v>1.32</v>
      </c>
      <c r="AI50" s="183">
        <v>2.342E-2</v>
      </c>
      <c r="AJ50" s="183">
        <v>1.1599999999999999E-2</v>
      </c>
      <c r="AK50" s="183">
        <v>5.4140000000000001E-2</v>
      </c>
      <c r="AL50" s="183">
        <v>2.3400000000000001E-2</v>
      </c>
      <c r="AM50" s="182">
        <v>1.32</v>
      </c>
      <c r="AN50" s="183">
        <v>2.6839999999999999E-2</v>
      </c>
      <c r="AO50" s="183">
        <v>1.7740000000000002E-2</v>
      </c>
      <c r="AP50" s="183">
        <v>5.6980000000000003E-2</v>
      </c>
      <c r="AQ50" s="183">
        <v>4.3779999999999999E-2</v>
      </c>
      <c r="AR50" s="182">
        <v>1.32</v>
      </c>
      <c r="AS50" s="183">
        <v>2.0879999999999999E-2</v>
      </c>
      <c r="AT50" s="183">
        <v>1.1979999999999999E-2</v>
      </c>
      <c r="AU50" s="183">
        <v>4.7460000000000002E-2</v>
      </c>
      <c r="AV50" s="183">
        <v>2.734E-2</v>
      </c>
      <c r="AW50" s="182">
        <v>1.32</v>
      </c>
      <c r="AX50" s="183">
        <v>9.9399999999999992E-3</v>
      </c>
      <c r="AY50" s="183">
        <v>5.4240000000000003E-2</v>
      </c>
      <c r="AZ50" s="183">
        <v>7.1220000000000006E-2</v>
      </c>
      <c r="BA50" s="183">
        <v>0.10726000000000001</v>
      </c>
      <c r="BB50" s="182">
        <v>1.32</v>
      </c>
      <c r="BC50" s="183">
        <v>3.5680000000000003E-2</v>
      </c>
      <c r="BD50" s="183">
        <v>7.7200000000000003E-3</v>
      </c>
      <c r="BE50" s="183">
        <v>6.4819999999999989E-2</v>
      </c>
      <c r="BF50" s="183">
        <v>3.4619999999999998E-2</v>
      </c>
    </row>
    <row r="51" spans="4:58" ht="15.75">
      <c r="D51" s="182">
        <v>1.33</v>
      </c>
      <c r="E51" s="183">
        <v>4.5740000000000003E-2</v>
      </c>
      <c r="F51" s="183">
        <v>2.5899999999999999E-2</v>
      </c>
      <c r="G51" s="183">
        <v>0</v>
      </c>
      <c r="H51" s="183">
        <v>0</v>
      </c>
      <c r="I51" s="182">
        <v>1.33</v>
      </c>
      <c r="J51" s="183">
        <v>3.5839999999999997E-2</v>
      </c>
      <c r="K51" s="183">
        <v>1.5720000000000001E-2</v>
      </c>
      <c r="L51" s="183">
        <v>8.3339999999999997E-2</v>
      </c>
      <c r="M51" s="183">
        <v>0</v>
      </c>
      <c r="N51" s="182">
        <v>1.33</v>
      </c>
      <c r="O51" s="183">
        <v>3.8580000000000003E-2</v>
      </c>
      <c r="P51" s="183">
        <v>2.6239999999999999E-2</v>
      </c>
      <c r="Q51" s="183">
        <v>0</v>
      </c>
      <c r="R51" s="183">
        <v>7.3959999999999998E-2</v>
      </c>
      <c r="S51" s="182">
        <v>1.33</v>
      </c>
      <c r="T51" s="183">
        <v>2.5160000000000002E-2</v>
      </c>
      <c r="U51" s="183">
        <v>9.1599999999999997E-3</v>
      </c>
      <c r="V51" s="183">
        <v>5.8880000000000002E-2</v>
      </c>
      <c r="W51" s="183">
        <v>0</v>
      </c>
      <c r="X51" s="182">
        <v>1.33</v>
      </c>
      <c r="Y51" s="183">
        <v>2.9600000000000001E-2</v>
      </c>
      <c r="Z51" s="183">
        <v>2.3779999999999999E-2</v>
      </c>
      <c r="AA51" s="183">
        <v>0</v>
      </c>
      <c r="AB51" s="183">
        <v>6.812E-2</v>
      </c>
      <c r="AC51" s="182">
        <v>1.33</v>
      </c>
      <c r="AD51" s="183">
        <v>3.1960000000000002E-2</v>
      </c>
      <c r="AE51" s="183">
        <v>1.8080000000000002E-2</v>
      </c>
      <c r="AF51" s="183">
        <v>7.1099999999999997E-2</v>
      </c>
      <c r="AG51" s="183">
        <v>4.0300000000000002E-2</v>
      </c>
      <c r="AH51" s="182">
        <v>1.33</v>
      </c>
      <c r="AI51" s="183">
        <v>2.3380000000000001E-2</v>
      </c>
      <c r="AJ51" s="183">
        <v>1.14E-2</v>
      </c>
      <c r="AK51" s="183">
        <v>5.3960000000000001E-2</v>
      </c>
      <c r="AL51" s="183">
        <v>2.3E-2</v>
      </c>
      <c r="AM51" s="182">
        <v>1.33</v>
      </c>
      <c r="AN51" s="183">
        <v>2.6959999999999998E-2</v>
      </c>
      <c r="AO51" s="183">
        <v>1.7559999999999999E-2</v>
      </c>
      <c r="AP51" s="183">
        <v>5.722E-2</v>
      </c>
      <c r="AQ51" s="183">
        <v>4.3319999999999997E-2</v>
      </c>
      <c r="AR51" s="182">
        <v>1.33</v>
      </c>
      <c r="AS51" s="183">
        <v>2.0920000000000001E-2</v>
      </c>
      <c r="AT51" s="183">
        <v>1.1820000000000001E-2</v>
      </c>
      <c r="AU51" s="183">
        <v>4.7439999999999996E-2</v>
      </c>
      <c r="AV51" s="183">
        <v>2.6960000000000001E-2</v>
      </c>
      <c r="AW51" s="182">
        <v>1.33</v>
      </c>
      <c r="AX51" s="183">
        <v>9.9100000000000004E-3</v>
      </c>
      <c r="AY51" s="183">
        <v>5.4359999999999999E-2</v>
      </c>
      <c r="AZ51" s="183">
        <v>7.1830000000000005E-2</v>
      </c>
      <c r="BA51" s="183">
        <v>0.10779</v>
      </c>
      <c r="BB51" s="182">
        <v>1.33</v>
      </c>
      <c r="BC51" s="183">
        <v>3.542E-2</v>
      </c>
      <c r="BD51" s="183">
        <v>7.6299999999999996E-3</v>
      </c>
      <c r="BE51" s="183">
        <v>6.4329999999999998E-2</v>
      </c>
      <c r="BF51" s="183">
        <v>3.4229999999999997E-2</v>
      </c>
    </row>
    <row r="52" spans="4:58" ht="15.75">
      <c r="D52" s="182">
        <v>1.34</v>
      </c>
      <c r="E52" s="183">
        <v>4.5920000000000002E-2</v>
      </c>
      <c r="F52" s="183">
        <v>2.5600000000000001E-2</v>
      </c>
      <c r="G52" s="183">
        <v>0</v>
      </c>
      <c r="H52" s="183">
        <v>0</v>
      </c>
      <c r="I52" s="182">
        <v>1.34</v>
      </c>
      <c r="J52" s="183">
        <v>3.5819999999999998E-2</v>
      </c>
      <c r="K52" s="183">
        <v>1.546E-2</v>
      </c>
      <c r="L52" s="183">
        <v>8.3019999999999997E-2</v>
      </c>
      <c r="M52" s="183">
        <v>0</v>
      </c>
      <c r="N52" s="182">
        <v>1.34</v>
      </c>
      <c r="O52" s="183">
        <v>3.884E-2</v>
      </c>
      <c r="P52" s="183">
        <v>2.6020000000000001E-2</v>
      </c>
      <c r="Q52" s="183">
        <v>0</v>
      </c>
      <c r="R52" s="183">
        <v>7.3279999999999998E-2</v>
      </c>
      <c r="S52" s="182">
        <v>1.34</v>
      </c>
      <c r="T52" s="183">
        <v>2.5080000000000002E-2</v>
      </c>
      <c r="U52" s="183">
        <v>8.9800000000000001E-3</v>
      </c>
      <c r="V52" s="183">
        <v>5.8540000000000002E-2</v>
      </c>
      <c r="W52" s="183">
        <v>0</v>
      </c>
      <c r="X52" s="182">
        <v>1.34</v>
      </c>
      <c r="Y52" s="183">
        <v>2.9899999999999999E-2</v>
      </c>
      <c r="Z52" s="183">
        <v>2.3640000000000001E-2</v>
      </c>
      <c r="AA52" s="183">
        <v>0</v>
      </c>
      <c r="AB52" s="183">
        <v>6.785999999999999E-2</v>
      </c>
      <c r="AC52" s="182">
        <v>1.34</v>
      </c>
      <c r="AD52" s="183">
        <v>3.1980000000000001E-2</v>
      </c>
      <c r="AE52" s="183">
        <v>1.7840000000000002E-2</v>
      </c>
      <c r="AF52" s="183">
        <v>7.1099999999999997E-2</v>
      </c>
      <c r="AG52" s="183">
        <v>3.9699999999999999E-2</v>
      </c>
      <c r="AH52" s="182">
        <v>1.34</v>
      </c>
      <c r="AI52" s="183">
        <v>2.334E-2</v>
      </c>
      <c r="AJ52" s="183">
        <v>1.12E-2</v>
      </c>
      <c r="AK52" s="183">
        <v>5.3780000000000001E-2</v>
      </c>
      <c r="AL52" s="183">
        <v>2.2600000000000002E-2</v>
      </c>
      <c r="AM52" s="182">
        <v>1.34</v>
      </c>
      <c r="AN52" s="183">
        <v>2.708E-2</v>
      </c>
      <c r="AO52" s="183">
        <v>1.738E-2</v>
      </c>
      <c r="AP52" s="183">
        <v>5.7460000000000004E-2</v>
      </c>
      <c r="AQ52" s="183">
        <v>4.2860000000000002E-2</v>
      </c>
      <c r="AR52" s="182">
        <v>1.34</v>
      </c>
      <c r="AS52" s="183">
        <v>2.0959999999999999E-2</v>
      </c>
      <c r="AT52" s="183">
        <v>1.166E-2</v>
      </c>
      <c r="AU52" s="183">
        <v>4.7419999999999997E-2</v>
      </c>
      <c r="AV52" s="183">
        <v>2.6579999999999999E-2</v>
      </c>
      <c r="AW52" s="182">
        <v>1.34</v>
      </c>
      <c r="AX52" s="183">
        <v>9.8799999999999999E-3</v>
      </c>
      <c r="AY52" s="183">
        <v>5.4480000000000001E-2</v>
      </c>
      <c r="AZ52" s="183">
        <v>7.2440000000000004E-2</v>
      </c>
      <c r="BA52" s="183">
        <v>0.10832</v>
      </c>
      <c r="BB52" s="182">
        <v>1.34</v>
      </c>
      <c r="BC52" s="183">
        <v>3.5160000000000004E-2</v>
      </c>
      <c r="BD52" s="183">
        <v>7.5399999999999998E-3</v>
      </c>
      <c r="BE52" s="183">
        <v>6.3839999999999994E-2</v>
      </c>
      <c r="BF52" s="183">
        <v>3.3839999999999995E-2</v>
      </c>
    </row>
    <row r="53" spans="4:58" ht="15.75">
      <c r="D53" s="180">
        <v>1.35</v>
      </c>
      <c r="E53" s="181">
        <v>4.6100000000000002E-2</v>
      </c>
      <c r="F53" s="181">
        <v>2.53E-2</v>
      </c>
      <c r="G53" s="183">
        <v>0</v>
      </c>
      <c r="H53" s="183">
        <v>0</v>
      </c>
      <c r="I53" s="180">
        <v>1.35</v>
      </c>
      <c r="J53" s="181">
        <v>3.5799999999999998E-2</v>
      </c>
      <c r="K53" s="181">
        <v>1.52E-2</v>
      </c>
      <c r="L53" s="181">
        <v>8.2699999999999996E-2</v>
      </c>
      <c r="M53" s="183">
        <v>0</v>
      </c>
      <c r="N53" s="180">
        <v>1.35</v>
      </c>
      <c r="O53" s="181">
        <v>3.9100000000000003E-2</v>
      </c>
      <c r="P53" s="181">
        <v>2.58E-2</v>
      </c>
      <c r="Q53" s="183">
        <v>0</v>
      </c>
      <c r="R53" s="181">
        <v>7.2599999999999998E-2</v>
      </c>
      <c r="S53" s="180">
        <v>1.35</v>
      </c>
      <c r="T53" s="181">
        <v>2.5000000000000001E-2</v>
      </c>
      <c r="U53" s="181">
        <v>8.8000000000000005E-3</v>
      </c>
      <c r="V53" s="181">
        <v>5.8200000000000002E-2</v>
      </c>
      <c r="W53" s="183">
        <v>0</v>
      </c>
      <c r="X53" s="180">
        <v>1.35</v>
      </c>
      <c r="Y53" s="181">
        <v>3.0200000000000001E-2</v>
      </c>
      <c r="Z53" s="181">
        <v>2.35E-2</v>
      </c>
      <c r="AA53" s="183">
        <v>0</v>
      </c>
      <c r="AB53" s="181">
        <v>6.7599999999999993E-2</v>
      </c>
      <c r="AC53" s="180">
        <v>1.35</v>
      </c>
      <c r="AD53" s="181">
        <v>3.2000000000000001E-2</v>
      </c>
      <c r="AE53" s="181">
        <v>1.7600000000000001E-2</v>
      </c>
      <c r="AF53" s="181">
        <v>7.1099999999999997E-2</v>
      </c>
      <c r="AG53" s="181">
        <v>3.9100000000000003E-2</v>
      </c>
      <c r="AH53" s="180">
        <v>1.35</v>
      </c>
      <c r="AI53" s="181">
        <v>2.3300000000000001E-2</v>
      </c>
      <c r="AJ53" s="181">
        <v>1.0999999999999999E-2</v>
      </c>
      <c r="AK53" s="181">
        <v>5.3600000000000002E-2</v>
      </c>
      <c r="AL53" s="181">
        <v>2.2200000000000001E-2</v>
      </c>
      <c r="AM53" s="180">
        <v>1.35</v>
      </c>
      <c r="AN53" s="181">
        <v>2.7199999999999998E-2</v>
      </c>
      <c r="AO53" s="181">
        <v>1.72E-2</v>
      </c>
      <c r="AP53" s="181">
        <v>5.7700000000000001E-2</v>
      </c>
      <c r="AQ53" s="181">
        <v>4.24E-2</v>
      </c>
      <c r="AR53" s="180">
        <v>1.35</v>
      </c>
      <c r="AS53" s="181">
        <v>2.1000000000000001E-2</v>
      </c>
      <c r="AT53" s="181">
        <v>1.15E-2</v>
      </c>
      <c r="AU53" s="181">
        <v>4.7399999999999998E-2</v>
      </c>
      <c r="AV53" s="181">
        <v>2.6200000000000001E-2</v>
      </c>
      <c r="AW53" s="180">
        <v>1.35</v>
      </c>
      <c r="AX53" s="181">
        <v>9.8499999999999994E-3</v>
      </c>
      <c r="AY53" s="181">
        <v>5.4600000000000003E-2</v>
      </c>
      <c r="AZ53" s="181">
        <v>7.3050000000000004E-2</v>
      </c>
      <c r="BA53" s="181">
        <v>0.10885</v>
      </c>
      <c r="BB53" s="180">
        <v>1.35</v>
      </c>
      <c r="BC53" s="181">
        <v>3.49E-2</v>
      </c>
      <c r="BD53" s="181">
        <v>7.4499999999999992E-3</v>
      </c>
      <c r="BE53" s="181">
        <v>6.334999999999999E-2</v>
      </c>
      <c r="BF53" s="181">
        <v>3.3449999999999994E-2</v>
      </c>
    </row>
    <row r="54" spans="4:58" ht="15.75">
      <c r="D54" s="182">
        <v>1.36</v>
      </c>
      <c r="E54" s="183">
        <v>4.6260000000000003E-2</v>
      </c>
      <c r="F54" s="183">
        <v>2.504E-2</v>
      </c>
      <c r="G54" s="183">
        <v>0</v>
      </c>
      <c r="H54" s="183">
        <v>0</v>
      </c>
      <c r="I54" s="182">
        <v>1.36</v>
      </c>
      <c r="J54" s="183">
        <v>3.5779999999999999E-2</v>
      </c>
      <c r="K54" s="183">
        <v>1.4959999999999999E-2</v>
      </c>
      <c r="L54" s="183">
        <v>8.231999999999999E-2</v>
      </c>
      <c r="M54" s="183">
        <v>0</v>
      </c>
      <c r="N54" s="182">
        <v>1.36</v>
      </c>
      <c r="O54" s="183">
        <v>3.9300000000000002E-2</v>
      </c>
      <c r="P54" s="183">
        <v>2.5599999999999998E-2</v>
      </c>
      <c r="Q54" s="183">
        <v>0</v>
      </c>
      <c r="R54" s="183">
        <v>7.1840000000000001E-2</v>
      </c>
      <c r="S54" s="182">
        <v>1.36</v>
      </c>
      <c r="T54" s="183">
        <v>2.4900000000000002E-2</v>
      </c>
      <c r="U54" s="183">
        <v>8.6400000000000001E-3</v>
      </c>
      <c r="V54" s="183">
        <v>5.7860000000000002E-2</v>
      </c>
      <c r="W54" s="183">
        <v>0</v>
      </c>
      <c r="X54" s="182">
        <v>1.36</v>
      </c>
      <c r="Y54" s="183">
        <v>3.0480000000000004E-2</v>
      </c>
      <c r="Z54" s="183">
        <v>2.3379999999999998E-2</v>
      </c>
      <c r="AA54" s="183">
        <v>0</v>
      </c>
      <c r="AB54" s="183">
        <v>6.7279999999999993E-2</v>
      </c>
      <c r="AC54" s="182">
        <v>1.36</v>
      </c>
      <c r="AD54" s="183">
        <v>3.2059999999999998E-2</v>
      </c>
      <c r="AE54" s="183">
        <v>1.738E-2</v>
      </c>
      <c r="AF54" s="183">
        <v>7.1059999999999998E-2</v>
      </c>
      <c r="AG54" s="183">
        <v>3.85E-2</v>
      </c>
      <c r="AH54" s="182">
        <v>1.36</v>
      </c>
      <c r="AI54" s="183">
        <v>2.324E-2</v>
      </c>
      <c r="AJ54" s="183">
        <v>1.0839999999999999E-2</v>
      </c>
      <c r="AK54" s="183">
        <v>5.3400000000000003E-2</v>
      </c>
      <c r="AL54" s="183">
        <v>2.18E-2</v>
      </c>
      <c r="AM54" s="182">
        <v>1.36</v>
      </c>
      <c r="AN54" s="183">
        <v>2.734E-2</v>
      </c>
      <c r="AO54" s="183">
        <v>1.6999999999999998E-2</v>
      </c>
      <c r="AP54" s="183">
        <v>5.7919999999999999E-2</v>
      </c>
      <c r="AQ54" s="183">
        <v>4.1919999999999999E-2</v>
      </c>
      <c r="AR54" s="182">
        <v>1.36</v>
      </c>
      <c r="AS54" s="183">
        <v>2.1000000000000001E-2</v>
      </c>
      <c r="AT54" s="183">
        <v>1.1339999999999999E-2</v>
      </c>
      <c r="AU54" s="183">
        <v>4.537999999999999E-2</v>
      </c>
      <c r="AV54" s="183">
        <v>2.5759999999999998E-2</v>
      </c>
      <c r="AW54" s="182">
        <v>1.36</v>
      </c>
      <c r="AX54" s="183">
        <v>9.8199999999999989E-3</v>
      </c>
      <c r="AY54" s="183">
        <v>5.4720000000000005E-2</v>
      </c>
      <c r="AZ54" s="183">
        <v>7.3660000000000003E-2</v>
      </c>
      <c r="BA54" s="183">
        <v>0.10938000000000001</v>
      </c>
      <c r="BB54" s="182">
        <v>1.36</v>
      </c>
      <c r="BC54" s="183">
        <v>3.4639999999999997E-2</v>
      </c>
      <c r="BD54" s="183">
        <v>7.3599999999999994E-3</v>
      </c>
      <c r="BE54" s="183">
        <v>6.2859999999999985E-2</v>
      </c>
      <c r="BF54" s="183">
        <v>3.3059999999999992E-2</v>
      </c>
    </row>
    <row r="55" spans="4:58" ht="15.75">
      <c r="D55" s="182">
        <v>1.37</v>
      </c>
      <c r="E55" s="183">
        <v>4.6420000000000003E-2</v>
      </c>
      <c r="F55" s="183">
        <v>2.4779999999999996E-2</v>
      </c>
      <c r="G55" s="183">
        <v>0</v>
      </c>
      <c r="H55" s="183">
        <v>0</v>
      </c>
      <c r="I55" s="182">
        <v>1.37</v>
      </c>
      <c r="J55" s="183">
        <v>3.576E-2</v>
      </c>
      <c r="K55" s="183">
        <v>1.4719999999999999E-2</v>
      </c>
      <c r="L55" s="183">
        <v>8.1939999999999999E-2</v>
      </c>
      <c r="M55" s="183">
        <v>0</v>
      </c>
      <c r="N55" s="182">
        <v>1.37</v>
      </c>
      <c r="O55" s="183">
        <v>3.95E-2</v>
      </c>
      <c r="P55" s="183">
        <v>2.5399999999999999E-2</v>
      </c>
      <c r="Q55" s="183">
        <v>0</v>
      </c>
      <c r="R55" s="183">
        <v>7.107999999999999E-2</v>
      </c>
      <c r="S55" s="182">
        <v>1.37</v>
      </c>
      <c r="T55" s="183">
        <v>2.4799999999999999E-2</v>
      </c>
      <c r="U55" s="183">
        <v>8.4799999999999997E-3</v>
      </c>
      <c r="V55" s="183">
        <v>5.7520000000000002E-2</v>
      </c>
      <c r="W55" s="183">
        <v>0</v>
      </c>
      <c r="X55" s="182">
        <v>1.37</v>
      </c>
      <c r="Y55" s="183">
        <v>3.0760000000000006E-2</v>
      </c>
      <c r="Z55" s="183">
        <v>2.3259999999999999E-2</v>
      </c>
      <c r="AA55" s="183">
        <v>0</v>
      </c>
      <c r="AB55" s="183">
        <v>6.6959999999999992E-2</v>
      </c>
      <c r="AC55" s="182">
        <v>1.37</v>
      </c>
      <c r="AD55" s="183">
        <v>3.2120000000000003E-2</v>
      </c>
      <c r="AE55" s="183">
        <v>1.7159999999999998E-2</v>
      </c>
      <c r="AF55" s="183">
        <v>7.102E-2</v>
      </c>
      <c r="AG55" s="183">
        <v>3.7899999999999996E-2</v>
      </c>
      <c r="AH55" s="182">
        <v>1.37</v>
      </c>
      <c r="AI55" s="183">
        <v>2.3179999999999999E-2</v>
      </c>
      <c r="AJ55" s="183">
        <v>1.0679999999999999E-2</v>
      </c>
      <c r="AK55" s="183">
        <v>5.3199999999999997E-2</v>
      </c>
      <c r="AL55" s="183">
        <v>2.1399999999999995E-2</v>
      </c>
      <c r="AM55" s="182">
        <v>1.37</v>
      </c>
      <c r="AN55" s="183">
        <v>2.7480000000000001E-2</v>
      </c>
      <c r="AO55" s="183">
        <v>1.6799999999999999E-2</v>
      </c>
      <c r="AP55" s="183">
        <v>5.8140000000000004E-2</v>
      </c>
      <c r="AQ55" s="183">
        <v>4.1439999999999998E-2</v>
      </c>
      <c r="AR55" s="182">
        <v>1.37</v>
      </c>
      <c r="AS55" s="183">
        <v>2.1000000000000001E-2</v>
      </c>
      <c r="AT55" s="183">
        <v>1.1179999999999999E-2</v>
      </c>
      <c r="AU55" s="183">
        <v>4.3359999999999982E-2</v>
      </c>
      <c r="AV55" s="183">
        <v>2.5319999999999995E-2</v>
      </c>
      <c r="AW55" s="182">
        <v>1.37</v>
      </c>
      <c r="AX55" s="183">
        <v>9.7900000000000001E-3</v>
      </c>
      <c r="AY55" s="183">
        <v>5.484E-2</v>
      </c>
      <c r="AZ55" s="183">
        <v>7.4270000000000003E-2</v>
      </c>
      <c r="BA55" s="183">
        <v>0.10991000000000001</v>
      </c>
      <c r="BB55" s="182">
        <v>1.37</v>
      </c>
      <c r="BC55" s="183">
        <v>3.4379999999999994E-2</v>
      </c>
      <c r="BD55" s="183">
        <v>7.2699999999999987E-3</v>
      </c>
      <c r="BE55" s="183">
        <v>6.2369999999999988E-2</v>
      </c>
      <c r="BF55" s="183">
        <v>3.2669999999999991E-2</v>
      </c>
    </row>
    <row r="56" spans="4:58" ht="15.75">
      <c r="D56" s="182">
        <v>1.38</v>
      </c>
      <c r="E56" s="183">
        <v>4.6579999999999996E-2</v>
      </c>
      <c r="F56" s="183">
        <v>2.4520000000000004E-2</v>
      </c>
      <c r="G56" s="183">
        <v>0</v>
      </c>
      <c r="H56" s="183">
        <v>0</v>
      </c>
      <c r="I56" s="182">
        <v>1.38</v>
      </c>
      <c r="J56" s="183">
        <v>3.5740000000000001E-2</v>
      </c>
      <c r="K56" s="183">
        <v>1.4480000000000002E-2</v>
      </c>
      <c r="L56" s="183">
        <v>8.1559999999999994E-2</v>
      </c>
      <c r="M56" s="183">
        <v>0</v>
      </c>
      <c r="N56" s="182">
        <v>1.38</v>
      </c>
      <c r="O56" s="183">
        <v>3.9699999999999999E-2</v>
      </c>
      <c r="P56" s="183">
        <v>2.52E-2</v>
      </c>
      <c r="Q56" s="183">
        <v>0</v>
      </c>
      <c r="R56" s="183">
        <v>7.0320000000000008E-2</v>
      </c>
      <c r="S56" s="182">
        <v>1.38</v>
      </c>
      <c r="T56" s="183">
        <v>2.4700000000000003E-2</v>
      </c>
      <c r="U56" s="183">
        <v>8.320000000000001E-3</v>
      </c>
      <c r="V56" s="183">
        <v>5.7180000000000002E-2</v>
      </c>
      <c r="W56" s="183">
        <v>0</v>
      </c>
      <c r="X56" s="182">
        <v>1.38</v>
      </c>
      <c r="Y56" s="183">
        <v>3.1039999999999998E-2</v>
      </c>
      <c r="Z56" s="183">
        <v>2.3140000000000001E-2</v>
      </c>
      <c r="AA56" s="183">
        <v>0</v>
      </c>
      <c r="AB56" s="183">
        <v>6.6640000000000005E-2</v>
      </c>
      <c r="AC56" s="182">
        <v>1.38</v>
      </c>
      <c r="AD56" s="183">
        <v>3.218E-2</v>
      </c>
      <c r="AE56" s="183">
        <v>1.6940000000000004E-2</v>
      </c>
      <c r="AF56" s="183">
        <v>7.0980000000000001E-2</v>
      </c>
      <c r="AG56" s="183">
        <v>3.7300000000000007E-2</v>
      </c>
      <c r="AH56" s="182">
        <v>1.38</v>
      </c>
      <c r="AI56" s="183">
        <v>2.3120000000000002E-2</v>
      </c>
      <c r="AJ56" s="183">
        <v>1.0520000000000002E-2</v>
      </c>
      <c r="AK56" s="183">
        <v>5.3000000000000005E-2</v>
      </c>
      <c r="AL56" s="183">
        <v>2.1000000000000005E-2</v>
      </c>
      <c r="AM56" s="182">
        <v>1.38</v>
      </c>
      <c r="AN56" s="183">
        <v>2.7619999999999999E-2</v>
      </c>
      <c r="AO56" s="183">
        <v>1.66E-2</v>
      </c>
      <c r="AP56" s="183">
        <v>5.8359999999999995E-2</v>
      </c>
      <c r="AQ56" s="183">
        <v>4.0960000000000003E-2</v>
      </c>
      <c r="AR56" s="182">
        <v>1.38</v>
      </c>
      <c r="AS56" s="183">
        <v>2.1000000000000001E-2</v>
      </c>
      <c r="AT56" s="183">
        <v>1.102E-2</v>
      </c>
      <c r="AU56" s="183">
        <v>4.1340000000000016E-2</v>
      </c>
      <c r="AV56" s="183">
        <v>2.4880000000000006E-2</v>
      </c>
      <c r="AW56" s="182">
        <v>1.38</v>
      </c>
      <c r="AX56" s="183">
        <v>9.7599999999999996E-3</v>
      </c>
      <c r="AY56" s="183">
        <v>5.4960000000000002E-2</v>
      </c>
      <c r="AZ56" s="183">
        <v>7.4880000000000002E-2</v>
      </c>
      <c r="BA56" s="183">
        <v>0.11044</v>
      </c>
      <c r="BB56" s="182">
        <v>1.38</v>
      </c>
      <c r="BC56" s="183">
        <v>3.4120000000000004E-2</v>
      </c>
      <c r="BD56" s="183">
        <v>7.1800000000000006E-3</v>
      </c>
      <c r="BE56" s="183">
        <v>6.1880000000000004E-2</v>
      </c>
      <c r="BF56" s="183">
        <v>3.2280000000000003E-2</v>
      </c>
    </row>
    <row r="57" spans="4:58" ht="15.75">
      <c r="D57" s="182">
        <v>1.39</v>
      </c>
      <c r="E57" s="183">
        <v>4.6739999999999997E-2</v>
      </c>
      <c r="F57" s="183">
        <v>2.426E-2</v>
      </c>
      <c r="G57" s="183">
        <v>0</v>
      </c>
      <c r="H57" s="183">
        <v>0</v>
      </c>
      <c r="I57" s="182">
        <v>1.39</v>
      </c>
      <c r="J57" s="183">
        <v>3.5720000000000002E-2</v>
      </c>
      <c r="K57" s="183">
        <v>1.4240000000000001E-2</v>
      </c>
      <c r="L57" s="183">
        <v>8.1180000000000002E-2</v>
      </c>
      <c r="M57" s="183">
        <v>0</v>
      </c>
      <c r="N57" s="182">
        <v>1.39</v>
      </c>
      <c r="O57" s="183">
        <v>3.9899999999999998E-2</v>
      </c>
      <c r="P57" s="183">
        <v>2.5000000000000001E-2</v>
      </c>
      <c r="Q57" s="183">
        <v>0</v>
      </c>
      <c r="R57" s="183">
        <v>6.9559999999999997E-2</v>
      </c>
      <c r="S57" s="182">
        <v>1.39</v>
      </c>
      <c r="T57" s="183">
        <v>2.46E-2</v>
      </c>
      <c r="U57" s="183">
        <v>8.1600000000000006E-3</v>
      </c>
      <c r="V57" s="183">
        <v>5.6840000000000002E-2</v>
      </c>
      <c r="W57" s="183">
        <v>0</v>
      </c>
      <c r="X57" s="182">
        <v>1.39</v>
      </c>
      <c r="Y57" s="183">
        <v>3.1320000000000001E-2</v>
      </c>
      <c r="Z57" s="183">
        <v>2.3020000000000002E-2</v>
      </c>
      <c r="AA57" s="183">
        <v>0</v>
      </c>
      <c r="AB57" s="183">
        <v>6.6320000000000004E-2</v>
      </c>
      <c r="AC57" s="182">
        <v>1.39</v>
      </c>
      <c r="AD57" s="183">
        <v>3.2240000000000005E-2</v>
      </c>
      <c r="AE57" s="183">
        <v>1.6720000000000002E-2</v>
      </c>
      <c r="AF57" s="183">
        <v>7.0940000000000003E-2</v>
      </c>
      <c r="AG57" s="183">
        <v>3.6700000000000003E-2</v>
      </c>
      <c r="AH57" s="182">
        <v>1.39</v>
      </c>
      <c r="AI57" s="183">
        <v>2.3060000000000001E-2</v>
      </c>
      <c r="AJ57" s="183">
        <v>1.0360000000000001E-2</v>
      </c>
      <c r="AK57" s="183">
        <v>5.28E-2</v>
      </c>
      <c r="AL57" s="183">
        <v>2.06E-2</v>
      </c>
      <c r="AM57" s="182">
        <v>1.39</v>
      </c>
      <c r="AN57" s="183">
        <v>2.776E-2</v>
      </c>
      <c r="AO57" s="183">
        <v>1.6400000000000001E-2</v>
      </c>
      <c r="AP57" s="183">
        <v>5.858E-2</v>
      </c>
      <c r="AQ57" s="183">
        <v>4.0480000000000002E-2</v>
      </c>
      <c r="AR57" s="182">
        <v>1.39</v>
      </c>
      <c r="AS57" s="183">
        <v>2.1000000000000001E-2</v>
      </c>
      <c r="AT57" s="183">
        <v>1.086E-2</v>
      </c>
      <c r="AU57" s="183">
        <v>3.9320000000000008E-2</v>
      </c>
      <c r="AV57" s="183">
        <v>2.4440000000000003E-2</v>
      </c>
      <c r="AW57" s="182">
        <v>1.39</v>
      </c>
      <c r="AX57" s="183">
        <v>9.7300000000000008E-3</v>
      </c>
      <c r="AY57" s="183">
        <v>5.5079999999999997E-2</v>
      </c>
      <c r="AZ57" s="183">
        <v>7.5490000000000002E-2</v>
      </c>
      <c r="BA57" s="183">
        <v>0.11097</v>
      </c>
      <c r="BB57" s="182">
        <v>1.39</v>
      </c>
      <c r="BC57" s="183">
        <v>3.3860000000000001E-2</v>
      </c>
      <c r="BD57" s="183">
        <v>7.0900000000000008E-3</v>
      </c>
      <c r="BE57" s="183">
        <v>6.139E-2</v>
      </c>
      <c r="BF57" s="183">
        <v>3.1890000000000002E-2</v>
      </c>
    </row>
    <row r="58" spans="4:58" ht="15.75">
      <c r="D58" s="180">
        <v>1.4</v>
      </c>
      <c r="E58" s="181">
        <v>4.6899999999999997E-2</v>
      </c>
      <c r="F58" s="181">
        <v>2.4E-2</v>
      </c>
      <c r="G58" s="183">
        <v>0</v>
      </c>
      <c r="H58" s="183">
        <v>0</v>
      </c>
      <c r="I58" s="180">
        <v>1.4</v>
      </c>
      <c r="J58" s="181">
        <v>3.5700000000000003E-2</v>
      </c>
      <c r="K58" s="181">
        <v>1.4E-2</v>
      </c>
      <c r="L58" s="181">
        <v>8.0799999999999997E-2</v>
      </c>
      <c r="M58" s="183">
        <v>0</v>
      </c>
      <c r="N58" s="180">
        <v>1.4</v>
      </c>
      <c r="O58" s="181">
        <v>4.0099999999999997E-2</v>
      </c>
      <c r="P58" s="181">
        <v>2.4799999999999999E-2</v>
      </c>
      <c r="Q58" s="183">
        <v>0</v>
      </c>
      <c r="R58" s="181">
        <v>6.88E-2</v>
      </c>
      <c r="S58" s="180">
        <v>1.4</v>
      </c>
      <c r="T58" s="181">
        <v>2.4500000000000001E-2</v>
      </c>
      <c r="U58" s="181">
        <v>8.0000000000000002E-3</v>
      </c>
      <c r="V58" s="181">
        <v>5.6500000000000002E-2</v>
      </c>
      <c r="W58" s="183">
        <v>0</v>
      </c>
      <c r="X58" s="180">
        <v>1.4</v>
      </c>
      <c r="Y58" s="181">
        <v>3.1600000000000003E-2</v>
      </c>
      <c r="Z58" s="181">
        <v>2.29E-2</v>
      </c>
      <c r="AA58" s="183">
        <v>0</v>
      </c>
      <c r="AB58" s="181">
        <v>6.6000000000000003E-2</v>
      </c>
      <c r="AC58" s="180">
        <v>1.4</v>
      </c>
      <c r="AD58" s="181">
        <v>3.2300000000000002E-2</v>
      </c>
      <c r="AE58" s="181">
        <v>1.6500000000000001E-2</v>
      </c>
      <c r="AF58" s="181">
        <v>7.0900000000000005E-2</v>
      </c>
      <c r="AG58" s="181">
        <v>3.61E-2</v>
      </c>
      <c r="AH58" s="180">
        <v>1.4</v>
      </c>
      <c r="AI58" s="181">
        <v>2.3E-2</v>
      </c>
      <c r="AJ58" s="181">
        <v>1.0200000000000001E-2</v>
      </c>
      <c r="AK58" s="181">
        <v>5.2600000000000001E-2</v>
      </c>
      <c r="AL58" s="181">
        <v>2.0199999999999999E-2</v>
      </c>
      <c r="AM58" s="180">
        <v>1.4</v>
      </c>
      <c r="AN58" s="181">
        <v>2.7900000000000001E-2</v>
      </c>
      <c r="AO58" s="181">
        <v>1.6199999999999999E-2</v>
      </c>
      <c r="AP58" s="181">
        <v>5.8799999999999998E-2</v>
      </c>
      <c r="AQ58" s="181">
        <v>0.04</v>
      </c>
      <c r="AR58" s="180">
        <v>1.4</v>
      </c>
      <c r="AS58" s="181">
        <v>2.1000000000000001E-2</v>
      </c>
      <c r="AT58" s="181">
        <v>1.0699999999999999E-2</v>
      </c>
      <c r="AU58" s="181">
        <v>3.73E-2</v>
      </c>
      <c r="AV58" s="181">
        <v>2.4E-2</v>
      </c>
      <c r="AW58" s="180">
        <v>1.4</v>
      </c>
      <c r="AX58" s="181">
        <v>9.7000000000000003E-3</v>
      </c>
      <c r="AY58" s="181">
        <v>5.5199999999999999E-2</v>
      </c>
      <c r="AZ58" s="181">
        <v>7.6100000000000001E-2</v>
      </c>
      <c r="BA58" s="181">
        <v>0.1115</v>
      </c>
      <c r="BB58" s="180">
        <v>1.4</v>
      </c>
      <c r="BC58" s="181">
        <v>3.3599999999999998E-2</v>
      </c>
      <c r="BD58" s="181">
        <v>7.0000000000000001E-3</v>
      </c>
      <c r="BE58" s="181">
        <v>6.0900000000000003E-2</v>
      </c>
      <c r="BF58" s="181">
        <v>3.15E-2</v>
      </c>
    </row>
    <row r="59" spans="4:58" ht="15.75">
      <c r="D59" s="182">
        <v>1.41</v>
      </c>
      <c r="E59" s="183">
        <v>4.7019999999999999E-2</v>
      </c>
      <c r="F59" s="183">
        <v>2.3699999999999999E-2</v>
      </c>
      <c r="G59" s="183">
        <v>0</v>
      </c>
      <c r="H59" s="183">
        <v>0</v>
      </c>
      <c r="I59" s="182">
        <v>1.41</v>
      </c>
      <c r="J59" s="183">
        <v>3.5619999999999999E-2</v>
      </c>
      <c r="K59" s="183">
        <v>1.376E-2</v>
      </c>
      <c r="L59" s="183">
        <v>8.0439999999999998E-2</v>
      </c>
      <c r="M59" s="183">
        <v>0</v>
      </c>
      <c r="N59" s="182">
        <v>1.41</v>
      </c>
      <c r="O59" s="183">
        <v>4.0299999999999996E-2</v>
      </c>
      <c r="P59" s="183">
        <v>2.4579999999999998E-2</v>
      </c>
      <c r="Q59" s="183">
        <v>0</v>
      </c>
      <c r="R59" s="183">
        <v>6.812E-2</v>
      </c>
      <c r="S59" s="182">
        <v>1.41</v>
      </c>
      <c r="T59" s="183">
        <v>2.4400000000000002E-2</v>
      </c>
      <c r="U59" s="183">
        <v>7.8399999999999997E-3</v>
      </c>
      <c r="V59" s="183">
        <v>5.62E-2</v>
      </c>
      <c r="W59" s="183">
        <v>0</v>
      </c>
      <c r="X59" s="182">
        <v>1.41</v>
      </c>
      <c r="Y59" s="183">
        <v>3.1859999999999999E-2</v>
      </c>
      <c r="Z59" s="183">
        <v>2.2759999999999999E-2</v>
      </c>
      <c r="AA59" s="183">
        <v>0</v>
      </c>
      <c r="AB59" s="183">
        <v>6.5619999999999998E-2</v>
      </c>
      <c r="AC59" s="182">
        <v>1.41</v>
      </c>
      <c r="AD59" s="183">
        <v>3.2320000000000002E-2</v>
      </c>
      <c r="AE59" s="183">
        <v>1.6279999999999999E-2</v>
      </c>
      <c r="AF59" s="183">
        <v>7.078000000000001E-2</v>
      </c>
      <c r="AG59" s="183">
        <v>3.5560000000000001E-2</v>
      </c>
      <c r="AH59" s="182">
        <v>1.41</v>
      </c>
      <c r="AI59" s="183">
        <v>2.2960000000000001E-2</v>
      </c>
      <c r="AJ59" s="183">
        <v>1.004E-2</v>
      </c>
      <c r="AK59" s="183">
        <v>5.2400000000000002E-2</v>
      </c>
      <c r="AL59" s="183">
        <v>1.9859999999999999E-2</v>
      </c>
      <c r="AM59" s="182">
        <v>1.41</v>
      </c>
      <c r="AN59" s="183">
        <v>2.7960000000000002E-2</v>
      </c>
      <c r="AO59" s="183">
        <v>1.6039999999999999E-2</v>
      </c>
      <c r="AP59" s="183">
        <v>5.8900000000000001E-2</v>
      </c>
      <c r="AQ59" s="183">
        <v>3.9539999999999999E-2</v>
      </c>
      <c r="AR59" s="182">
        <v>1.41</v>
      </c>
      <c r="AS59" s="183">
        <v>2.0980000000000002E-2</v>
      </c>
      <c r="AT59" s="183">
        <v>1.056E-2</v>
      </c>
      <c r="AU59" s="183">
        <v>3.9219999999999998E-2</v>
      </c>
      <c r="AV59" s="183">
        <v>2.366E-2</v>
      </c>
      <c r="AW59" s="182">
        <v>1.41</v>
      </c>
      <c r="AX59" s="183">
        <v>9.6800000000000011E-3</v>
      </c>
      <c r="AY59" s="183">
        <v>5.5239999999999997E-2</v>
      </c>
      <c r="AZ59" s="183">
        <v>7.6700000000000004E-2</v>
      </c>
      <c r="BA59" s="183">
        <v>0.1119</v>
      </c>
      <c r="BB59" s="182">
        <v>1.41</v>
      </c>
      <c r="BC59" s="183">
        <v>3.3349999999999998E-2</v>
      </c>
      <c r="BD59" s="183">
        <v>6.8900000000000003E-3</v>
      </c>
      <c r="BE59" s="183">
        <v>6.0430000000000005E-2</v>
      </c>
      <c r="BF59" s="183">
        <v>3.1140000000000001E-2</v>
      </c>
    </row>
    <row r="60" spans="4:58" ht="15.75">
      <c r="D60" s="182">
        <v>1.42</v>
      </c>
      <c r="E60" s="183">
        <v>4.7140000000000001E-2</v>
      </c>
      <c r="F60" s="183">
        <v>2.3400000000000001E-2</v>
      </c>
      <c r="G60" s="183">
        <v>0</v>
      </c>
      <c r="H60" s="183">
        <v>0</v>
      </c>
      <c r="I60" s="182">
        <v>1.42</v>
      </c>
      <c r="J60" s="183">
        <v>3.5540000000000002E-2</v>
      </c>
      <c r="K60" s="183">
        <v>1.3520000000000001E-2</v>
      </c>
      <c r="L60" s="183">
        <v>8.0079999999999998E-2</v>
      </c>
      <c r="M60" s="183">
        <v>0</v>
      </c>
      <c r="N60" s="182">
        <v>1.42</v>
      </c>
      <c r="O60" s="183">
        <v>4.0499999999999994E-2</v>
      </c>
      <c r="P60" s="183">
        <v>2.436E-2</v>
      </c>
      <c r="Q60" s="183">
        <v>0</v>
      </c>
      <c r="R60" s="183">
        <v>6.744E-2</v>
      </c>
      <c r="S60" s="182">
        <v>1.42</v>
      </c>
      <c r="T60" s="183">
        <v>2.4300000000000002E-2</v>
      </c>
      <c r="U60" s="183">
        <v>7.6800000000000002E-3</v>
      </c>
      <c r="V60" s="183">
        <v>5.5899999999999998E-2</v>
      </c>
      <c r="W60" s="183">
        <v>0</v>
      </c>
      <c r="X60" s="182">
        <v>1.42</v>
      </c>
      <c r="Y60" s="183">
        <v>3.2120000000000003E-2</v>
      </c>
      <c r="Z60" s="183">
        <v>2.2620000000000001E-2</v>
      </c>
      <c r="AA60" s="183">
        <v>0</v>
      </c>
      <c r="AB60" s="183">
        <v>6.5240000000000006E-2</v>
      </c>
      <c r="AC60" s="182">
        <v>1.42</v>
      </c>
      <c r="AD60" s="183">
        <v>3.2340000000000001E-2</v>
      </c>
      <c r="AE60" s="183">
        <v>1.6060000000000001E-2</v>
      </c>
      <c r="AF60" s="183">
        <v>7.0660000000000001E-2</v>
      </c>
      <c r="AG60" s="183">
        <v>3.5020000000000003E-2</v>
      </c>
      <c r="AH60" s="182">
        <v>1.42</v>
      </c>
      <c r="AI60" s="183">
        <v>2.2919999999999999E-2</v>
      </c>
      <c r="AJ60" s="183">
        <v>9.8799999999999999E-3</v>
      </c>
      <c r="AK60" s="183">
        <v>5.2200000000000003E-2</v>
      </c>
      <c r="AL60" s="183">
        <v>1.9519999999999999E-2</v>
      </c>
      <c r="AM60" s="182">
        <v>1.42</v>
      </c>
      <c r="AN60" s="183">
        <v>2.802E-2</v>
      </c>
      <c r="AO60" s="183">
        <v>1.5879999999999998E-2</v>
      </c>
      <c r="AP60" s="183">
        <v>5.8999999999999997E-2</v>
      </c>
      <c r="AQ60" s="183">
        <v>3.9079999999999997E-2</v>
      </c>
      <c r="AR60" s="182">
        <v>1.42</v>
      </c>
      <c r="AS60" s="183">
        <v>2.0959999999999999E-2</v>
      </c>
      <c r="AT60" s="183">
        <v>1.042E-2</v>
      </c>
      <c r="AU60" s="183">
        <v>4.1139999999999996E-2</v>
      </c>
      <c r="AV60" s="183">
        <v>2.332E-2</v>
      </c>
      <c r="AW60" s="182">
        <v>1.42</v>
      </c>
      <c r="AX60" s="183">
        <v>9.6600000000000002E-3</v>
      </c>
      <c r="AY60" s="183">
        <v>5.5279999999999996E-2</v>
      </c>
      <c r="AZ60" s="183">
        <v>7.7300000000000008E-2</v>
      </c>
      <c r="BA60" s="183">
        <v>0.1123</v>
      </c>
      <c r="BB60" s="182">
        <v>1.42</v>
      </c>
      <c r="BC60" s="183">
        <v>3.3099999999999997E-2</v>
      </c>
      <c r="BD60" s="183">
        <v>6.7800000000000004E-3</v>
      </c>
      <c r="BE60" s="183">
        <v>5.9960000000000006E-2</v>
      </c>
      <c r="BF60" s="183">
        <v>3.0780000000000002E-2</v>
      </c>
    </row>
    <row r="61" spans="4:58" ht="15.75">
      <c r="D61" s="182">
        <v>1.43</v>
      </c>
      <c r="E61" s="183">
        <v>4.7259999999999996E-2</v>
      </c>
      <c r="F61" s="183">
        <v>2.3099999999999999E-2</v>
      </c>
      <c r="G61" s="183">
        <v>0</v>
      </c>
      <c r="H61" s="183">
        <v>0</v>
      </c>
      <c r="I61" s="182">
        <v>1.43</v>
      </c>
      <c r="J61" s="183">
        <v>3.5459999999999998E-2</v>
      </c>
      <c r="K61" s="183">
        <v>1.328E-2</v>
      </c>
      <c r="L61" s="183">
        <v>7.9719999999999999E-2</v>
      </c>
      <c r="M61" s="183">
        <v>0</v>
      </c>
      <c r="N61" s="182">
        <v>1.43</v>
      </c>
      <c r="O61" s="183">
        <v>4.07E-2</v>
      </c>
      <c r="P61" s="183">
        <v>2.4139999999999998E-2</v>
      </c>
      <c r="Q61" s="183">
        <v>0</v>
      </c>
      <c r="R61" s="183">
        <v>6.676E-2</v>
      </c>
      <c r="S61" s="182">
        <v>1.43</v>
      </c>
      <c r="T61" s="183">
        <v>2.4199999999999999E-2</v>
      </c>
      <c r="U61" s="183">
        <v>7.5199999999999998E-3</v>
      </c>
      <c r="V61" s="183">
        <v>5.5600000000000004E-2</v>
      </c>
      <c r="W61" s="183">
        <v>0</v>
      </c>
      <c r="X61" s="182">
        <v>1.43</v>
      </c>
      <c r="Y61" s="183">
        <v>3.2379999999999999E-2</v>
      </c>
      <c r="Z61" s="183">
        <v>2.248E-2</v>
      </c>
      <c r="AA61" s="183">
        <v>0</v>
      </c>
      <c r="AB61" s="183">
        <v>6.4860000000000001E-2</v>
      </c>
      <c r="AC61" s="182">
        <v>1.43</v>
      </c>
      <c r="AD61" s="183">
        <v>3.236E-2</v>
      </c>
      <c r="AE61" s="183">
        <v>1.584E-2</v>
      </c>
      <c r="AF61" s="183">
        <v>7.0540000000000005E-2</v>
      </c>
      <c r="AG61" s="183">
        <v>3.4479999999999997E-2</v>
      </c>
      <c r="AH61" s="182">
        <v>1.43</v>
      </c>
      <c r="AI61" s="183">
        <v>2.2880000000000001E-2</v>
      </c>
      <c r="AJ61" s="183">
        <v>9.7200000000000012E-3</v>
      </c>
      <c r="AK61" s="183">
        <v>5.1999999999999998E-2</v>
      </c>
      <c r="AL61" s="183">
        <v>1.9179999999999999E-2</v>
      </c>
      <c r="AM61" s="182">
        <v>1.43</v>
      </c>
      <c r="AN61" s="183">
        <v>2.8080000000000001E-2</v>
      </c>
      <c r="AO61" s="183">
        <v>1.5720000000000001E-2</v>
      </c>
      <c r="AP61" s="183">
        <v>5.91E-2</v>
      </c>
      <c r="AQ61" s="183">
        <v>3.8620000000000002E-2</v>
      </c>
      <c r="AR61" s="182">
        <v>1.43</v>
      </c>
      <c r="AS61" s="183">
        <v>2.094E-2</v>
      </c>
      <c r="AT61" s="183">
        <v>1.0279999999999999E-2</v>
      </c>
      <c r="AU61" s="183">
        <v>4.3060000000000001E-2</v>
      </c>
      <c r="AV61" s="183">
        <v>2.298E-2</v>
      </c>
      <c r="AW61" s="182">
        <v>1.43</v>
      </c>
      <c r="AX61" s="183">
        <v>9.640000000000001E-3</v>
      </c>
      <c r="AY61" s="183">
        <v>5.5320000000000001E-2</v>
      </c>
      <c r="AZ61" s="183">
        <v>7.7899999999999997E-2</v>
      </c>
      <c r="BA61" s="183">
        <v>0.11270000000000001</v>
      </c>
      <c r="BB61" s="182">
        <v>1.43</v>
      </c>
      <c r="BC61" s="183">
        <v>3.2849999999999997E-2</v>
      </c>
      <c r="BD61" s="183">
        <v>6.6699999999999997E-3</v>
      </c>
      <c r="BE61" s="183">
        <v>5.9490000000000001E-2</v>
      </c>
      <c r="BF61" s="183">
        <v>3.0419999999999999E-2</v>
      </c>
    </row>
    <row r="62" spans="4:58" ht="15.75">
      <c r="D62" s="182">
        <v>1.44</v>
      </c>
      <c r="E62" s="183">
        <v>4.7379999999999999E-2</v>
      </c>
      <c r="F62" s="183">
        <v>2.2800000000000001E-2</v>
      </c>
      <c r="G62" s="183">
        <v>0</v>
      </c>
      <c r="H62" s="183">
        <v>0</v>
      </c>
      <c r="I62" s="182">
        <v>1.44</v>
      </c>
      <c r="J62" s="183">
        <v>3.5380000000000002E-2</v>
      </c>
      <c r="K62" s="183">
        <v>1.3040000000000001E-2</v>
      </c>
      <c r="L62" s="183">
        <v>7.936E-2</v>
      </c>
      <c r="M62" s="183">
        <v>0</v>
      </c>
      <c r="N62" s="182">
        <v>1.44</v>
      </c>
      <c r="O62" s="183">
        <v>4.0899999999999999E-2</v>
      </c>
      <c r="P62" s="183">
        <v>2.392E-2</v>
      </c>
      <c r="Q62" s="183">
        <v>0</v>
      </c>
      <c r="R62" s="183">
        <v>6.608E-2</v>
      </c>
      <c r="S62" s="182">
        <v>1.44</v>
      </c>
      <c r="T62" s="183">
        <v>2.41E-2</v>
      </c>
      <c r="U62" s="183">
        <v>7.3600000000000002E-3</v>
      </c>
      <c r="V62" s="183">
        <v>5.5300000000000002E-2</v>
      </c>
      <c r="W62" s="183">
        <v>0</v>
      </c>
      <c r="X62" s="182">
        <v>1.44</v>
      </c>
      <c r="Y62" s="183">
        <v>3.2640000000000002E-2</v>
      </c>
      <c r="Z62" s="183">
        <v>2.2340000000000002E-2</v>
      </c>
      <c r="AA62" s="183">
        <v>0</v>
      </c>
      <c r="AB62" s="183">
        <v>6.448000000000001E-2</v>
      </c>
      <c r="AC62" s="182">
        <v>1.44</v>
      </c>
      <c r="AD62" s="183">
        <v>3.2379999999999999E-2</v>
      </c>
      <c r="AE62" s="183">
        <v>1.562E-2</v>
      </c>
      <c r="AF62" s="183">
        <v>7.0419999999999996E-2</v>
      </c>
      <c r="AG62" s="183">
        <v>3.3939999999999998E-2</v>
      </c>
      <c r="AH62" s="182">
        <v>1.44</v>
      </c>
      <c r="AI62" s="183">
        <v>2.2839999999999999E-2</v>
      </c>
      <c r="AJ62" s="183">
        <v>9.5600000000000008E-3</v>
      </c>
      <c r="AK62" s="183">
        <v>5.1799999999999999E-2</v>
      </c>
      <c r="AL62" s="183">
        <v>1.8839999999999999E-2</v>
      </c>
      <c r="AM62" s="182">
        <v>1.44</v>
      </c>
      <c r="AN62" s="183">
        <v>2.8139999999999998E-2</v>
      </c>
      <c r="AO62" s="183">
        <v>1.5560000000000001E-2</v>
      </c>
      <c r="AP62" s="183">
        <v>5.9199999999999996E-2</v>
      </c>
      <c r="AQ62" s="183">
        <v>3.8159999999999999E-2</v>
      </c>
      <c r="AR62" s="182">
        <v>1.44</v>
      </c>
      <c r="AS62" s="183">
        <v>2.0919999999999998E-2</v>
      </c>
      <c r="AT62" s="183">
        <v>1.014E-2</v>
      </c>
      <c r="AU62" s="183">
        <v>4.4979999999999999E-2</v>
      </c>
      <c r="AV62" s="183">
        <v>2.264E-2</v>
      </c>
      <c r="AW62" s="182">
        <v>1.44</v>
      </c>
      <c r="AX62" s="183">
        <v>9.6200000000000001E-3</v>
      </c>
      <c r="AY62" s="183">
        <v>5.5359999999999999E-2</v>
      </c>
      <c r="AZ62" s="183">
        <v>7.85E-2</v>
      </c>
      <c r="BA62" s="183">
        <v>0.11310000000000001</v>
      </c>
      <c r="BB62" s="182">
        <v>1.44</v>
      </c>
      <c r="BC62" s="183">
        <v>3.2599999999999997E-2</v>
      </c>
      <c r="BD62" s="183">
        <v>6.5599999999999999E-3</v>
      </c>
      <c r="BE62" s="183">
        <v>5.9020000000000003E-2</v>
      </c>
      <c r="BF62" s="183">
        <v>3.006E-2</v>
      </c>
    </row>
    <row r="63" spans="4:58" ht="15.75">
      <c r="D63" s="180">
        <v>1.45</v>
      </c>
      <c r="E63" s="181">
        <v>4.7500000000000001E-2</v>
      </c>
      <c r="F63" s="181">
        <v>2.2499999999999999E-2</v>
      </c>
      <c r="G63" s="183">
        <v>0</v>
      </c>
      <c r="H63" s="183">
        <v>0</v>
      </c>
      <c r="I63" s="180">
        <v>1.45</v>
      </c>
      <c r="J63" s="181">
        <v>3.5299999999999998E-2</v>
      </c>
      <c r="K63" s="181">
        <v>1.2800000000000001E-2</v>
      </c>
      <c r="L63" s="181">
        <v>7.9000000000000001E-2</v>
      </c>
      <c r="M63" s="183">
        <v>0</v>
      </c>
      <c r="N63" s="180">
        <v>1.45</v>
      </c>
      <c r="O63" s="181">
        <v>4.1099999999999998E-2</v>
      </c>
      <c r="P63" s="181">
        <v>2.3699999999999999E-2</v>
      </c>
      <c r="Q63" s="183">
        <v>0</v>
      </c>
      <c r="R63" s="181">
        <v>6.54E-2</v>
      </c>
      <c r="S63" s="180">
        <v>1.45</v>
      </c>
      <c r="T63" s="181">
        <v>2.4E-2</v>
      </c>
      <c r="U63" s="181">
        <v>7.1999999999999998E-3</v>
      </c>
      <c r="V63" s="181">
        <v>5.5E-2</v>
      </c>
      <c r="W63" s="183">
        <v>0</v>
      </c>
      <c r="X63" s="180">
        <v>1.45</v>
      </c>
      <c r="Y63" s="181">
        <v>3.2899999999999999E-2</v>
      </c>
      <c r="Z63" s="181">
        <v>2.2200000000000001E-2</v>
      </c>
      <c r="AA63" s="183">
        <v>0</v>
      </c>
      <c r="AB63" s="181">
        <v>6.4100000000000004E-2</v>
      </c>
      <c r="AC63" s="180">
        <v>1.45</v>
      </c>
      <c r="AD63" s="181">
        <v>3.2399999999999998E-2</v>
      </c>
      <c r="AE63" s="181">
        <v>1.54E-2</v>
      </c>
      <c r="AF63" s="181">
        <v>7.0300000000000001E-2</v>
      </c>
      <c r="AG63" s="181">
        <v>3.3399999999999999E-2</v>
      </c>
      <c r="AH63" s="180">
        <v>1.45</v>
      </c>
      <c r="AI63" s="181">
        <v>2.2800000000000001E-2</v>
      </c>
      <c r="AJ63" s="181">
        <v>9.4000000000000004E-3</v>
      </c>
      <c r="AK63" s="181">
        <v>5.16E-2</v>
      </c>
      <c r="AL63" s="181">
        <v>1.8499999999999999E-2</v>
      </c>
      <c r="AM63" s="180">
        <v>1.45</v>
      </c>
      <c r="AN63" s="181">
        <v>2.8199999999999999E-2</v>
      </c>
      <c r="AO63" s="181">
        <v>1.54E-2</v>
      </c>
      <c r="AP63" s="181">
        <v>5.9299999999999999E-2</v>
      </c>
      <c r="AQ63" s="181">
        <v>3.7699999999999997E-2</v>
      </c>
      <c r="AR63" s="180">
        <v>1.45</v>
      </c>
      <c r="AS63" s="181">
        <v>2.0899999999999998E-2</v>
      </c>
      <c r="AT63" s="181">
        <v>0.01</v>
      </c>
      <c r="AU63" s="181">
        <v>4.6899999999999997E-2</v>
      </c>
      <c r="AV63" s="181">
        <v>2.23E-2</v>
      </c>
      <c r="AW63" s="180">
        <v>1.45</v>
      </c>
      <c r="AX63" s="181">
        <v>9.6000000000000009E-3</v>
      </c>
      <c r="AY63" s="181">
        <v>5.5399999999999998E-2</v>
      </c>
      <c r="AZ63" s="181">
        <v>7.9100000000000004E-2</v>
      </c>
      <c r="BA63" s="181">
        <v>0.1135</v>
      </c>
      <c r="BB63" s="180">
        <v>1.45</v>
      </c>
      <c r="BC63" s="181">
        <v>3.2349999999999997E-2</v>
      </c>
      <c r="BD63" s="181">
        <v>6.45E-3</v>
      </c>
      <c r="BE63" s="181">
        <v>5.8550000000000005E-2</v>
      </c>
      <c r="BF63" s="181">
        <v>2.9700000000000001E-2</v>
      </c>
    </row>
    <row r="64" spans="4:58" ht="15.75">
      <c r="D64" s="182">
        <v>1.46</v>
      </c>
      <c r="E64" s="183">
        <v>4.7600000000000003E-2</v>
      </c>
      <c r="F64" s="183">
        <v>2.2279999999999998E-2</v>
      </c>
      <c r="G64" s="183">
        <v>0</v>
      </c>
      <c r="H64" s="183">
        <v>0</v>
      </c>
      <c r="I64" s="182">
        <v>1.46</v>
      </c>
      <c r="J64" s="183">
        <v>3.524E-2</v>
      </c>
      <c r="K64" s="183">
        <v>1.2620000000000001E-2</v>
      </c>
      <c r="L64" s="183">
        <v>7.8640000000000002E-2</v>
      </c>
      <c r="M64" s="183">
        <v>0</v>
      </c>
      <c r="N64" s="182">
        <v>1.46</v>
      </c>
      <c r="O64" s="183">
        <v>4.1279999999999997E-2</v>
      </c>
      <c r="P64" s="183">
        <v>2.3519999999999999E-2</v>
      </c>
      <c r="Q64" s="183">
        <v>0</v>
      </c>
      <c r="R64" s="183">
        <v>6.472E-2</v>
      </c>
      <c r="S64" s="182">
        <v>1.46</v>
      </c>
      <c r="T64" s="183">
        <v>2.3900000000000001E-2</v>
      </c>
      <c r="U64" s="183">
        <v>7.0799999999999995E-3</v>
      </c>
      <c r="V64" s="183">
        <v>5.466E-2</v>
      </c>
      <c r="W64" s="183">
        <v>0</v>
      </c>
      <c r="X64" s="182">
        <v>1.46</v>
      </c>
      <c r="Y64" s="183">
        <v>3.3139999999999996E-2</v>
      </c>
      <c r="Z64" s="183">
        <v>2.2040000000000001E-2</v>
      </c>
      <c r="AA64" s="183">
        <v>0</v>
      </c>
      <c r="AB64" s="183">
        <v>6.3700000000000007E-2</v>
      </c>
      <c r="AC64" s="182">
        <v>1.46</v>
      </c>
      <c r="AD64" s="183">
        <v>3.2399999999999998E-2</v>
      </c>
      <c r="AE64" s="183">
        <v>1.52E-2</v>
      </c>
      <c r="AF64" s="183">
        <v>7.0140000000000008E-2</v>
      </c>
      <c r="AG64" s="183">
        <v>3.2919999999999998E-2</v>
      </c>
      <c r="AH64" s="182">
        <v>1.46</v>
      </c>
      <c r="AI64" s="183">
        <v>2.274E-2</v>
      </c>
      <c r="AJ64" s="183">
        <v>9.2399999999999999E-3</v>
      </c>
      <c r="AK64" s="183">
        <v>5.1400000000000001E-2</v>
      </c>
      <c r="AL64" s="183">
        <v>1.8179999999999998E-2</v>
      </c>
      <c r="AM64" s="182">
        <v>1.46</v>
      </c>
      <c r="AN64" s="183">
        <v>2.826E-2</v>
      </c>
      <c r="AO64" s="183">
        <v>1.524E-2</v>
      </c>
      <c r="AP64" s="183">
        <v>5.9380000000000002E-2</v>
      </c>
      <c r="AQ64" s="183">
        <v>3.7239999999999995E-2</v>
      </c>
      <c r="AR64" s="182">
        <v>1.46</v>
      </c>
      <c r="AS64" s="183">
        <v>2.0879999999999999E-2</v>
      </c>
      <c r="AT64" s="183">
        <v>9.8600000000000007E-3</v>
      </c>
      <c r="AU64" s="183">
        <v>4.6799999999999994E-2</v>
      </c>
      <c r="AV64" s="183">
        <v>2.196E-2</v>
      </c>
      <c r="AW64" s="182">
        <v>1.46</v>
      </c>
      <c r="AX64" s="183">
        <v>9.58E-3</v>
      </c>
      <c r="AY64" s="183">
        <v>5.5439999999999996E-2</v>
      </c>
      <c r="AZ64" s="183">
        <v>7.9700000000000007E-2</v>
      </c>
      <c r="BA64" s="183">
        <v>0.1139</v>
      </c>
      <c r="BB64" s="182">
        <v>1.46</v>
      </c>
      <c r="BC64" s="183">
        <v>3.2099999999999997E-2</v>
      </c>
      <c r="BD64" s="183">
        <v>6.3400000000000001E-3</v>
      </c>
      <c r="BE64" s="183">
        <v>5.8080000000000007E-2</v>
      </c>
      <c r="BF64" s="183">
        <v>2.9340000000000001E-2</v>
      </c>
    </row>
    <row r="65" spans="4:58" ht="15.75">
      <c r="D65" s="182">
        <v>1.47</v>
      </c>
      <c r="E65" s="183">
        <v>4.7699999999999999E-2</v>
      </c>
      <c r="F65" s="183">
        <v>2.206E-2</v>
      </c>
      <c r="G65" s="183">
        <v>0</v>
      </c>
      <c r="H65" s="183">
        <v>0</v>
      </c>
      <c r="I65" s="182">
        <v>1.47</v>
      </c>
      <c r="J65" s="183">
        <v>3.5180000000000003E-2</v>
      </c>
      <c r="K65" s="183">
        <v>1.2440000000000001E-2</v>
      </c>
      <c r="L65" s="183">
        <v>7.8280000000000002E-2</v>
      </c>
      <c r="M65" s="183">
        <v>0</v>
      </c>
      <c r="N65" s="182">
        <v>1.47</v>
      </c>
      <c r="O65" s="183">
        <v>4.1459999999999997E-2</v>
      </c>
      <c r="P65" s="183">
        <v>2.334E-2</v>
      </c>
      <c r="Q65" s="183">
        <v>0</v>
      </c>
      <c r="R65" s="183">
        <v>6.404E-2</v>
      </c>
      <c r="S65" s="182">
        <v>1.47</v>
      </c>
      <c r="T65" s="183">
        <v>2.3800000000000002E-2</v>
      </c>
      <c r="U65" s="183">
        <v>6.96E-3</v>
      </c>
      <c r="V65" s="183">
        <v>5.432E-2</v>
      </c>
      <c r="W65" s="183">
        <v>0</v>
      </c>
      <c r="X65" s="182">
        <v>1.47</v>
      </c>
      <c r="Y65" s="183">
        <v>3.338E-2</v>
      </c>
      <c r="Z65" s="183">
        <v>2.188E-2</v>
      </c>
      <c r="AA65" s="183">
        <v>0</v>
      </c>
      <c r="AB65" s="183">
        <v>6.3300000000000009E-2</v>
      </c>
      <c r="AC65" s="182">
        <v>1.47</v>
      </c>
      <c r="AD65" s="183">
        <v>3.2399999999999998E-2</v>
      </c>
      <c r="AE65" s="183">
        <v>1.4999999999999999E-2</v>
      </c>
      <c r="AF65" s="183">
        <v>6.9980000000000001E-2</v>
      </c>
      <c r="AG65" s="183">
        <v>3.2439999999999997E-2</v>
      </c>
      <c r="AH65" s="182">
        <v>1.47</v>
      </c>
      <c r="AI65" s="183">
        <v>2.2679999999999999E-2</v>
      </c>
      <c r="AJ65" s="183">
        <v>9.0799999999999995E-3</v>
      </c>
      <c r="AK65" s="183">
        <v>5.1200000000000002E-2</v>
      </c>
      <c r="AL65" s="183">
        <v>1.7859999999999997E-2</v>
      </c>
      <c r="AM65" s="182">
        <v>1.47</v>
      </c>
      <c r="AN65" s="183">
        <v>2.8320000000000001E-2</v>
      </c>
      <c r="AO65" s="183">
        <v>1.508E-2</v>
      </c>
      <c r="AP65" s="183">
        <v>5.9459999999999999E-2</v>
      </c>
      <c r="AQ65" s="183">
        <v>3.678E-2</v>
      </c>
      <c r="AR65" s="182">
        <v>1.47</v>
      </c>
      <c r="AS65" s="183">
        <v>2.086E-2</v>
      </c>
      <c r="AT65" s="183">
        <v>9.7199999999999995E-3</v>
      </c>
      <c r="AU65" s="183">
        <v>4.6699999999999998E-2</v>
      </c>
      <c r="AV65" s="183">
        <v>2.162E-2</v>
      </c>
      <c r="AW65" s="182">
        <v>1.47</v>
      </c>
      <c r="AX65" s="183">
        <v>9.5600000000000008E-3</v>
      </c>
      <c r="AY65" s="183">
        <v>5.5479999999999995E-2</v>
      </c>
      <c r="AZ65" s="183">
        <v>8.030000000000001E-2</v>
      </c>
      <c r="BA65" s="183">
        <v>0.1143</v>
      </c>
      <c r="BB65" s="182">
        <v>1.47</v>
      </c>
      <c r="BC65" s="183">
        <v>3.1849999999999996E-2</v>
      </c>
      <c r="BD65" s="183">
        <v>6.2300000000000003E-3</v>
      </c>
      <c r="BE65" s="183">
        <v>5.7610000000000001E-2</v>
      </c>
      <c r="BF65" s="183">
        <v>2.8980000000000002E-2</v>
      </c>
    </row>
    <row r="66" spans="4:58" ht="15.75">
      <c r="D66" s="182">
        <v>1.48</v>
      </c>
      <c r="E66" s="183">
        <v>4.7800000000000002E-2</v>
      </c>
      <c r="F66" s="183">
        <v>2.1839999999999998E-2</v>
      </c>
      <c r="G66" s="183">
        <v>0</v>
      </c>
      <c r="H66" s="183">
        <v>0</v>
      </c>
      <c r="I66" s="182">
        <v>1.48</v>
      </c>
      <c r="J66" s="183">
        <v>3.5119999999999998E-2</v>
      </c>
      <c r="K66" s="183">
        <v>1.226E-2</v>
      </c>
      <c r="L66" s="183">
        <v>7.7920000000000003E-2</v>
      </c>
      <c r="M66" s="183">
        <v>0</v>
      </c>
      <c r="N66" s="182">
        <v>1.48</v>
      </c>
      <c r="O66" s="183">
        <v>4.1640000000000003E-2</v>
      </c>
      <c r="P66" s="183">
        <v>2.316E-2</v>
      </c>
      <c r="Q66" s="183">
        <v>0</v>
      </c>
      <c r="R66" s="183">
        <v>6.336E-2</v>
      </c>
      <c r="S66" s="182">
        <v>1.48</v>
      </c>
      <c r="T66" s="183">
        <v>2.3699999999999999E-2</v>
      </c>
      <c r="U66" s="183">
        <v>6.8399999999999997E-3</v>
      </c>
      <c r="V66" s="183">
        <v>5.398E-2</v>
      </c>
      <c r="W66" s="183">
        <v>0</v>
      </c>
      <c r="X66" s="182">
        <v>1.48</v>
      </c>
      <c r="Y66" s="183">
        <v>3.3619999999999997E-2</v>
      </c>
      <c r="Z66" s="183">
        <v>2.172E-2</v>
      </c>
      <c r="AA66" s="183">
        <v>0</v>
      </c>
      <c r="AB66" s="183">
        <v>6.2899999999999998E-2</v>
      </c>
      <c r="AC66" s="182">
        <v>1.48</v>
      </c>
      <c r="AD66" s="183">
        <v>3.2399999999999998E-2</v>
      </c>
      <c r="AE66" s="183">
        <v>1.4800000000000001E-2</v>
      </c>
      <c r="AF66" s="183">
        <v>6.9820000000000007E-2</v>
      </c>
      <c r="AG66" s="183">
        <v>3.1960000000000002E-2</v>
      </c>
      <c r="AH66" s="182">
        <v>1.48</v>
      </c>
      <c r="AI66" s="183">
        <v>2.2620000000000001E-2</v>
      </c>
      <c r="AJ66" s="183">
        <v>8.9200000000000008E-3</v>
      </c>
      <c r="AK66" s="183">
        <v>5.0999999999999997E-2</v>
      </c>
      <c r="AL66" s="183">
        <v>1.754E-2</v>
      </c>
      <c r="AM66" s="182">
        <v>1.48</v>
      </c>
      <c r="AN66" s="183">
        <v>2.8379999999999999E-2</v>
      </c>
      <c r="AO66" s="183">
        <v>1.4920000000000001E-2</v>
      </c>
      <c r="AP66" s="183">
        <v>5.9540000000000003E-2</v>
      </c>
      <c r="AQ66" s="183">
        <v>3.6319999999999998E-2</v>
      </c>
      <c r="AR66" s="182">
        <v>1.48</v>
      </c>
      <c r="AS66" s="183">
        <v>2.0839999999999997E-2</v>
      </c>
      <c r="AT66" s="183">
        <v>9.58E-3</v>
      </c>
      <c r="AU66" s="183">
        <v>4.6599999999999996E-2</v>
      </c>
      <c r="AV66" s="183">
        <v>2.128E-2</v>
      </c>
      <c r="AW66" s="182">
        <v>1.48</v>
      </c>
      <c r="AX66" s="183">
        <v>9.5399999999999999E-3</v>
      </c>
      <c r="AY66" s="183">
        <v>5.552E-2</v>
      </c>
      <c r="AZ66" s="183">
        <v>8.09E-2</v>
      </c>
      <c r="BA66" s="183">
        <v>0.11470000000000001</v>
      </c>
      <c r="BB66" s="182">
        <v>1.48</v>
      </c>
      <c r="BC66" s="183">
        <v>3.1599999999999996E-2</v>
      </c>
      <c r="BD66" s="183">
        <v>6.1199999999999996E-3</v>
      </c>
      <c r="BE66" s="183">
        <v>5.7140000000000003E-2</v>
      </c>
      <c r="BF66" s="183">
        <v>2.862E-2</v>
      </c>
    </row>
    <row r="67" spans="4:58" ht="15.75">
      <c r="D67" s="182">
        <v>1.49</v>
      </c>
      <c r="E67" s="183">
        <v>4.7899999999999998E-2</v>
      </c>
      <c r="F67" s="183">
        <v>2.162E-2</v>
      </c>
      <c r="G67" s="183">
        <v>0</v>
      </c>
      <c r="H67" s="183">
        <v>0</v>
      </c>
      <c r="I67" s="182">
        <v>1.49</v>
      </c>
      <c r="J67" s="183">
        <v>3.5060000000000001E-2</v>
      </c>
      <c r="K67" s="183">
        <v>1.208E-2</v>
      </c>
      <c r="L67" s="183">
        <v>7.7560000000000004E-2</v>
      </c>
      <c r="M67" s="183">
        <v>0</v>
      </c>
      <c r="N67" s="182">
        <v>1.49</v>
      </c>
      <c r="O67" s="183">
        <v>4.1820000000000003E-2</v>
      </c>
      <c r="P67" s="183">
        <v>2.298E-2</v>
      </c>
      <c r="Q67" s="183">
        <v>0</v>
      </c>
      <c r="R67" s="183">
        <v>6.268E-2</v>
      </c>
      <c r="S67" s="182">
        <v>1.49</v>
      </c>
      <c r="T67" s="183">
        <v>2.3599999999999999E-2</v>
      </c>
      <c r="U67" s="183">
        <v>6.7200000000000003E-3</v>
      </c>
      <c r="V67" s="183">
        <v>5.364E-2</v>
      </c>
      <c r="W67" s="183">
        <v>0</v>
      </c>
      <c r="X67" s="182">
        <v>1.49</v>
      </c>
      <c r="Y67" s="183">
        <v>3.3860000000000001E-2</v>
      </c>
      <c r="Z67" s="183">
        <v>2.1559999999999999E-2</v>
      </c>
      <c r="AA67" s="183">
        <v>0</v>
      </c>
      <c r="AB67" s="183">
        <v>6.25E-2</v>
      </c>
      <c r="AC67" s="182">
        <v>1.49</v>
      </c>
      <c r="AD67" s="183">
        <v>3.2399999999999998E-2</v>
      </c>
      <c r="AE67" s="183">
        <v>1.46E-2</v>
      </c>
      <c r="AF67" s="183">
        <v>6.966E-2</v>
      </c>
      <c r="AG67" s="183">
        <v>3.1480000000000001E-2</v>
      </c>
      <c r="AH67" s="182">
        <v>1.49</v>
      </c>
      <c r="AI67" s="183">
        <v>2.256E-2</v>
      </c>
      <c r="AJ67" s="183">
        <v>8.7600000000000004E-3</v>
      </c>
      <c r="AK67" s="183">
        <v>5.0799999999999998E-2</v>
      </c>
      <c r="AL67" s="183">
        <v>1.7219999999999999E-2</v>
      </c>
      <c r="AM67" s="182">
        <v>1.49</v>
      </c>
      <c r="AN67" s="183">
        <v>2.844E-2</v>
      </c>
      <c r="AO67" s="183">
        <v>1.4760000000000001E-2</v>
      </c>
      <c r="AP67" s="183">
        <v>5.9619999999999999E-2</v>
      </c>
      <c r="AQ67" s="183">
        <v>3.5860000000000003E-2</v>
      </c>
      <c r="AR67" s="182">
        <v>1.49</v>
      </c>
      <c r="AS67" s="183">
        <v>2.0819999999999998E-2</v>
      </c>
      <c r="AT67" s="183">
        <v>9.4399999999999987E-3</v>
      </c>
      <c r="AU67" s="183">
        <v>4.65E-2</v>
      </c>
      <c r="AV67" s="183">
        <v>2.094E-2</v>
      </c>
      <c r="AW67" s="182">
        <v>1.49</v>
      </c>
      <c r="AX67" s="183">
        <v>9.5200000000000007E-3</v>
      </c>
      <c r="AY67" s="183">
        <v>5.5559999999999998E-2</v>
      </c>
      <c r="AZ67" s="183">
        <v>8.1500000000000003E-2</v>
      </c>
      <c r="BA67" s="183">
        <v>0.11510000000000001</v>
      </c>
      <c r="BB67" s="182">
        <v>1.49</v>
      </c>
      <c r="BC67" s="183">
        <v>3.1349999999999996E-2</v>
      </c>
      <c r="BD67" s="183">
        <v>6.0099999999999997E-3</v>
      </c>
      <c r="BE67" s="183">
        <v>5.6669999999999998E-2</v>
      </c>
      <c r="BF67" s="183">
        <v>2.826E-2</v>
      </c>
    </row>
    <row r="68" spans="4:58" ht="15.75">
      <c r="D68" s="180">
        <v>1.5</v>
      </c>
      <c r="E68" s="181">
        <v>4.8000000000000001E-2</v>
      </c>
      <c r="F68" s="181">
        <v>2.1399999999999999E-2</v>
      </c>
      <c r="G68" s="183">
        <v>0</v>
      </c>
      <c r="H68" s="183">
        <v>0</v>
      </c>
      <c r="I68" s="180">
        <v>1.5</v>
      </c>
      <c r="J68" s="181">
        <v>3.5000000000000003E-2</v>
      </c>
      <c r="K68" s="181">
        <v>1.1900000000000001E-2</v>
      </c>
      <c r="L68" s="181">
        <v>7.7200000000000005E-2</v>
      </c>
      <c r="M68" s="183">
        <v>0</v>
      </c>
      <c r="N68" s="180">
        <v>1.5</v>
      </c>
      <c r="O68" s="181">
        <v>4.2000000000000003E-2</v>
      </c>
      <c r="P68" s="181">
        <v>2.2800000000000001E-2</v>
      </c>
      <c r="Q68" s="183">
        <v>0</v>
      </c>
      <c r="R68" s="181">
        <v>6.2E-2</v>
      </c>
      <c r="S68" s="180">
        <v>1.5</v>
      </c>
      <c r="T68" s="181">
        <v>2.35E-2</v>
      </c>
      <c r="U68" s="181">
        <v>6.6E-3</v>
      </c>
      <c r="V68" s="181">
        <v>5.33E-2</v>
      </c>
      <c r="W68" s="183">
        <v>0</v>
      </c>
      <c r="X68" s="180">
        <v>1.5</v>
      </c>
      <c r="Y68" s="181">
        <v>3.4099999999999998E-2</v>
      </c>
      <c r="Z68" s="181">
        <v>2.1399999999999999E-2</v>
      </c>
      <c r="AA68" s="183">
        <v>0</v>
      </c>
      <c r="AB68" s="181">
        <v>6.2100000000000002E-2</v>
      </c>
      <c r="AC68" s="180">
        <v>1.5</v>
      </c>
      <c r="AD68" s="181">
        <v>3.2399999999999998E-2</v>
      </c>
      <c r="AE68" s="181">
        <v>1.44E-2</v>
      </c>
      <c r="AF68" s="181">
        <v>6.9500000000000006E-2</v>
      </c>
      <c r="AG68" s="181">
        <v>3.1E-2</v>
      </c>
      <c r="AH68" s="180">
        <v>1.5</v>
      </c>
      <c r="AI68" s="181">
        <v>2.2499999999999999E-2</v>
      </c>
      <c r="AJ68" s="181">
        <v>8.6E-3</v>
      </c>
      <c r="AK68" s="181">
        <v>5.0599999999999999E-2</v>
      </c>
      <c r="AL68" s="181">
        <v>1.6899999999999998E-2</v>
      </c>
      <c r="AM68" s="180">
        <v>1.5</v>
      </c>
      <c r="AN68" s="181">
        <v>2.8500000000000001E-2</v>
      </c>
      <c r="AO68" s="181">
        <v>1.46E-2</v>
      </c>
      <c r="AP68" s="181">
        <v>5.9700000000000003E-2</v>
      </c>
      <c r="AQ68" s="181">
        <v>3.5400000000000001E-2</v>
      </c>
      <c r="AR68" s="180">
        <v>1.5</v>
      </c>
      <c r="AS68" s="181">
        <v>2.0799999999999999E-2</v>
      </c>
      <c r="AT68" s="181">
        <v>9.2999999999999992E-3</v>
      </c>
      <c r="AU68" s="181">
        <v>4.6399999999999997E-2</v>
      </c>
      <c r="AV68" s="181">
        <v>2.06E-2</v>
      </c>
      <c r="AW68" s="180">
        <v>1.5</v>
      </c>
      <c r="AX68" s="181">
        <v>9.4999999999999998E-3</v>
      </c>
      <c r="AY68" s="181">
        <v>5.5599999999999997E-2</v>
      </c>
      <c r="AZ68" s="181">
        <v>8.2100000000000006E-2</v>
      </c>
      <c r="BA68" s="181">
        <v>0.11550000000000001</v>
      </c>
      <c r="BB68" s="180">
        <v>1.5</v>
      </c>
      <c r="BC68" s="181">
        <v>3.1099999999999999E-2</v>
      </c>
      <c r="BD68" s="181">
        <v>5.8999999999999999E-3</v>
      </c>
      <c r="BE68" s="181">
        <v>5.62E-2</v>
      </c>
      <c r="BF68" s="181">
        <v>2.7900000000000001E-2</v>
      </c>
    </row>
    <row r="69" spans="4:58" ht="15.75">
      <c r="D69" s="182">
        <v>1.51</v>
      </c>
      <c r="E69" s="183">
        <v>4.8079999999999998E-2</v>
      </c>
      <c r="F69" s="183">
        <v>2.1139999999999999E-2</v>
      </c>
      <c r="G69" s="183">
        <v>0</v>
      </c>
      <c r="H69" s="183">
        <v>0</v>
      </c>
      <c r="I69" s="182">
        <v>1.51</v>
      </c>
      <c r="J69" s="183">
        <v>3.492E-2</v>
      </c>
      <c r="K69" s="183">
        <v>1.17E-2</v>
      </c>
      <c r="L69" s="183">
        <v>7.6840000000000006E-2</v>
      </c>
      <c r="M69" s="183">
        <v>0</v>
      </c>
      <c r="N69" s="182">
        <v>1.51</v>
      </c>
      <c r="O69" s="183">
        <v>4.2140000000000004E-2</v>
      </c>
      <c r="P69" s="183">
        <v>2.2620000000000001E-2</v>
      </c>
      <c r="Q69" s="183">
        <v>0</v>
      </c>
      <c r="R69" s="183">
        <v>6.13E-2</v>
      </c>
      <c r="S69" s="182">
        <v>1.51</v>
      </c>
      <c r="T69" s="183">
        <v>2.3400000000000001E-2</v>
      </c>
      <c r="U69" s="183">
        <v>6.4799999999999996E-3</v>
      </c>
      <c r="V69" s="183">
        <v>5.3019999999999998E-2</v>
      </c>
      <c r="W69" s="183">
        <v>0</v>
      </c>
      <c r="X69" s="182">
        <v>1.51</v>
      </c>
      <c r="Y69" s="183">
        <v>3.4319999999999996E-2</v>
      </c>
      <c r="Z69" s="183">
        <v>2.1259999999999998E-2</v>
      </c>
      <c r="AA69" s="183">
        <v>0</v>
      </c>
      <c r="AB69" s="183">
        <v>6.166E-2</v>
      </c>
      <c r="AC69" s="182">
        <v>1.51</v>
      </c>
      <c r="AD69" s="183">
        <v>3.2379999999999999E-2</v>
      </c>
      <c r="AE69" s="183">
        <v>1.4199999999999999E-2</v>
      </c>
      <c r="AF69" s="183">
        <v>6.9320000000000007E-2</v>
      </c>
      <c r="AG69" s="183">
        <v>3.0519999999999999E-2</v>
      </c>
      <c r="AH69" s="182">
        <v>1.51</v>
      </c>
      <c r="AI69" s="183">
        <v>2.2419999999999999E-2</v>
      </c>
      <c r="AJ69" s="183">
        <v>8.4600000000000005E-3</v>
      </c>
      <c r="AK69" s="183">
        <v>5.0380000000000001E-2</v>
      </c>
      <c r="AL69" s="183">
        <v>1.6619999999999999E-2</v>
      </c>
      <c r="AM69" s="182">
        <v>1.51</v>
      </c>
      <c r="AN69" s="183">
        <v>2.8580000000000001E-2</v>
      </c>
      <c r="AO69" s="183">
        <v>1.444E-2</v>
      </c>
      <c r="AP69" s="183">
        <v>5.9740000000000001E-2</v>
      </c>
      <c r="AQ69" s="183">
        <v>3.4959999999999998E-2</v>
      </c>
      <c r="AR69" s="182">
        <v>1.51</v>
      </c>
      <c r="AS69" s="183">
        <v>2.0760000000000001E-2</v>
      </c>
      <c r="AT69" s="183">
        <v>9.1599999999999997E-3</v>
      </c>
      <c r="AU69" s="183">
        <v>4.6300000000000001E-2</v>
      </c>
      <c r="AV69" s="183">
        <v>2.0299999999999999E-2</v>
      </c>
      <c r="AW69" s="182"/>
      <c r="AX69" s="183"/>
      <c r="AY69" s="183"/>
      <c r="AZ69" s="183"/>
      <c r="BA69" s="183"/>
      <c r="BB69" s="182"/>
      <c r="BC69" s="183"/>
      <c r="BD69" s="183"/>
      <c r="BE69" s="183"/>
      <c r="BF69" s="183"/>
    </row>
    <row r="70" spans="4:58" ht="15.75">
      <c r="D70" s="182">
        <v>1.52</v>
      </c>
      <c r="E70" s="183">
        <v>4.8160000000000001E-2</v>
      </c>
      <c r="F70" s="183">
        <v>2.0879999999999999E-2</v>
      </c>
      <c r="G70" s="183">
        <v>0</v>
      </c>
      <c r="H70" s="183">
        <v>0</v>
      </c>
      <c r="I70" s="182">
        <v>1.52</v>
      </c>
      <c r="J70" s="183">
        <v>3.4840000000000003E-2</v>
      </c>
      <c r="K70" s="183">
        <v>1.15E-2</v>
      </c>
      <c r="L70" s="183">
        <v>7.6480000000000006E-2</v>
      </c>
      <c r="M70" s="183">
        <v>0</v>
      </c>
      <c r="N70" s="182">
        <v>1.52</v>
      </c>
      <c r="O70" s="183">
        <v>4.2280000000000005E-2</v>
      </c>
      <c r="P70" s="183">
        <v>2.2440000000000002E-2</v>
      </c>
      <c r="Q70" s="183">
        <v>0</v>
      </c>
      <c r="R70" s="183">
        <v>6.0600000000000001E-2</v>
      </c>
      <c r="S70" s="182">
        <v>1.52</v>
      </c>
      <c r="T70" s="183">
        <v>2.3300000000000001E-2</v>
      </c>
      <c r="U70" s="183">
        <v>6.3600000000000002E-3</v>
      </c>
      <c r="V70" s="183">
        <v>5.2740000000000002E-2</v>
      </c>
      <c r="W70" s="183">
        <v>0</v>
      </c>
      <c r="X70" s="182">
        <v>1.52</v>
      </c>
      <c r="Y70" s="183">
        <v>3.4540000000000001E-2</v>
      </c>
      <c r="Z70" s="183">
        <v>2.112E-2</v>
      </c>
      <c r="AA70" s="183">
        <v>0</v>
      </c>
      <c r="AB70" s="183">
        <v>6.1220000000000004E-2</v>
      </c>
      <c r="AC70" s="182">
        <v>1.52</v>
      </c>
      <c r="AD70" s="183">
        <v>3.236E-2</v>
      </c>
      <c r="AE70" s="183">
        <v>1.4E-2</v>
      </c>
      <c r="AF70" s="183">
        <v>6.9140000000000007E-2</v>
      </c>
      <c r="AG70" s="183">
        <v>3.0040000000000001E-2</v>
      </c>
      <c r="AH70" s="182">
        <v>1.52</v>
      </c>
      <c r="AI70" s="183">
        <v>2.2339999999999999E-2</v>
      </c>
      <c r="AJ70" s="183">
        <v>8.320000000000001E-3</v>
      </c>
      <c r="AK70" s="183">
        <v>5.0160000000000003E-2</v>
      </c>
      <c r="AL70" s="183">
        <v>1.634E-2</v>
      </c>
      <c r="AM70" s="182">
        <v>1.52</v>
      </c>
      <c r="AN70" s="183">
        <v>2.8660000000000001E-2</v>
      </c>
      <c r="AO70" s="183">
        <v>1.4279999999999999E-2</v>
      </c>
      <c r="AP70" s="183">
        <v>5.978E-2</v>
      </c>
      <c r="AQ70" s="183">
        <v>3.4520000000000002E-2</v>
      </c>
      <c r="AR70" s="182">
        <v>1.52</v>
      </c>
      <c r="AS70" s="183">
        <v>2.0719999999999999E-2</v>
      </c>
      <c r="AT70" s="183">
        <v>9.0200000000000002E-3</v>
      </c>
      <c r="AU70" s="183">
        <v>4.6199999999999998E-2</v>
      </c>
      <c r="AV70" s="183">
        <v>0.02</v>
      </c>
      <c r="AW70" s="182"/>
      <c r="AX70" s="183"/>
      <c r="AY70" s="183"/>
      <c r="AZ70" s="183"/>
      <c r="BA70" s="183"/>
      <c r="BB70" s="182"/>
      <c r="BC70" s="183"/>
      <c r="BD70" s="183"/>
      <c r="BE70" s="183"/>
      <c r="BF70" s="183"/>
    </row>
    <row r="71" spans="4:58" ht="15.75">
      <c r="D71" s="182">
        <v>1.53</v>
      </c>
      <c r="E71" s="183">
        <v>4.8239999999999998E-2</v>
      </c>
      <c r="F71" s="183">
        <v>2.0619999999999999E-2</v>
      </c>
      <c r="G71" s="183">
        <v>0</v>
      </c>
      <c r="H71" s="183">
        <v>0</v>
      </c>
      <c r="I71" s="182">
        <v>1.53</v>
      </c>
      <c r="J71" s="183">
        <v>3.4759999999999999E-2</v>
      </c>
      <c r="K71" s="183">
        <v>1.1300000000000001E-2</v>
      </c>
      <c r="L71" s="183">
        <v>7.6119999999999993E-2</v>
      </c>
      <c r="M71" s="183">
        <v>0</v>
      </c>
      <c r="N71" s="182">
        <v>1.53</v>
      </c>
      <c r="O71" s="183">
        <v>4.2419999999999999E-2</v>
      </c>
      <c r="P71" s="183">
        <v>2.2259999999999999E-2</v>
      </c>
      <c r="Q71" s="183">
        <v>0</v>
      </c>
      <c r="R71" s="183">
        <v>5.9900000000000002E-2</v>
      </c>
      <c r="S71" s="182">
        <v>1.53</v>
      </c>
      <c r="T71" s="183">
        <v>2.3199999999999998E-2</v>
      </c>
      <c r="U71" s="183">
        <v>6.2399999999999999E-3</v>
      </c>
      <c r="V71" s="183">
        <v>5.246E-2</v>
      </c>
      <c r="W71" s="183">
        <v>0</v>
      </c>
      <c r="X71" s="182">
        <v>1.53</v>
      </c>
      <c r="Y71" s="183">
        <v>3.4759999999999999E-2</v>
      </c>
      <c r="Z71" s="183">
        <v>2.0979999999999999E-2</v>
      </c>
      <c r="AA71" s="183">
        <v>0</v>
      </c>
      <c r="AB71" s="183">
        <v>6.0780000000000001E-2</v>
      </c>
      <c r="AC71" s="182">
        <v>1.53</v>
      </c>
      <c r="AD71" s="183">
        <v>3.2340000000000001E-2</v>
      </c>
      <c r="AE71" s="183">
        <v>1.38E-2</v>
      </c>
      <c r="AF71" s="183">
        <v>6.8959999999999994E-2</v>
      </c>
      <c r="AG71" s="183">
        <v>2.9559999999999999E-2</v>
      </c>
      <c r="AH71" s="182">
        <v>1.53</v>
      </c>
      <c r="AI71" s="183">
        <v>2.2260000000000002E-2</v>
      </c>
      <c r="AJ71" s="183">
        <v>8.1799999999999998E-3</v>
      </c>
      <c r="AK71" s="183">
        <v>4.9939999999999998E-2</v>
      </c>
      <c r="AL71" s="183">
        <v>1.6059999999999998E-2</v>
      </c>
      <c r="AM71" s="182">
        <v>1.53</v>
      </c>
      <c r="AN71" s="183">
        <v>2.8739999999999998E-2</v>
      </c>
      <c r="AO71" s="183">
        <v>1.4120000000000001E-2</v>
      </c>
      <c r="AP71" s="183">
        <v>5.9820000000000005E-2</v>
      </c>
      <c r="AQ71" s="183">
        <v>3.4079999999999999E-2</v>
      </c>
      <c r="AR71" s="182">
        <v>1.53</v>
      </c>
      <c r="AS71" s="183">
        <v>2.068E-2</v>
      </c>
      <c r="AT71" s="183">
        <v>8.879999999999999E-3</v>
      </c>
      <c r="AU71" s="183">
        <v>4.6100000000000002E-2</v>
      </c>
      <c r="AV71" s="183">
        <v>1.9699999999999999E-2</v>
      </c>
      <c r="AW71" s="182"/>
      <c r="AX71" s="183"/>
      <c r="AY71" s="183"/>
      <c r="AZ71" s="183"/>
      <c r="BA71" s="183"/>
      <c r="BB71" s="182"/>
      <c r="BC71" s="183"/>
      <c r="BD71" s="183"/>
      <c r="BE71" s="183"/>
      <c r="BF71" s="183"/>
    </row>
    <row r="72" spans="4:58" ht="15.75">
      <c r="D72" s="182">
        <v>1.54</v>
      </c>
      <c r="E72" s="183">
        <v>4.8320000000000002E-2</v>
      </c>
      <c r="F72" s="183">
        <v>2.036E-2</v>
      </c>
      <c r="G72" s="183">
        <v>0</v>
      </c>
      <c r="H72" s="183">
        <v>0</v>
      </c>
      <c r="I72" s="182">
        <v>1.54</v>
      </c>
      <c r="J72" s="183">
        <v>3.4680000000000002E-2</v>
      </c>
      <c r="K72" s="183">
        <v>1.11E-2</v>
      </c>
      <c r="L72" s="183">
        <v>7.5759999999999994E-2</v>
      </c>
      <c r="M72" s="183">
        <v>0</v>
      </c>
      <c r="N72" s="182">
        <v>1.54</v>
      </c>
      <c r="O72" s="183">
        <v>4.2560000000000001E-2</v>
      </c>
      <c r="P72" s="183">
        <v>2.2079999999999999E-2</v>
      </c>
      <c r="Q72" s="183">
        <v>0</v>
      </c>
      <c r="R72" s="183">
        <v>5.9200000000000003E-2</v>
      </c>
      <c r="S72" s="182">
        <v>1.54</v>
      </c>
      <c r="T72" s="183">
        <v>2.3099999999999999E-2</v>
      </c>
      <c r="U72" s="183">
        <v>6.1200000000000004E-3</v>
      </c>
      <c r="V72" s="183">
        <v>5.2180000000000004E-2</v>
      </c>
      <c r="W72" s="183">
        <v>0</v>
      </c>
      <c r="X72" s="182">
        <v>1.54</v>
      </c>
      <c r="Y72" s="183">
        <v>3.4980000000000004E-2</v>
      </c>
      <c r="Z72" s="183">
        <v>2.0840000000000001E-2</v>
      </c>
      <c r="AA72" s="183">
        <v>0</v>
      </c>
      <c r="AB72" s="183">
        <v>6.0340000000000005E-2</v>
      </c>
      <c r="AC72" s="182">
        <v>1.54</v>
      </c>
      <c r="AD72" s="183">
        <v>3.2320000000000002E-2</v>
      </c>
      <c r="AE72" s="183">
        <v>1.3600000000000001E-2</v>
      </c>
      <c r="AF72" s="183">
        <v>6.8779999999999994E-2</v>
      </c>
      <c r="AG72" s="183">
        <v>2.9080000000000002E-2</v>
      </c>
      <c r="AH72" s="182">
        <v>1.54</v>
      </c>
      <c r="AI72" s="183">
        <v>2.2180000000000002E-2</v>
      </c>
      <c r="AJ72" s="183">
        <v>8.0400000000000003E-3</v>
      </c>
      <c r="AK72" s="183">
        <v>4.972E-2</v>
      </c>
      <c r="AL72" s="183">
        <v>1.5779999999999999E-2</v>
      </c>
      <c r="AM72" s="182">
        <v>1.54</v>
      </c>
      <c r="AN72" s="183">
        <v>2.8819999999999998E-2</v>
      </c>
      <c r="AO72" s="183">
        <v>1.396E-2</v>
      </c>
      <c r="AP72" s="183">
        <v>5.9860000000000003E-2</v>
      </c>
      <c r="AQ72" s="183">
        <v>3.3640000000000003E-2</v>
      </c>
      <c r="AR72" s="182">
        <v>1.54</v>
      </c>
      <c r="AS72" s="183">
        <v>2.0639999999999999E-2</v>
      </c>
      <c r="AT72" s="183">
        <v>8.7399999999999995E-3</v>
      </c>
      <c r="AU72" s="183">
        <v>4.5999999999999999E-2</v>
      </c>
      <c r="AV72" s="183">
        <v>1.9400000000000001E-2</v>
      </c>
      <c r="AW72" s="182"/>
      <c r="AX72" s="183"/>
      <c r="AY72" s="183"/>
      <c r="AZ72" s="183"/>
      <c r="BA72" s="183"/>
      <c r="BB72" s="182"/>
      <c r="BC72" s="183"/>
      <c r="BD72" s="183"/>
      <c r="BE72" s="183"/>
      <c r="BF72" s="183"/>
    </row>
    <row r="73" spans="4:58" ht="15.75">
      <c r="D73" s="180">
        <v>1.55</v>
      </c>
      <c r="E73" s="181">
        <v>4.8399999999999999E-2</v>
      </c>
      <c r="F73" s="181">
        <v>2.01E-2</v>
      </c>
      <c r="G73" s="183">
        <v>0</v>
      </c>
      <c r="H73" s="183">
        <v>0</v>
      </c>
      <c r="I73" s="180">
        <v>1.55</v>
      </c>
      <c r="J73" s="181">
        <v>3.4599999999999999E-2</v>
      </c>
      <c r="K73" s="181">
        <v>1.09E-2</v>
      </c>
      <c r="L73" s="181">
        <v>7.5399999999999995E-2</v>
      </c>
      <c r="M73" s="183">
        <v>0</v>
      </c>
      <c r="N73" s="180">
        <v>1.55</v>
      </c>
      <c r="O73" s="181">
        <v>4.2700000000000002E-2</v>
      </c>
      <c r="P73" s="181">
        <v>2.1899999999999999E-2</v>
      </c>
      <c r="Q73" s="183">
        <v>0</v>
      </c>
      <c r="R73" s="181">
        <v>5.8500000000000003E-2</v>
      </c>
      <c r="S73" s="180">
        <v>1.55</v>
      </c>
      <c r="T73" s="181">
        <v>2.3E-2</v>
      </c>
      <c r="U73" s="181">
        <v>6.0000000000000001E-3</v>
      </c>
      <c r="V73" s="181">
        <v>5.1900000000000002E-2</v>
      </c>
      <c r="W73" s="183">
        <v>0</v>
      </c>
      <c r="X73" s="180">
        <v>1.55</v>
      </c>
      <c r="Y73" s="181">
        <v>3.5200000000000002E-2</v>
      </c>
      <c r="Z73" s="181">
        <v>2.07E-2</v>
      </c>
      <c r="AA73" s="183">
        <v>0</v>
      </c>
      <c r="AB73" s="181">
        <v>5.9900000000000002E-2</v>
      </c>
      <c r="AC73" s="180">
        <v>1.55</v>
      </c>
      <c r="AD73" s="181">
        <v>3.2300000000000002E-2</v>
      </c>
      <c r="AE73" s="181">
        <v>1.34E-2</v>
      </c>
      <c r="AF73" s="181">
        <v>6.8599999999999994E-2</v>
      </c>
      <c r="AG73" s="181">
        <v>2.86E-2</v>
      </c>
      <c r="AH73" s="180">
        <v>1.55</v>
      </c>
      <c r="AI73" s="181">
        <v>2.2100000000000002E-2</v>
      </c>
      <c r="AJ73" s="181">
        <v>7.9000000000000008E-3</v>
      </c>
      <c r="AK73" s="181">
        <v>4.9500000000000002E-2</v>
      </c>
      <c r="AL73" s="181">
        <v>1.55E-2</v>
      </c>
      <c r="AM73" s="180">
        <v>1.55</v>
      </c>
      <c r="AN73" s="181">
        <v>2.8899999999999999E-2</v>
      </c>
      <c r="AO73" s="181">
        <v>1.38E-2</v>
      </c>
      <c r="AP73" s="181">
        <v>5.9900000000000002E-2</v>
      </c>
      <c r="AQ73" s="181">
        <v>3.32E-2</v>
      </c>
      <c r="AR73" s="180">
        <v>1.55</v>
      </c>
      <c r="AS73" s="181">
        <v>2.06E-2</v>
      </c>
      <c r="AT73" s="181">
        <v>8.6E-3</v>
      </c>
      <c r="AU73" s="181">
        <v>4.5900000000000003E-2</v>
      </c>
      <c r="AV73" s="181">
        <v>1.9099999999999999E-2</v>
      </c>
      <c r="AW73" s="180"/>
      <c r="AX73" s="181"/>
      <c r="AY73" s="181"/>
      <c r="AZ73" s="181"/>
      <c r="BA73" s="181"/>
      <c r="BB73" s="180"/>
      <c r="BC73" s="181"/>
      <c r="BD73" s="181"/>
      <c r="BE73" s="181"/>
      <c r="BF73" s="181"/>
    </row>
    <row r="74" spans="4:58" ht="15.75">
      <c r="D74" s="182">
        <v>1.56</v>
      </c>
      <c r="E74" s="183">
        <v>4.8419999999999998E-2</v>
      </c>
      <c r="F74" s="183">
        <v>1.9859999999999999E-2</v>
      </c>
      <c r="G74" s="183">
        <v>0</v>
      </c>
      <c r="H74" s="183">
        <v>0</v>
      </c>
      <c r="I74" s="182">
        <v>1.56</v>
      </c>
      <c r="J74" s="183">
        <v>3.4499999999999996E-2</v>
      </c>
      <c r="K74" s="183">
        <v>1.074E-2</v>
      </c>
      <c r="L74" s="183">
        <v>7.5019999999999989E-2</v>
      </c>
      <c r="M74" s="183">
        <v>0</v>
      </c>
      <c r="N74" s="182">
        <v>1.56</v>
      </c>
      <c r="O74" s="183">
        <v>4.2820000000000004E-2</v>
      </c>
      <c r="P74" s="183">
        <v>2.1679999999999998E-2</v>
      </c>
      <c r="Q74" s="183">
        <v>0</v>
      </c>
      <c r="R74" s="183">
        <v>5.7860000000000002E-2</v>
      </c>
      <c r="S74" s="182">
        <v>1.56</v>
      </c>
      <c r="T74" s="183">
        <v>2.2919999999999999E-2</v>
      </c>
      <c r="U74" s="183">
        <v>5.9199999999999999E-3</v>
      </c>
      <c r="V74" s="183">
        <v>5.1639999999999998E-2</v>
      </c>
      <c r="W74" s="183">
        <v>0</v>
      </c>
      <c r="X74" s="182">
        <v>1.56</v>
      </c>
      <c r="Y74" s="183">
        <v>3.5400000000000001E-2</v>
      </c>
      <c r="Z74" s="183">
        <v>2.0559999999999998E-2</v>
      </c>
      <c r="AA74" s="183">
        <v>0</v>
      </c>
      <c r="AB74" s="183">
        <v>5.9459999999999999E-2</v>
      </c>
      <c r="AC74" s="182">
        <v>1.56</v>
      </c>
      <c r="AD74" s="183">
        <v>3.2260000000000004E-2</v>
      </c>
      <c r="AE74" s="183">
        <v>1.3220000000000001E-2</v>
      </c>
      <c r="AF74" s="183">
        <v>6.8440000000000001E-2</v>
      </c>
      <c r="AG74" s="183">
        <v>2.818E-2</v>
      </c>
      <c r="AH74" s="182">
        <v>1.56</v>
      </c>
      <c r="AI74" s="183">
        <v>2.2040000000000001E-2</v>
      </c>
      <c r="AJ74" s="183">
        <v>7.7800000000000005E-3</v>
      </c>
      <c r="AK74" s="183">
        <v>4.9280000000000004E-2</v>
      </c>
      <c r="AL74" s="183">
        <v>1.524E-2</v>
      </c>
      <c r="AM74" s="182">
        <v>1.56</v>
      </c>
      <c r="AN74" s="183">
        <v>2.8899999999999999E-2</v>
      </c>
      <c r="AO74" s="183">
        <v>1.3639999999999999E-2</v>
      </c>
      <c r="AP74" s="183">
        <v>5.9900000000000002E-2</v>
      </c>
      <c r="AQ74" s="183">
        <v>3.2800000000000003E-2</v>
      </c>
      <c r="AR74" s="182">
        <v>1.56</v>
      </c>
      <c r="AS74" s="183">
        <v>2.0580000000000001E-2</v>
      </c>
      <c r="AT74" s="183">
        <v>8.4799999999999997E-3</v>
      </c>
      <c r="AU74" s="183">
        <v>4.5760000000000002E-2</v>
      </c>
      <c r="AV74" s="183">
        <v>1.882E-2</v>
      </c>
      <c r="AW74" s="182"/>
      <c r="AX74" s="183"/>
      <c r="AY74" s="183"/>
      <c r="AZ74" s="183"/>
      <c r="BA74" s="183"/>
      <c r="BB74" s="182"/>
      <c r="BC74" s="183"/>
      <c r="BD74" s="183"/>
      <c r="BE74" s="183"/>
      <c r="BF74" s="183"/>
    </row>
    <row r="75" spans="4:58" ht="15.75">
      <c r="D75" s="182">
        <v>1.57</v>
      </c>
      <c r="E75" s="183">
        <v>4.8439999999999997E-2</v>
      </c>
      <c r="F75" s="183">
        <v>1.9619999999999999E-2</v>
      </c>
      <c r="G75" s="183">
        <v>0</v>
      </c>
      <c r="H75" s="183">
        <v>0</v>
      </c>
      <c r="I75" s="182">
        <v>1.57</v>
      </c>
      <c r="J75" s="183">
        <v>3.44E-2</v>
      </c>
      <c r="K75" s="183">
        <v>1.0579999999999999E-2</v>
      </c>
      <c r="L75" s="183">
        <v>7.4639999999999998E-2</v>
      </c>
      <c r="M75" s="183">
        <v>0</v>
      </c>
      <c r="N75" s="182">
        <v>1.57</v>
      </c>
      <c r="O75" s="183">
        <v>4.2939999999999999E-2</v>
      </c>
      <c r="P75" s="183">
        <v>2.146E-2</v>
      </c>
      <c r="Q75" s="183">
        <v>0</v>
      </c>
      <c r="R75" s="183">
        <v>5.722E-2</v>
      </c>
      <c r="S75" s="182">
        <v>1.57</v>
      </c>
      <c r="T75" s="183">
        <v>2.2839999999999999E-2</v>
      </c>
      <c r="U75" s="183">
        <v>5.8399999999999997E-3</v>
      </c>
      <c r="V75" s="183">
        <v>5.1380000000000002E-2</v>
      </c>
      <c r="W75" s="183">
        <v>0</v>
      </c>
      <c r="X75" s="182">
        <v>1.57</v>
      </c>
      <c r="Y75" s="183">
        <v>3.56E-2</v>
      </c>
      <c r="Z75" s="183">
        <v>2.0420000000000001E-2</v>
      </c>
      <c r="AA75" s="183">
        <v>0</v>
      </c>
      <c r="AB75" s="183">
        <v>5.9020000000000003E-2</v>
      </c>
      <c r="AC75" s="182">
        <v>1.57</v>
      </c>
      <c r="AD75" s="183">
        <v>3.2219999999999999E-2</v>
      </c>
      <c r="AE75" s="183">
        <v>1.3040000000000001E-2</v>
      </c>
      <c r="AF75" s="183">
        <v>6.8279999999999993E-2</v>
      </c>
      <c r="AG75" s="183">
        <v>2.776E-2</v>
      </c>
      <c r="AH75" s="182">
        <v>1.57</v>
      </c>
      <c r="AI75" s="183">
        <v>2.198E-2</v>
      </c>
      <c r="AJ75" s="183">
        <v>7.6600000000000001E-3</v>
      </c>
      <c r="AK75" s="183">
        <v>4.9059999999999999E-2</v>
      </c>
      <c r="AL75" s="183">
        <v>1.498E-2</v>
      </c>
      <c r="AM75" s="182">
        <v>1.57</v>
      </c>
      <c r="AN75" s="183">
        <v>2.8899999999999999E-2</v>
      </c>
      <c r="AO75" s="183">
        <v>1.3479999999999999E-2</v>
      </c>
      <c r="AP75" s="183">
        <v>5.9900000000000002E-2</v>
      </c>
      <c r="AQ75" s="183">
        <v>3.2399999999999998E-2</v>
      </c>
      <c r="AR75" s="182">
        <v>1.57</v>
      </c>
      <c r="AS75" s="183">
        <v>2.0560000000000002E-2</v>
      </c>
      <c r="AT75" s="183">
        <v>8.3599999999999994E-3</v>
      </c>
      <c r="AU75" s="183">
        <v>4.5620000000000001E-2</v>
      </c>
      <c r="AV75" s="183">
        <v>1.8540000000000001E-2</v>
      </c>
      <c r="AW75" s="182"/>
      <c r="AX75" s="183"/>
      <c r="AY75" s="183"/>
      <c r="AZ75" s="183"/>
      <c r="BA75" s="183"/>
      <c r="BB75" s="182"/>
      <c r="BC75" s="183"/>
      <c r="BD75" s="183"/>
      <c r="BE75" s="183"/>
      <c r="BF75" s="183"/>
    </row>
    <row r="76" spans="4:58" ht="15.75">
      <c r="D76" s="182">
        <v>1.58</v>
      </c>
      <c r="E76" s="183">
        <v>4.8460000000000003E-2</v>
      </c>
      <c r="F76" s="183">
        <v>1.9380000000000001E-2</v>
      </c>
      <c r="G76" s="183">
        <v>0</v>
      </c>
      <c r="H76" s="183">
        <v>0</v>
      </c>
      <c r="I76" s="182">
        <v>1.58</v>
      </c>
      <c r="J76" s="183">
        <v>3.4299999999999997E-2</v>
      </c>
      <c r="K76" s="183">
        <v>1.042E-2</v>
      </c>
      <c r="L76" s="183">
        <v>7.4259999999999993E-2</v>
      </c>
      <c r="M76" s="183">
        <v>0</v>
      </c>
      <c r="N76" s="182">
        <v>1.58</v>
      </c>
      <c r="O76" s="183">
        <v>4.3060000000000001E-2</v>
      </c>
      <c r="P76" s="183">
        <v>2.1239999999999998E-2</v>
      </c>
      <c r="Q76" s="183">
        <v>0</v>
      </c>
      <c r="R76" s="183">
        <v>5.6580000000000005E-2</v>
      </c>
      <c r="S76" s="182">
        <v>1.58</v>
      </c>
      <c r="T76" s="183">
        <v>2.2759999999999999E-2</v>
      </c>
      <c r="U76" s="183">
        <v>5.7600000000000004E-3</v>
      </c>
      <c r="V76" s="183">
        <v>5.1119999999999999E-2</v>
      </c>
      <c r="W76" s="183">
        <v>0</v>
      </c>
      <c r="X76" s="182">
        <v>1.58</v>
      </c>
      <c r="Y76" s="183">
        <v>3.5800000000000005E-2</v>
      </c>
      <c r="Z76" s="183">
        <v>2.0279999999999999E-2</v>
      </c>
      <c r="AA76" s="183">
        <v>0</v>
      </c>
      <c r="AB76" s="183">
        <v>5.858E-2</v>
      </c>
      <c r="AC76" s="182">
        <v>1.58</v>
      </c>
      <c r="AD76" s="183">
        <v>3.218E-2</v>
      </c>
      <c r="AE76" s="183">
        <v>1.286E-2</v>
      </c>
      <c r="AF76" s="183">
        <v>6.812E-2</v>
      </c>
      <c r="AG76" s="183">
        <v>2.734E-2</v>
      </c>
      <c r="AH76" s="182">
        <v>1.58</v>
      </c>
      <c r="AI76" s="183">
        <v>2.1920000000000002E-2</v>
      </c>
      <c r="AJ76" s="183">
        <v>7.5400000000000007E-3</v>
      </c>
      <c r="AK76" s="183">
        <v>4.8840000000000001E-2</v>
      </c>
      <c r="AL76" s="183">
        <v>1.472E-2</v>
      </c>
      <c r="AM76" s="182">
        <v>1.58</v>
      </c>
      <c r="AN76" s="183">
        <v>2.8899999999999999E-2</v>
      </c>
      <c r="AO76" s="183">
        <v>1.332E-2</v>
      </c>
      <c r="AP76" s="183">
        <v>5.9900000000000002E-2</v>
      </c>
      <c r="AQ76" s="183">
        <v>3.2000000000000001E-2</v>
      </c>
      <c r="AR76" s="182">
        <v>1.58</v>
      </c>
      <c r="AS76" s="183">
        <v>2.0539999999999999E-2</v>
      </c>
      <c r="AT76" s="183">
        <v>8.2400000000000008E-3</v>
      </c>
      <c r="AU76" s="183">
        <v>4.548E-2</v>
      </c>
      <c r="AV76" s="183">
        <v>1.8259999999999998E-2</v>
      </c>
      <c r="AW76" s="182"/>
      <c r="AX76" s="183"/>
      <c r="AY76" s="183"/>
      <c r="AZ76" s="183"/>
      <c r="BA76" s="183"/>
      <c r="BB76" s="182"/>
      <c r="BC76" s="183"/>
      <c r="BD76" s="183"/>
      <c r="BE76" s="183"/>
      <c r="BF76" s="183"/>
    </row>
    <row r="77" spans="4:58" ht="15.75">
      <c r="D77" s="182">
        <v>1.59</v>
      </c>
      <c r="E77" s="183">
        <v>4.8480000000000002E-2</v>
      </c>
      <c r="F77" s="183">
        <v>1.9140000000000001E-2</v>
      </c>
      <c r="G77" s="183">
        <v>0</v>
      </c>
      <c r="H77" s="183">
        <v>0</v>
      </c>
      <c r="I77" s="182">
        <v>1.59</v>
      </c>
      <c r="J77" s="183">
        <v>3.4200000000000001E-2</v>
      </c>
      <c r="K77" s="183">
        <v>1.026E-2</v>
      </c>
      <c r="L77" s="183">
        <v>7.3880000000000001E-2</v>
      </c>
      <c r="M77" s="183">
        <v>0</v>
      </c>
      <c r="N77" s="182">
        <v>1.59</v>
      </c>
      <c r="O77" s="183">
        <v>4.3179999999999996E-2</v>
      </c>
      <c r="P77" s="183">
        <v>2.102E-2</v>
      </c>
      <c r="Q77" s="183">
        <v>0</v>
      </c>
      <c r="R77" s="183">
        <v>5.5940000000000004E-2</v>
      </c>
      <c r="S77" s="182">
        <v>1.59</v>
      </c>
      <c r="T77" s="183">
        <v>2.2679999999999999E-2</v>
      </c>
      <c r="U77" s="183">
        <v>5.6800000000000002E-3</v>
      </c>
      <c r="V77" s="183">
        <v>5.0860000000000002E-2</v>
      </c>
      <c r="W77" s="183">
        <v>0</v>
      </c>
      <c r="X77" s="182">
        <v>1.59</v>
      </c>
      <c r="Y77" s="183">
        <v>3.6000000000000004E-2</v>
      </c>
      <c r="Z77" s="183">
        <v>2.0140000000000002E-2</v>
      </c>
      <c r="AA77" s="183">
        <v>0</v>
      </c>
      <c r="AB77" s="183">
        <v>5.8140000000000004E-2</v>
      </c>
      <c r="AC77" s="182">
        <v>1.59</v>
      </c>
      <c r="AD77" s="183">
        <v>3.2139999999999995E-2</v>
      </c>
      <c r="AE77" s="183">
        <v>1.268E-2</v>
      </c>
      <c r="AF77" s="183">
        <v>6.7959999999999993E-2</v>
      </c>
      <c r="AG77" s="183">
        <v>2.6919999999999999E-2</v>
      </c>
      <c r="AH77" s="182">
        <v>1.59</v>
      </c>
      <c r="AI77" s="183">
        <v>2.1860000000000001E-2</v>
      </c>
      <c r="AJ77" s="183">
        <v>7.4200000000000004E-3</v>
      </c>
      <c r="AK77" s="183">
        <v>4.8619999999999997E-2</v>
      </c>
      <c r="AL77" s="183">
        <v>1.4460000000000001E-2</v>
      </c>
      <c r="AM77" s="182">
        <v>1.59</v>
      </c>
      <c r="AN77" s="183">
        <v>2.8899999999999999E-2</v>
      </c>
      <c r="AO77" s="183">
        <v>1.316E-2</v>
      </c>
      <c r="AP77" s="183">
        <v>5.9900000000000002E-2</v>
      </c>
      <c r="AQ77" s="183">
        <v>3.1599999999999996E-2</v>
      </c>
      <c r="AR77" s="182">
        <v>1.59</v>
      </c>
      <c r="AS77" s="183">
        <v>2.052E-2</v>
      </c>
      <c r="AT77" s="183">
        <v>8.1200000000000005E-3</v>
      </c>
      <c r="AU77" s="183">
        <v>4.5339999999999998E-2</v>
      </c>
      <c r="AV77" s="183">
        <v>1.7979999999999999E-2</v>
      </c>
      <c r="AW77" s="182"/>
      <c r="AX77" s="183"/>
      <c r="AY77" s="183"/>
      <c r="AZ77" s="183"/>
      <c r="BA77" s="183"/>
      <c r="BB77" s="182"/>
      <c r="BC77" s="183"/>
      <c r="BD77" s="183"/>
      <c r="BE77" s="183"/>
      <c r="BF77" s="183"/>
    </row>
    <row r="78" spans="4:58" ht="15.75">
      <c r="D78" s="180">
        <v>1.6</v>
      </c>
      <c r="E78" s="181">
        <v>4.8500000000000001E-2</v>
      </c>
      <c r="F78" s="181">
        <v>1.89E-2</v>
      </c>
      <c r="G78" s="183">
        <v>0</v>
      </c>
      <c r="H78" s="183">
        <v>0</v>
      </c>
      <c r="I78" s="180">
        <v>1.6</v>
      </c>
      <c r="J78" s="181">
        <v>3.4099999999999998E-2</v>
      </c>
      <c r="K78" s="181">
        <v>1.01E-2</v>
      </c>
      <c r="L78" s="181">
        <v>7.3499999999999996E-2</v>
      </c>
      <c r="M78" s="183">
        <v>0</v>
      </c>
      <c r="N78" s="180">
        <v>1.6</v>
      </c>
      <c r="O78" s="181">
        <v>4.3299999999999998E-2</v>
      </c>
      <c r="P78" s="181">
        <v>2.0799999999999999E-2</v>
      </c>
      <c r="Q78" s="183">
        <v>0</v>
      </c>
      <c r="R78" s="181">
        <v>5.5300000000000002E-2</v>
      </c>
      <c r="S78" s="180">
        <v>1.6</v>
      </c>
      <c r="T78" s="181">
        <v>2.2599999999999999E-2</v>
      </c>
      <c r="U78" s="181">
        <v>5.5999999999999999E-3</v>
      </c>
      <c r="V78" s="181">
        <v>5.0599999999999999E-2</v>
      </c>
      <c r="W78" s="183">
        <v>0</v>
      </c>
      <c r="X78" s="180">
        <v>1.6</v>
      </c>
      <c r="Y78" s="181">
        <v>3.6200000000000003E-2</v>
      </c>
      <c r="Z78" s="181">
        <v>0.02</v>
      </c>
      <c r="AA78" s="183">
        <v>0</v>
      </c>
      <c r="AB78" s="181">
        <v>5.7700000000000001E-2</v>
      </c>
      <c r="AC78" s="180">
        <v>1.6</v>
      </c>
      <c r="AD78" s="181">
        <v>3.2099999999999997E-2</v>
      </c>
      <c r="AE78" s="181">
        <v>1.2500000000000001E-2</v>
      </c>
      <c r="AF78" s="181">
        <v>6.7799999999999999E-2</v>
      </c>
      <c r="AG78" s="181">
        <v>2.6499999999999999E-2</v>
      </c>
      <c r="AH78" s="180">
        <v>1.6</v>
      </c>
      <c r="AI78" s="181">
        <v>2.18E-2</v>
      </c>
      <c r="AJ78" s="181">
        <v>7.3000000000000001E-3</v>
      </c>
      <c r="AK78" s="181">
        <v>4.8399999999999999E-2</v>
      </c>
      <c r="AL78" s="181">
        <v>1.4200000000000001E-2</v>
      </c>
      <c r="AM78" s="180">
        <v>1.6</v>
      </c>
      <c r="AN78" s="181">
        <v>2.8899999999999999E-2</v>
      </c>
      <c r="AO78" s="181">
        <v>1.2999999999999999E-2</v>
      </c>
      <c r="AP78" s="181">
        <v>5.9900000000000002E-2</v>
      </c>
      <c r="AQ78" s="181">
        <v>3.1199999999999999E-2</v>
      </c>
      <c r="AR78" s="180">
        <v>1.6</v>
      </c>
      <c r="AS78" s="181">
        <v>2.0500000000000001E-2</v>
      </c>
      <c r="AT78" s="181">
        <v>8.0000000000000002E-3</v>
      </c>
      <c r="AU78" s="181">
        <v>4.5199999999999997E-2</v>
      </c>
      <c r="AV78" s="181">
        <v>1.77E-2</v>
      </c>
      <c r="AW78" s="180"/>
      <c r="AX78" s="181"/>
      <c r="AY78" s="181"/>
      <c r="AZ78" s="181"/>
      <c r="BA78" s="181"/>
      <c r="BB78" s="180"/>
      <c r="BC78" s="181"/>
      <c r="BD78" s="181"/>
      <c r="BE78" s="181"/>
      <c r="BF78" s="181"/>
    </row>
    <row r="79" spans="4:58" ht="15.75">
      <c r="D79" s="182">
        <v>1.61</v>
      </c>
      <c r="E79" s="183">
        <v>4.8520000000000001E-2</v>
      </c>
      <c r="F79" s="183">
        <v>1.8699999999999998E-2</v>
      </c>
      <c r="G79" s="183">
        <v>0</v>
      </c>
      <c r="H79" s="183">
        <v>0</v>
      </c>
      <c r="I79" s="182">
        <v>1.61</v>
      </c>
      <c r="J79" s="183">
        <v>3.4040000000000001E-2</v>
      </c>
      <c r="K79" s="183">
        <v>9.9399999999999992E-3</v>
      </c>
      <c r="L79" s="183">
        <v>7.3159999999999989E-2</v>
      </c>
      <c r="M79" s="183">
        <v>0</v>
      </c>
      <c r="N79" s="182">
        <v>1.61</v>
      </c>
      <c r="O79" s="183">
        <v>4.3380000000000002E-2</v>
      </c>
      <c r="P79" s="183">
        <v>2.06E-2</v>
      </c>
      <c r="Q79" s="183">
        <v>0</v>
      </c>
      <c r="R79" s="183">
        <v>5.4620000000000002E-2</v>
      </c>
      <c r="S79" s="182">
        <v>1.61</v>
      </c>
      <c r="T79" s="183">
        <v>2.2499999999999999E-2</v>
      </c>
      <c r="U79" s="183">
        <v>5.4999999999999997E-3</v>
      </c>
      <c r="V79" s="183">
        <v>5.0339999999999996E-2</v>
      </c>
      <c r="W79" s="183">
        <v>0</v>
      </c>
      <c r="X79" s="182">
        <v>1.61</v>
      </c>
      <c r="Y79" s="183">
        <v>3.6340000000000004E-2</v>
      </c>
      <c r="Z79" s="183">
        <v>1.9859999999999999E-2</v>
      </c>
      <c r="AA79" s="183">
        <v>0</v>
      </c>
      <c r="AB79" s="183">
        <v>5.7259999999999998E-2</v>
      </c>
      <c r="AC79" s="182">
        <v>1.61</v>
      </c>
      <c r="AD79" s="183">
        <v>3.2059999999999998E-2</v>
      </c>
      <c r="AE79" s="183">
        <v>1.234E-2</v>
      </c>
      <c r="AF79" s="183">
        <v>6.7599999999999993E-2</v>
      </c>
      <c r="AG79" s="183">
        <v>2.6099999999999998E-2</v>
      </c>
      <c r="AH79" s="182">
        <v>1.61</v>
      </c>
      <c r="AI79" s="183">
        <v>2.172E-2</v>
      </c>
      <c r="AJ79" s="183">
        <v>7.1799999999999998E-3</v>
      </c>
      <c r="AK79" s="183">
        <v>4.8180000000000001E-2</v>
      </c>
      <c r="AL79" s="183">
        <v>1.3979999999999999E-2</v>
      </c>
      <c r="AM79" s="182">
        <v>1.61</v>
      </c>
      <c r="AN79" s="183">
        <v>2.8919999999999998E-2</v>
      </c>
      <c r="AO79" s="183">
        <v>1.2859999999999998E-2</v>
      </c>
      <c r="AP79" s="183">
        <v>5.9860000000000003E-2</v>
      </c>
      <c r="AQ79" s="183">
        <v>3.0819999999999997E-2</v>
      </c>
      <c r="AR79" s="182">
        <v>1.61</v>
      </c>
      <c r="AS79" s="183">
        <v>2.044E-2</v>
      </c>
      <c r="AT79" s="183">
        <v>7.8799999999999999E-3</v>
      </c>
      <c r="AU79" s="183">
        <v>4.5079999999999995E-2</v>
      </c>
      <c r="AV79" s="183">
        <v>1.7440000000000001E-2</v>
      </c>
      <c r="AW79" s="182"/>
      <c r="AX79" s="183"/>
      <c r="AY79" s="183"/>
      <c r="AZ79" s="183"/>
      <c r="BA79" s="183"/>
      <c r="BB79" s="182"/>
      <c r="BC79" s="183"/>
      <c r="BD79" s="183"/>
      <c r="BE79" s="183"/>
      <c r="BF79" s="183"/>
    </row>
    <row r="80" spans="4:58" ht="15.75">
      <c r="D80" s="182">
        <v>1.62</v>
      </c>
      <c r="E80" s="183">
        <v>4.854E-2</v>
      </c>
      <c r="F80" s="183">
        <v>1.8499999999999999E-2</v>
      </c>
      <c r="G80" s="183">
        <v>0</v>
      </c>
      <c r="H80" s="183">
        <v>0</v>
      </c>
      <c r="I80" s="182">
        <v>1.62</v>
      </c>
      <c r="J80" s="183">
        <v>3.3979999999999996E-2</v>
      </c>
      <c r="K80" s="183">
        <v>9.7799999999999988E-3</v>
      </c>
      <c r="L80" s="183">
        <v>7.2819999999999996E-2</v>
      </c>
      <c r="M80" s="183">
        <v>0</v>
      </c>
      <c r="N80" s="182">
        <v>1.62</v>
      </c>
      <c r="O80" s="183">
        <v>4.3459999999999999E-2</v>
      </c>
      <c r="P80" s="183">
        <v>2.0399999999999998E-2</v>
      </c>
      <c r="Q80" s="183">
        <v>0</v>
      </c>
      <c r="R80" s="183">
        <v>5.3939999999999995E-2</v>
      </c>
      <c r="S80" s="182">
        <v>1.62</v>
      </c>
      <c r="T80" s="183">
        <v>2.24E-2</v>
      </c>
      <c r="U80" s="183">
        <v>5.3999999999999994E-3</v>
      </c>
      <c r="V80" s="183">
        <v>5.0079999999999993E-2</v>
      </c>
      <c r="W80" s="183">
        <v>0</v>
      </c>
      <c r="X80" s="182">
        <v>1.62</v>
      </c>
      <c r="Y80" s="183">
        <v>3.6480000000000005E-2</v>
      </c>
      <c r="Z80" s="183">
        <v>1.9719999999999998E-2</v>
      </c>
      <c r="AA80" s="183">
        <v>0</v>
      </c>
      <c r="AB80" s="183">
        <v>5.6819999999999996E-2</v>
      </c>
      <c r="AC80" s="182">
        <v>1.62</v>
      </c>
      <c r="AD80" s="183">
        <v>3.202E-2</v>
      </c>
      <c r="AE80" s="183">
        <v>1.218E-2</v>
      </c>
      <c r="AF80" s="183">
        <v>6.7400000000000002E-2</v>
      </c>
      <c r="AG80" s="183">
        <v>2.5699999999999997E-2</v>
      </c>
      <c r="AH80" s="182">
        <v>1.62</v>
      </c>
      <c r="AI80" s="183">
        <v>2.164E-2</v>
      </c>
      <c r="AJ80" s="183">
        <v>7.0599999999999994E-3</v>
      </c>
      <c r="AK80" s="183">
        <v>4.7959999999999996E-2</v>
      </c>
      <c r="AL80" s="183">
        <v>1.3759999999999998E-2</v>
      </c>
      <c r="AM80" s="182">
        <v>1.62</v>
      </c>
      <c r="AN80" s="183">
        <v>2.894E-2</v>
      </c>
      <c r="AO80" s="183">
        <v>1.2719999999999999E-2</v>
      </c>
      <c r="AP80" s="183">
        <v>5.9820000000000005E-2</v>
      </c>
      <c r="AQ80" s="183">
        <v>3.0439999999999995E-2</v>
      </c>
      <c r="AR80" s="182">
        <v>1.62</v>
      </c>
      <c r="AS80" s="183">
        <v>2.0379999999999999E-2</v>
      </c>
      <c r="AT80" s="183">
        <v>7.7599999999999995E-3</v>
      </c>
      <c r="AU80" s="183">
        <v>4.496E-2</v>
      </c>
      <c r="AV80" s="183">
        <v>1.7179999999999997E-2</v>
      </c>
      <c r="AW80" s="182"/>
      <c r="AX80" s="183"/>
      <c r="AY80" s="183"/>
      <c r="AZ80" s="183"/>
      <c r="BA80" s="183"/>
      <c r="BB80" s="182"/>
      <c r="BC80" s="183"/>
      <c r="BD80" s="183"/>
      <c r="BE80" s="183"/>
      <c r="BF80" s="183"/>
    </row>
    <row r="81" spans="4:58" ht="15.75">
      <c r="D81" s="182">
        <v>1.63</v>
      </c>
      <c r="E81" s="183">
        <v>4.8559999999999999E-2</v>
      </c>
      <c r="F81" s="183">
        <v>1.83E-2</v>
      </c>
      <c r="G81" s="183">
        <v>0</v>
      </c>
      <c r="H81" s="183">
        <v>0</v>
      </c>
      <c r="I81" s="182">
        <v>1.63</v>
      </c>
      <c r="J81" s="183">
        <v>3.3919999999999999E-2</v>
      </c>
      <c r="K81" s="183">
        <v>9.6200000000000001E-3</v>
      </c>
      <c r="L81" s="183">
        <v>7.2480000000000003E-2</v>
      </c>
      <c r="M81" s="183">
        <v>0</v>
      </c>
      <c r="N81" s="182">
        <v>1.63</v>
      </c>
      <c r="O81" s="183">
        <v>4.3540000000000002E-2</v>
      </c>
      <c r="P81" s="183">
        <v>2.0200000000000003E-2</v>
      </c>
      <c r="Q81" s="183">
        <v>0</v>
      </c>
      <c r="R81" s="183">
        <v>5.3260000000000009E-2</v>
      </c>
      <c r="S81" s="182">
        <v>1.63</v>
      </c>
      <c r="T81" s="183">
        <v>2.23E-2</v>
      </c>
      <c r="U81" s="183">
        <v>5.3000000000000009E-3</v>
      </c>
      <c r="V81" s="183">
        <v>4.9820000000000003E-2</v>
      </c>
      <c r="W81" s="183">
        <v>0</v>
      </c>
      <c r="X81" s="182">
        <v>1.63</v>
      </c>
      <c r="Y81" s="183">
        <v>3.662E-2</v>
      </c>
      <c r="Z81" s="183">
        <v>1.9580000000000004E-2</v>
      </c>
      <c r="AA81" s="183">
        <v>0</v>
      </c>
      <c r="AB81" s="183">
        <v>5.6380000000000006E-2</v>
      </c>
      <c r="AC81" s="182">
        <v>1.63</v>
      </c>
      <c r="AD81" s="183">
        <v>3.1979999999999995E-2</v>
      </c>
      <c r="AE81" s="183">
        <v>1.2020000000000001E-2</v>
      </c>
      <c r="AF81" s="183">
        <v>6.7199999999999996E-2</v>
      </c>
      <c r="AG81" s="183">
        <v>2.5300000000000003E-2</v>
      </c>
      <c r="AH81" s="182">
        <v>1.63</v>
      </c>
      <c r="AI81" s="183">
        <v>2.1559999999999999E-2</v>
      </c>
      <c r="AJ81" s="183">
        <v>6.9400000000000009E-3</v>
      </c>
      <c r="AK81" s="183">
        <v>4.7740000000000005E-2</v>
      </c>
      <c r="AL81" s="183">
        <v>1.3540000000000003E-2</v>
      </c>
      <c r="AM81" s="182">
        <v>1.63</v>
      </c>
      <c r="AN81" s="183">
        <v>2.896E-2</v>
      </c>
      <c r="AO81" s="183">
        <v>1.2580000000000001E-2</v>
      </c>
      <c r="AP81" s="183">
        <v>5.978E-2</v>
      </c>
      <c r="AQ81" s="183">
        <v>3.0060000000000003E-2</v>
      </c>
      <c r="AR81" s="182">
        <v>1.63</v>
      </c>
      <c r="AS81" s="183">
        <v>2.0320000000000001E-2</v>
      </c>
      <c r="AT81" s="183">
        <v>7.640000000000001E-3</v>
      </c>
      <c r="AU81" s="183">
        <v>4.4839999999999998E-2</v>
      </c>
      <c r="AV81" s="183">
        <v>1.6920000000000004E-2</v>
      </c>
      <c r="AW81" s="182"/>
      <c r="AX81" s="183"/>
      <c r="AY81" s="183"/>
      <c r="AZ81" s="183"/>
      <c r="BA81" s="183"/>
      <c r="BB81" s="182"/>
      <c r="BC81" s="183"/>
      <c r="BD81" s="183"/>
      <c r="BE81" s="183"/>
      <c r="BF81" s="183"/>
    </row>
    <row r="82" spans="4:58" ht="15.75">
      <c r="D82" s="182">
        <v>1.64</v>
      </c>
      <c r="E82" s="183">
        <v>4.8579999999999998E-2</v>
      </c>
      <c r="F82" s="183">
        <v>1.8100000000000002E-2</v>
      </c>
      <c r="G82" s="183">
        <v>0</v>
      </c>
      <c r="H82" s="183">
        <v>0</v>
      </c>
      <c r="I82" s="182">
        <v>1.64</v>
      </c>
      <c r="J82" s="183">
        <v>3.3859999999999994E-2</v>
      </c>
      <c r="K82" s="183">
        <v>9.4599999999999997E-3</v>
      </c>
      <c r="L82" s="183">
        <v>7.214000000000001E-2</v>
      </c>
      <c r="M82" s="183">
        <v>0</v>
      </c>
      <c r="N82" s="182">
        <v>1.64</v>
      </c>
      <c r="O82" s="183">
        <v>4.3619999999999999E-2</v>
      </c>
      <c r="P82" s="183">
        <v>0.02</v>
      </c>
      <c r="Q82" s="183">
        <v>0</v>
      </c>
      <c r="R82" s="183">
        <v>5.2580000000000002E-2</v>
      </c>
      <c r="S82" s="182">
        <v>1.64</v>
      </c>
      <c r="T82" s="183">
        <v>2.2200000000000001E-2</v>
      </c>
      <c r="U82" s="183">
        <v>5.2000000000000006E-3</v>
      </c>
      <c r="V82" s="183">
        <v>4.956E-2</v>
      </c>
      <c r="W82" s="183">
        <v>0</v>
      </c>
      <c r="X82" s="182">
        <v>1.64</v>
      </c>
      <c r="Y82" s="183">
        <v>3.6760000000000001E-2</v>
      </c>
      <c r="Z82" s="183">
        <v>1.9440000000000002E-2</v>
      </c>
      <c r="AA82" s="183">
        <v>0</v>
      </c>
      <c r="AB82" s="183">
        <v>5.5940000000000004E-2</v>
      </c>
      <c r="AC82" s="182">
        <v>1.64</v>
      </c>
      <c r="AD82" s="183">
        <v>3.1939999999999996E-2</v>
      </c>
      <c r="AE82" s="183">
        <v>1.1860000000000001E-2</v>
      </c>
      <c r="AF82" s="183">
        <v>6.7000000000000004E-2</v>
      </c>
      <c r="AG82" s="183">
        <v>2.4900000000000002E-2</v>
      </c>
      <c r="AH82" s="182">
        <v>1.64</v>
      </c>
      <c r="AI82" s="183">
        <v>2.1479999999999999E-2</v>
      </c>
      <c r="AJ82" s="183">
        <v>6.8200000000000005E-3</v>
      </c>
      <c r="AK82" s="183">
        <v>4.752E-2</v>
      </c>
      <c r="AL82" s="183">
        <v>1.3320000000000002E-2</v>
      </c>
      <c r="AM82" s="182">
        <v>1.64</v>
      </c>
      <c r="AN82" s="183">
        <v>2.8980000000000002E-2</v>
      </c>
      <c r="AO82" s="183">
        <v>1.2440000000000001E-2</v>
      </c>
      <c r="AP82" s="183">
        <v>5.9740000000000001E-2</v>
      </c>
      <c r="AQ82" s="183">
        <v>2.9680000000000002E-2</v>
      </c>
      <c r="AR82" s="182">
        <v>1.64</v>
      </c>
      <c r="AS82" s="183">
        <v>2.026E-2</v>
      </c>
      <c r="AT82" s="183">
        <v>7.5200000000000006E-3</v>
      </c>
      <c r="AU82" s="183">
        <v>4.4720000000000003E-2</v>
      </c>
      <c r="AV82" s="183">
        <v>1.6660000000000001E-2</v>
      </c>
      <c r="AW82" s="182"/>
      <c r="AX82" s="183"/>
      <c r="AY82" s="183"/>
      <c r="AZ82" s="183"/>
      <c r="BA82" s="183"/>
      <c r="BB82" s="182"/>
      <c r="BC82" s="183"/>
      <c r="BD82" s="183"/>
      <c r="BE82" s="183"/>
      <c r="BF82" s="183"/>
    </row>
    <row r="83" spans="4:58" ht="15.75">
      <c r="D83" s="180">
        <v>1.65</v>
      </c>
      <c r="E83" s="181">
        <v>4.8599999999999997E-2</v>
      </c>
      <c r="F83" s="181">
        <v>1.7899999999999999E-2</v>
      </c>
      <c r="G83" s="183">
        <v>0</v>
      </c>
      <c r="H83" s="183">
        <v>0</v>
      </c>
      <c r="I83" s="180">
        <v>1.65</v>
      </c>
      <c r="J83" s="181">
        <v>3.3799999999999997E-2</v>
      </c>
      <c r="K83" s="181">
        <v>9.2999999999999992E-3</v>
      </c>
      <c r="L83" s="181">
        <v>7.1800000000000003E-2</v>
      </c>
      <c r="M83" s="183">
        <v>0</v>
      </c>
      <c r="N83" s="180">
        <v>1.65</v>
      </c>
      <c r="O83" s="181">
        <v>4.3700000000000003E-2</v>
      </c>
      <c r="P83" s="181">
        <v>1.9800000000000002E-2</v>
      </c>
      <c r="Q83" s="183">
        <v>0</v>
      </c>
      <c r="R83" s="181">
        <v>5.1900000000000002E-2</v>
      </c>
      <c r="S83" s="180">
        <v>1.65</v>
      </c>
      <c r="T83" s="181">
        <v>2.2100000000000002E-2</v>
      </c>
      <c r="U83" s="181">
        <v>5.1000000000000004E-3</v>
      </c>
      <c r="V83" s="181">
        <v>4.9299999999999997E-2</v>
      </c>
      <c r="W83" s="183">
        <v>0</v>
      </c>
      <c r="X83" s="180">
        <v>1.65</v>
      </c>
      <c r="Y83" s="181">
        <v>3.6900000000000002E-2</v>
      </c>
      <c r="Z83" s="181">
        <v>1.9300000000000001E-2</v>
      </c>
      <c r="AA83" s="183">
        <v>0</v>
      </c>
      <c r="AB83" s="181">
        <v>5.5500000000000001E-2</v>
      </c>
      <c r="AC83" s="180">
        <v>1.65</v>
      </c>
      <c r="AD83" s="181">
        <v>3.1899999999999998E-2</v>
      </c>
      <c r="AE83" s="181">
        <v>1.17E-2</v>
      </c>
      <c r="AF83" s="181">
        <v>6.6799999999999998E-2</v>
      </c>
      <c r="AG83" s="181">
        <v>2.4500000000000001E-2</v>
      </c>
      <c r="AH83" s="180">
        <v>1.65</v>
      </c>
      <c r="AI83" s="181">
        <v>2.1399999999999999E-2</v>
      </c>
      <c r="AJ83" s="181">
        <v>6.7000000000000002E-3</v>
      </c>
      <c r="AK83" s="181">
        <v>4.7300000000000002E-2</v>
      </c>
      <c r="AL83" s="181">
        <v>1.3100000000000001E-2</v>
      </c>
      <c r="AM83" s="180">
        <v>1.65</v>
      </c>
      <c r="AN83" s="181">
        <v>2.9000000000000001E-2</v>
      </c>
      <c r="AO83" s="181">
        <v>1.23E-2</v>
      </c>
      <c r="AP83" s="181">
        <v>5.9700000000000003E-2</v>
      </c>
      <c r="AQ83" s="181">
        <v>2.93E-2</v>
      </c>
      <c r="AR83" s="180">
        <v>1.65</v>
      </c>
      <c r="AS83" s="181">
        <v>2.0199999999999999E-2</v>
      </c>
      <c r="AT83" s="181">
        <v>7.4000000000000003E-3</v>
      </c>
      <c r="AU83" s="181">
        <v>4.4600000000000001E-2</v>
      </c>
      <c r="AV83" s="181">
        <v>1.6400000000000001E-2</v>
      </c>
      <c r="AW83" s="180"/>
      <c r="AX83" s="181"/>
      <c r="AY83" s="181"/>
      <c r="AZ83" s="181"/>
      <c r="BA83" s="181"/>
      <c r="BB83" s="180"/>
      <c r="BC83" s="181"/>
      <c r="BD83" s="181"/>
      <c r="BE83" s="181"/>
      <c r="BF83" s="181"/>
    </row>
    <row r="84" spans="4:58" ht="15.75">
      <c r="D84" s="182">
        <v>1.66</v>
      </c>
      <c r="E84" s="183">
        <v>4.8639999999999996E-2</v>
      </c>
      <c r="F84" s="183">
        <v>1.77E-2</v>
      </c>
      <c r="G84" s="183">
        <v>0</v>
      </c>
      <c r="H84" s="183">
        <v>0</v>
      </c>
      <c r="I84" s="182">
        <v>1.66</v>
      </c>
      <c r="J84" s="183">
        <v>3.3700000000000001E-2</v>
      </c>
      <c r="K84" s="183">
        <v>9.1599999999999997E-3</v>
      </c>
      <c r="L84" s="183">
        <v>7.1459999999999996E-2</v>
      </c>
      <c r="M84" s="183">
        <v>0</v>
      </c>
      <c r="N84" s="182">
        <v>1.66</v>
      </c>
      <c r="O84" s="183">
        <v>4.3779999999999999E-2</v>
      </c>
      <c r="P84" s="183">
        <v>1.9640000000000001E-2</v>
      </c>
      <c r="Q84" s="183">
        <v>0</v>
      </c>
      <c r="R84" s="183">
        <v>5.1299999999999998E-2</v>
      </c>
      <c r="S84" s="182">
        <v>1.66</v>
      </c>
      <c r="T84" s="183">
        <v>2.2020000000000001E-2</v>
      </c>
      <c r="U84" s="183">
        <v>5.0200000000000002E-3</v>
      </c>
      <c r="V84" s="183">
        <v>4.8959999999999997E-2</v>
      </c>
      <c r="W84" s="183">
        <v>0</v>
      </c>
      <c r="X84" s="182">
        <v>1.66</v>
      </c>
      <c r="Y84" s="183">
        <v>3.7040000000000003E-2</v>
      </c>
      <c r="Z84" s="183">
        <v>1.916E-2</v>
      </c>
      <c r="AA84" s="183">
        <v>0</v>
      </c>
      <c r="AB84" s="183">
        <v>5.5019999999999999E-2</v>
      </c>
      <c r="AC84" s="182">
        <v>1.66</v>
      </c>
      <c r="AD84" s="183">
        <v>3.184E-2</v>
      </c>
      <c r="AE84" s="183">
        <v>1.154E-2</v>
      </c>
      <c r="AF84" s="183">
        <v>6.658E-2</v>
      </c>
      <c r="AG84" s="183">
        <v>2.4160000000000001E-2</v>
      </c>
      <c r="AH84" s="182">
        <v>1.66</v>
      </c>
      <c r="AI84" s="183">
        <v>2.1319999999999999E-2</v>
      </c>
      <c r="AJ84" s="183">
        <v>6.6E-3</v>
      </c>
      <c r="AK84" s="183">
        <v>4.7080000000000004E-2</v>
      </c>
      <c r="AL84" s="183">
        <v>1.2880000000000001E-2</v>
      </c>
      <c r="AM84" s="182">
        <v>1.66</v>
      </c>
      <c r="AN84" s="183">
        <v>2.9000000000000001E-2</v>
      </c>
      <c r="AO84" s="183">
        <v>1.2160000000000001E-2</v>
      </c>
      <c r="AP84" s="183">
        <v>5.9640000000000006E-2</v>
      </c>
      <c r="AQ84" s="183">
        <v>2.8920000000000001E-2</v>
      </c>
      <c r="AR84" s="182">
        <v>1.66</v>
      </c>
      <c r="AS84" s="183">
        <v>2.0160000000000001E-2</v>
      </c>
      <c r="AT84" s="183">
        <v>7.3000000000000001E-3</v>
      </c>
      <c r="AU84" s="183">
        <v>4.444E-2</v>
      </c>
      <c r="AV84" s="183">
        <v>1.6160000000000001E-2</v>
      </c>
      <c r="AW84" s="182"/>
      <c r="AX84" s="183"/>
      <c r="AY84" s="183"/>
      <c r="AZ84" s="183"/>
      <c r="BA84" s="183"/>
      <c r="BB84" s="182"/>
      <c r="BC84" s="183"/>
      <c r="BD84" s="183"/>
      <c r="BE84" s="183"/>
      <c r="BF84" s="183"/>
    </row>
    <row r="85" spans="4:58" ht="15.75">
      <c r="D85" s="182">
        <v>1.67</v>
      </c>
      <c r="E85" s="183">
        <v>4.8680000000000001E-2</v>
      </c>
      <c r="F85" s="183">
        <v>1.7499999999999998E-2</v>
      </c>
      <c r="G85" s="183">
        <v>0</v>
      </c>
      <c r="H85" s="183">
        <v>0</v>
      </c>
      <c r="I85" s="182">
        <v>1.67</v>
      </c>
      <c r="J85" s="183">
        <v>3.3599999999999998E-2</v>
      </c>
      <c r="K85" s="183">
        <v>9.0200000000000002E-3</v>
      </c>
      <c r="L85" s="183">
        <v>7.1120000000000003E-2</v>
      </c>
      <c r="M85" s="183">
        <v>0</v>
      </c>
      <c r="N85" s="182">
        <v>1.67</v>
      </c>
      <c r="O85" s="183">
        <v>4.3860000000000003E-2</v>
      </c>
      <c r="P85" s="183">
        <v>1.9480000000000001E-2</v>
      </c>
      <c r="Q85" s="183">
        <v>0</v>
      </c>
      <c r="R85" s="183">
        <v>5.0700000000000002E-2</v>
      </c>
      <c r="S85" s="182">
        <v>1.67</v>
      </c>
      <c r="T85" s="183">
        <v>2.1940000000000001E-2</v>
      </c>
      <c r="U85" s="183">
        <v>4.9399999999999999E-3</v>
      </c>
      <c r="V85" s="183">
        <v>4.8619999999999997E-2</v>
      </c>
      <c r="W85" s="183">
        <v>0</v>
      </c>
      <c r="X85" s="182">
        <v>1.67</v>
      </c>
      <c r="Y85" s="183">
        <v>3.7180000000000005E-2</v>
      </c>
      <c r="Z85" s="183">
        <v>1.9019999999999999E-2</v>
      </c>
      <c r="AA85" s="183">
        <v>0</v>
      </c>
      <c r="AB85" s="183">
        <v>5.4539999999999998E-2</v>
      </c>
      <c r="AC85" s="182">
        <v>1.67</v>
      </c>
      <c r="AD85" s="183">
        <v>3.1780000000000003E-2</v>
      </c>
      <c r="AE85" s="183">
        <v>1.1379999999999999E-2</v>
      </c>
      <c r="AF85" s="183">
        <v>6.6360000000000002E-2</v>
      </c>
      <c r="AG85" s="183">
        <v>2.3820000000000001E-2</v>
      </c>
      <c r="AH85" s="182">
        <v>1.67</v>
      </c>
      <c r="AI85" s="183">
        <v>2.1239999999999998E-2</v>
      </c>
      <c r="AJ85" s="183">
        <v>6.4999999999999997E-3</v>
      </c>
      <c r="AK85" s="183">
        <v>4.6859999999999999E-2</v>
      </c>
      <c r="AL85" s="183">
        <v>1.2660000000000001E-2</v>
      </c>
      <c r="AM85" s="182">
        <v>1.67</v>
      </c>
      <c r="AN85" s="183">
        <v>2.9000000000000001E-2</v>
      </c>
      <c r="AO85" s="183">
        <v>1.2019999999999999E-2</v>
      </c>
      <c r="AP85" s="183">
        <v>5.9580000000000001E-2</v>
      </c>
      <c r="AQ85" s="183">
        <v>2.8539999999999999E-2</v>
      </c>
      <c r="AR85" s="182">
        <v>1.67</v>
      </c>
      <c r="AS85" s="183">
        <v>2.0119999999999999E-2</v>
      </c>
      <c r="AT85" s="183">
        <v>7.1999999999999998E-3</v>
      </c>
      <c r="AU85" s="183">
        <v>4.428E-2</v>
      </c>
      <c r="AV85" s="183">
        <v>1.592E-2</v>
      </c>
      <c r="AW85" s="182"/>
      <c r="AX85" s="183"/>
      <c r="AY85" s="183"/>
      <c r="AZ85" s="183"/>
      <c r="BA85" s="183"/>
      <c r="BB85" s="182"/>
      <c r="BC85" s="183"/>
      <c r="BD85" s="183"/>
      <c r="BE85" s="183"/>
      <c r="BF85" s="183"/>
    </row>
    <row r="86" spans="4:58" ht="15.75">
      <c r="D86" s="182">
        <v>1.68</v>
      </c>
      <c r="E86" s="183">
        <v>4.8719999999999999E-2</v>
      </c>
      <c r="F86" s="183">
        <v>1.7299999999999999E-2</v>
      </c>
      <c r="G86" s="183">
        <v>0</v>
      </c>
      <c r="H86" s="183">
        <v>0</v>
      </c>
      <c r="I86" s="182">
        <v>1.68</v>
      </c>
      <c r="J86" s="183">
        <v>3.3500000000000002E-2</v>
      </c>
      <c r="K86" s="183">
        <v>8.879999999999999E-3</v>
      </c>
      <c r="L86" s="183">
        <v>7.0779999999999996E-2</v>
      </c>
      <c r="M86" s="183">
        <v>0</v>
      </c>
      <c r="N86" s="182">
        <v>1.68</v>
      </c>
      <c r="O86" s="183">
        <v>4.394E-2</v>
      </c>
      <c r="P86" s="183">
        <v>1.932E-2</v>
      </c>
      <c r="Q86" s="183">
        <v>0</v>
      </c>
      <c r="R86" s="183">
        <v>5.0099999999999999E-2</v>
      </c>
      <c r="S86" s="182">
        <v>1.68</v>
      </c>
      <c r="T86" s="183">
        <v>2.1860000000000001E-2</v>
      </c>
      <c r="U86" s="183">
        <v>4.8600000000000006E-3</v>
      </c>
      <c r="V86" s="183">
        <v>4.8280000000000003E-2</v>
      </c>
      <c r="W86" s="183">
        <v>0</v>
      </c>
      <c r="X86" s="182">
        <v>1.68</v>
      </c>
      <c r="Y86" s="183">
        <v>3.7319999999999999E-2</v>
      </c>
      <c r="Z86" s="183">
        <v>1.8880000000000001E-2</v>
      </c>
      <c r="AA86" s="183">
        <v>0</v>
      </c>
      <c r="AB86" s="183">
        <v>5.4060000000000004E-2</v>
      </c>
      <c r="AC86" s="182">
        <v>1.68</v>
      </c>
      <c r="AD86" s="183">
        <v>3.1719999999999998E-2</v>
      </c>
      <c r="AE86" s="183">
        <v>1.1220000000000001E-2</v>
      </c>
      <c r="AF86" s="183">
        <v>6.613999999999999E-2</v>
      </c>
      <c r="AG86" s="183">
        <v>2.3480000000000001E-2</v>
      </c>
      <c r="AH86" s="182">
        <v>1.68</v>
      </c>
      <c r="AI86" s="183">
        <v>2.1160000000000002E-2</v>
      </c>
      <c r="AJ86" s="183">
        <v>6.4000000000000003E-3</v>
      </c>
      <c r="AK86" s="183">
        <v>4.6640000000000001E-2</v>
      </c>
      <c r="AL86" s="183">
        <v>1.244E-2</v>
      </c>
      <c r="AM86" s="182">
        <v>1.68</v>
      </c>
      <c r="AN86" s="183">
        <v>2.9000000000000001E-2</v>
      </c>
      <c r="AO86" s="183">
        <v>1.188E-2</v>
      </c>
      <c r="AP86" s="183">
        <v>5.9520000000000003E-2</v>
      </c>
      <c r="AQ86" s="183">
        <v>2.8160000000000001E-2</v>
      </c>
      <c r="AR86" s="182">
        <v>1.68</v>
      </c>
      <c r="AS86" s="183">
        <v>2.0080000000000001E-2</v>
      </c>
      <c r="AT86" s="183">
        <v>7.1000000000000004E-3</v>
      </c>
      <c r="AU86" s="183">
        <v>4.4119999999999999E-2</v>
      </c>
      <c r="AV86" s="183">
        <v>1.5679999999999999E-2</v>
      </c>
      <c r="AW86" s="182"/>
      <c r="AX86" s="183"/>
      <c r="AY86" s="183"/>
      <c r="AZ86" s="183"/>
      <c r="BA86" s="183"/>
      <c r="BB86" s="182"/>
      <c r="BC86" s="183"/>
      <c r="BD86" s="183"/>
      <c r="BE86" s="183"/>
      <c r="BF86" s="183"/>
    </row>
    <row r="87" spans="4:58" ht="15.75">
      <c r="D87" s="182">
        <v>1.69</v>
      </c>
      <c r="E87" s="183">
        <v>4.8760000000000005E-2</v>
      </c>
      <c r="F87" s="183">
        <v>1.7099999999999997E-2</v>
      </c>
      <c r="G87" s="183">
        <v>0</v>
      </c>
      <c r="H87" s="183">
        <v>0</v>
      </c>
      <c r="I87" s="182">
        <v>1.69</v>
      </c>
      <c r="J87" s="183">
        <v>3.3399999999999999E-2</v>
      </c>
      <c r="K87" s="183">
        <v>8.7399999999999995E-3</v>
      </c>
      <c r="L87" s="183">
        <v>7.0440000000000003E-2</v>
      </c>
      <c r="M87" s="183">
        <v>0</v>
      </c>
      <c r="N87" s="182">
        <v>1.69</v>
      </c>
      <c r="O87" s="183">
        <v>4.4020000000000004E-2</v>
      </c>
      <c r="P87" s="183">
        <v>1.916E-2</v>
      </c>
      <c r="Q87" s="183">
        <v>0</v>
      </c>
      <c r="R87" s="183">
        <v>4.9500000000000002E-2</v>
      </c>
      <c r="S87" s="182">
        <v>1.69</v>
      </c>
      <c r="T87" s="183">
        <v>2.1780000000000001E-2</v>
      </c>
      <c r="U87" s="183">
        <v>4.7800000000000004E-3</v>
      </c>
      <c r="V87" s="183">
        <v>4.7940000000000003E-2</v>
      </c>
      <c r="W87" s="183">
        <v>0</v>
      </c>
      <c r="X87" s="182">
        <v>1.69</v>
      </c>
      <c r="Y87" s="183">
        <v>3.746E-2</v>
      </c>
      <c r="Z87" s="183">
        <v>1.874E-2</v>
      </c>
      <c r="AA87" s="183">
        <v>0</v>
      </c>
      <c r="AB87" s="183">
        <v>5.3580000000000003E-2</v>
      </c>
      <c r="AC87" s="182">
        <v>1.69</v>
      </c>
      <c r="AD87" s="183">
        <v>3.1660000000000001E-2</v>
      </c>
      <c r="AE87" s="183">
        <v>1.106E-2</v>
      </c>
      <c r="AF87" s="183">
        <v>6.5919999999999992E-2</v>
      </c>
      <c r="AG87" s="183">
        <v>2.3140000000000001E-2</v>
      </c>
      <c r="AH87" s="182">
        <v>1.69</v>
      </c>
      <c r="AI87" s="183">
        <v>2.1080000000000002E-2</v>
      </c>
      <c r="AJ87" s="183">
        <v>6.3E-3</v>
      </c>
      <c r="AK87" s="183">
        <v>4.6419999999999996E-2</v>
      </c>
      <c r="AL87" s="183">
        <v>1.222E-2</v>
      </c>
      <c r="AM87" s="182">
        <v>1.69</v>
      </c>
      <c r="AN87" s="183">
        <v>2.9000000000000001E-2</v>
      </c>
      <c r="AO87" s="183">
        <v>1.1739999999999999E-2</v>
      </c>
      <c r="AP87" s="183">
        <v>5.9459999999999999E-2</v>
      </c>
      <c r="AQ87" s="183">
        <v>2.7779999999999999E-2</v>
      </c>
      <c r="AR87" s="182">
        <v>1.69</v>
      </c>
      <c r="AS87" s="183">
        <v>2.0039999999999999E-2</v>
      </c>
      <c r="AT87" s="183">
        <v>7.0000000000000001E-3</v>
      </c>
      <c r="AU87" s="183">
        <v>4.3959999999999999E-2</v>
      </c>
      <c r="AV87" s="183">
        <v>1.5440000000000001E-2</v>
      </c>
      <c r="AW87" s="182"/>
      <c r="AX87" s="183"/>
      <c r="AY87" s="183"/>
      <c r="AZ87" s="183"/>
      <c r="BA87" s="183"/>
      <c r="BB87" s="182"/>
      <c r="BC87" s="183"/>
      <c r="BD87" s="183"/>
      <c r="BE87" s="183"/>
      <c r="BF87" s="183"/>
    </row>
    <row r="88" spans="4:58" ht="15.75">
      <c r="D88" s="180">
        <v>1.7</v>
      </c>
      <c r="E88" s="181">
        <v>4.8800000000000003E-2</v>
      </c>
      <c r="F88" s="181">
        <v>1.6899999999999998E-2</v>
      </c>
      <c r="G88" s="183">
        <v>0</v>
      </c>
      <c r="H88" s="183">
        <v>0</v>
      </c>
      <c r="I88" s="180">
        <v>1.7</v>
      </c>
      <c r="J88" s="181">
        <v>3.3300000000000003E-2</v>
      </c>
      <c r="K88" s="181">
        <v>8.6E-3</v>
      </c>
      <c r="L88" s="181">
        <v>7.0099999999999996E-2</v>
      </c>
      <c r="M88" s="183">
        <v>0</v>
      </c>
      <c r="N88" s="180">
        <v>1.7</v>
      </c>
      <c r="O88" s="181">
        <v>4.41E-2</v>
      </c>
      <c r="P88" s="181">
        <v>1.9E-2</v>
      </c>
      <c r="Q88" s="183">
        <v>0</v>
      </c>
      <c r="R88" s="181">
        <v>4.8899999999999999E-2</v>
      </c>
      <c r="S88" s="180">
        <v>1.7</v>
      </c>
      <c r="T88" s="181">
        <v>2.1700000000000001E-2</v>
      </c>
      <c r="U88" s="181">
        <v>4.7000000000000002E-3</v>
      </c>
      <c r="V88" s="181">
        <v>4.7600000000000003E-2</v>
      </c>
      <c r="W88" s="183">
        <v>0</v>
      </c>
      <c r="X88" s="180">
        <v>1.7</v>
      </c>
      <c r="Y88" s="181">
        <v>3.7600000000000001E-2</v>
      </c>
      <c r="Z88" s="181">
        <v>1.8599999999999998E-2</v>
      </c>
      <c r="AA88" s="183">
        <v>0</v>
      </c>
      <c r="AB88" s="181">
        <v>5.3100000000000001E-2</v>
      </c>
      <c r="AC88" s="180">
        <v>1.7</v>
      </c>
      <c r="AD88" s="181">
        <v>3.1600000000000003E-2</v>
      </c>
      <c r="AE88" s="181">
        <v>1.09E-2</v>
      </c>
      <c r="AF88" s="181">
        <v>6.5699999999999995E-2</v>
      </c>
      <c r="AG88" s="181">
        <v>2.2800000000000001E-2</v>
      </c>
      <c r="AH88" s="180">
        <v>1.7</v>
      </c>
      <c r="AI88" s="181">
        <v>2.1000000000000001E-2</v>
      </c>
      <c r="AJ88" s="181">
        <v>6.1999999999999998E-3</v>
      </c>
      <c r="AK88" s="181">
        <v>4.6199999999999998E-2</v>
      </c>
      <c r="AL88" s="181">
        <v>1.2E-2</v>
      </c>
      <c r="AM88" s="180">
        <v>1.7</v>
      </c>
      <c r="AN88" s="181">
        <v>2.9000000000000001E-2</v>
      </c>
      <c r="AO88" s="181">
        <v>1.1599999999999999E-2</v>
      </c>
      <c r="AP88" s="181">
        <v>5.9400000000000001E-2</v>
      </c>
      <c r="AQ88" s="181">
        <v>2.7400000000000001E-2</v>
      </c>
      <c r="AR88" s="180">
        <v>1.7</v>
      </c>
      <c r="AS88" s="181">
        <v>0.02</v>
      </c>
      <c r="AT88" s="181">
        <v>6.8999999999999999E-3</v>
      </c>
      <c r="AU88" s="181">
        <v>4.3799999999999999E-2</v>
      </c>
      <c r="AV88" s="181">
        <v>1.52E-2</v>
      </c>
      <c r="AW88" s="180"/>
      <c r="AX88" s="181"/>
      <c r="AY88" s="181"/>
      <c r="AZ88" s="181"/>
      <c r="BA88" s="181"/>
      <c r="BB88" s="180"/>
      <c r="BC88" s="181"/>
      <c r="BD88" s="181"/>
      <c r="BE88" s="181"/>
      <c r="BF88" s="181"/>
    </row>
    <row r="89" spans="4:58" ht="15.75">
      <c r="D89" s="182">
        <v>1.71</v>
      </c>
      <c r="E89" s="183">
        <v>4.8760000000000005E-2</v>
      </c>
      <c r="F89" s="183">
        <v>1.668E-2</v>
      </c>
      <c r="G89" s="183">
        <v>0</v>
      </c>
      <c r="H89" s="183">
        <v>0</v>
      </c>
      <c r="I89" s="182">
        <v>1.71</v>
      </c>
      <c r="J89" s="183">
        <v>3.322E-2</v>
      </c>
      <c r="K89" s="183">
        <v>8.4799999999999997E-3</v>
      </c>
      <c r="L89" s="183">
        <v>6.9779999999999995E-2</v>
      </c>
      <c r="M89" s="183">
        <v>0</v>
      </c>
      <c r="N89" s="182">
        <v>1.71</v>
      </c>
      <c r="O89" s="183">
        <v>4.4139999999999999E-2</v>
      </c>
      <c r="P89" s="183">
        <v>1.882E-2</v>
      </c>
      <c r="Q89" s="183">
        <v>0</v>
      </c>
      <c r="R89" s="183">
        <v>4.8320000000000002E-2</v>
      </c>
      <c r="S89" s="182">
        <v>1.71</v>
      </c>
      <c r="T89" s="183">
        <v>2.1600000000000001E-2</v>
      </c>
      <c r="U89" s="183">
        <v>4.62E-3</v>
      </c>
      <c r="V89" s="183">
        <v>4.7400000000000005E-2</v>
      </c>
      <c r="W89" s="183">
        <v>0</v>
      </c>
      <c r="X89" s="182">
        <v>1.71</v>
      </c>
      <c r="Y89" s="183">
        <v>3.7740000000000003E-2</v>
      </c>
      <c r="Z89" s="183">
        <v>1.8459999999999997E-2</v>
      </c>
      <c r="AA89" s="183">
        <v>0</v>
      </c>
      <c r="AB89" s="183">
        <v>5.262E-2</v>
      </c>
      <c r="AC89" s="182">
        <v>1.71</v>
      </c>
      <c r="AD89" s="183">
        <v>3.1540000000000006E-2</v>
      </c>
      <c r="AE89" s="183">
        <v>1.0659999999999999E-2</v>
      </c>
      <c r="AF89" s="183">
        <v>6.545999999999999E-2</v>
      </c>
      <c r="AG89" s="183">
        <v>2.2460000000000001E-2</v>
      </c>
      <c r="AH89" s="182">
        <v>1.71</v>
      </c>
      <c r="AI89" s="183">
        <v>2.0920000000000001E-2</v>
      </c>
      <c r="AJ89" s="183">
        <v>6.1199999999999996E-3</v>
      </c>
      <c r="AK89" s="183">
        <v>4.5999999999999999E-2</v>
      </c>
      <c r="AL89" s="183">
        <v>1.184E-2</v>
      </c>
      <c r="AM89" s="182">
        <v>1.71</v>
      </c>
      <c r="AN89" s="183">
        <v>2.9000000000000001E-2</v>
      </c>
      <c r="AO89" s="183">
        <v>1.146E-2</v>
      </c>
      <c r="AP89" s="183">
        <v>5.9299999999999999E-2</v>
      </c>
      <c r="AQ89" s="183">
        <v>2.7040000000000002E-2</v>
      </c>
      <c r="AR89" s="182">
        <v>1.71</v>
      </c>
      <c r="AS89" s="183">
        <v>1.9939999999999999E-2</v>
      </c>
      <c r="AT89" s="183">
        <v>6.7999999999999996E-3</v>
      </c>
      <c r="AU89" s="183">
        <v>4.3659999999999997E-2</v>
      </c>
      <c r="AV89" s="183">
        <v>1.498E-2</v>
      </c>
      <c r="AW89" s="182"/>
      <c r="AX89" s="183"/>
      <c r="AY89" s="183"/>
      <c r="AZ89" s="183"/>
      <c r="BA89" s="183"/>
      <c r="BB89" s="182"/>
      <c r="BC89" s="183"/>
      <c r="BD89" s="183"/>
      <c r="BE89" s="183"/>
      <c r="BF89" s="183"/>
    </row>
    <row r="90" spans="4:58" ht="15.75">
      <c r="D90" s="182">
        <v>1.72</v>
      </c>
      <c r="E90" s="183">
        <v>4.8719999999999999E-2</v>
      </c>
      <c r="F90" s="183">
        <v>1.6459999999999999E-2</v>
      </c>
      <c r="G90" s="183">
        <v>0</v>
      </c>
      <c r="H90" s="183">
        <v>0</v>
      </c>
      <c r="I90" s="182">
        <v>1.72</v>
      </c>
      <c r="J90" s="183">
        <v>3.3140000000000003E-2</v>
      </c>
      <c r="K90" s="183">
        <v>8.3599999999999994E-3</v>
      </c>
      <c r="L90" s="183">
        <v>6.9459999999999994E-2</v>
      </c>
      <c r="M90" s="183">
        <v>0</v>
      </c>
      <c r="N90" s="182">
        <v>1.72</v>
      </c>
      <c r="O90" s="183">
        <v>4.4179999999999997E-2</v>
      </c>
      <c r="P90" s="183">
        <v>1.864E-2</v>
      </c>
      <c r="Q90" s="183">
        <v>0</v>
      </c>
      <c r="R90" s="183">
        <v>4.7739999999999998E-2</v>
      </c>
      <c r="S90" s="182">
        <v>1.72</v>
      </c>
      <c r="T90" s="183">
        <v>2.1500000000000002E-2</v>
      </c>
      <c r="U90" s="183">
        <v>4.5399999999999998E-3</v>
      </c>
      <c r="V90" s="183">
        <v>4.7200000000000006E-2</v>
      </c>
      <c r="W90" s="183">
        <v>0</v>
      </c>
      <c r="X90" s="182">
        <v>1.72</v>
      </c>
      <c r="Y90" s="183">
        <v>3.7880000000000004E-2</v>
      </c>
      <c r="Z90" s="183">
        <v>1.8319999999999999E-2</v>
      </c>
      <c r="AA90" s="183">
        <v>0</v>
      </c>
      <c r="AB90" s="183">
        <v>5.2139999999999999E-2</v>
      </c>
      <c r="AC90" s="182">
        <v>1.72</v>
      </c>
      <c r="AD90" s="183">
        <v>3.1480000000000001E-2</v>
      </c>
      <c r="AE90" s="183">
        <v>1.042E-2</v>
      </c>
      <c r="AF90" s="183">
        <v>6.522E-2</v>
      </c>
      <c r="AG90" s="183">
        <v>2.2120000000000001E-2</v>
      </c>
      <c r="AH90" s="182">
        <v>1.72</v>
      </c>
      <c r="AI90" s="183">
        <v>2.0840000000000001E-2</v>
      </c>
      <c r="AJ90" s="183">
        <v>6.0399999999999994E-3</v>
      </c>
      <c r="AK90" s="183">
        <v>4.58E-2</v>
      </c>
      <c r="AL90" s="183">
        <v>1.1679999999999999E-2</v>
      </c>
      <c r="AM90" s="182">
        <v>1.72</v>
      </c>
      <c r="AN90" s="183">
        <v>2.9000000000000001E-2</v>
      </c>
      <c r="AO90" s="183">
        <v>1.132E-2</v>
      </c>
      <c r="AP90" s="183">
        <v>5.9200000000000003E-2</v>
      </c>
      <c r="AQ90" s="183">
        <v>2.6680000000000002E-2</v>
      </c>
      <c r="AR90" s="182">
        <v>1.72</v>
      </c>
      <c r="AS90" s="183">
        <v>1.9879999999999998E-2</v>
      </c>
      <c r="AT90" s="183">
        <v>6.7000000000000002E-3</v>
      </c>
      <c r="AU90" s="183">
        <v>4.3519999999999996E-2</v>
      </c>
      <c r="AV90" s="183">
        <v>1.4760000000000001E-2</v>
      </c>
      <c r="AW90" s="182"/>
      <c r="AX90" s="183"/>
      <c r="AY90" s="183"/>
      <c r="AZ90" s="183"/>
      <c r="BA90" s="183"/>
      <c r="BB90" s="182"/>
      <c r="BC90" s="183"/>
      <c r="BD90" s="183"/>
      <c r="BE90" s="183"/>
      <c r="BF90" s="183"/>
    </row>
    <row r="91" spans="4:58" ht="15.75">
      <c r="D91" s="182">
        <v>1.73</v>
      </c>
      <c r="E91" s="183">
        <v>4.8680000000000001E-2</v>
      </c>
      <c r="F91" s="183">
        <v>1.6240000000000001E-2</v>
      </c>
      <c r="G91" s="183">
        <v>0</v>
      </c>
      <c r="H91" s="183">
        <v>0</v>
      </c>
      <c r="I91" s="182">
        <v>1.73</v>
      </c>
      <c r="J91" s="183">
        <v>3.3059999999999999E-2</v>
      </c>
      <c r="K91" s="183">
        <v>8.2400000000000008E-3</v>
      </c>
      <c r="L91" s="183">
        <v>6.9140000000000007E-2</v>
      </c>
      <c r="M91" s="183">
        <v>0</v>
      </c>
      <c r="N91" s="182">
        <v>1.73</v>
      </c>
      <c r="O91" s="183">
        <v>4.4220000000000002E-2</v>
      </c>
      <c r="P91" s="183">
        <v>1.8460000000000001E-2</v>
      </c>
      <c r="Q91" s="183">
        <v>0</v>
      </c>
      <c r="R91" s="183">
        <v>4.7160000000000001E-2</v>
      </c>
      <c r="S91" s="182">
        <v>1.73</v>
      </c>
      <c r="T91" s="183">
        <v>2.1399999999999999E-2</v>
      </c>
      <c r="U91" s="183">
        <v>4.4600000000000004E-3</v>
      </c>
      <c r="V91" s="183">
        <v>4.7E-2</v>
      </c>
      <c r="W91" s="183">
        <v>0</v>
      </c>
      <c r="X91" s="182">
        <v>1.73</v>
      </c>
      <c r="Y91" s="183">
        <v>3.8019999999999998E-2</v>
      </c>
      <c r="Z91" s="183">
        <v>1.8179999999999998E-2</v>
      </c>
      <c r="AA91" s="183">
        <v>0</v>
      </c>
      <c r="AB91" s="183">
        <v>5.1660000000000005E-2</v>
      </c>
      <c r="AC91" s="182">
        <v>1.73</v>
      </c>
      <c r="AD91" s="183">
        <v>3.1420000000000003E-2</v>
      </c>
      <c r="AE91" s="183">
        <v>1.018E-2</v>
      </c>
      <c r="AF91" s="183">
        <v>6.4979999999999996E-2</v>
      </c>
      <c r="AG91" s="183">
        <v>2.1780000000000001E-2</v>
      </c>
      <c r="AH91" s="182">
        <v>1.73</v>
      </c>
      <c r="AI91" s="183">
        <v>2.0760000000000001E-2</v>
      </c>
      <c r="AJ91" s="183">
        <v>5.96E-3</v>
      </c>
      <c r="AK91" s="183">
        <v>4.5599999999999995E-2</v>
      </c>
      <c r="AL91" s="183">
        <v>1.1520000000000001E-2</v>
      </c>
      <c r="AM91" s="182">
        <v>1.73</v>
      </c>
      <c r="AN91" s="183">
        <v>2.9000000000000001E-2</v>
      </c>
      <c r="AO91" s="183">
        <v>1.1179999999999999E-2</v>
      </c>
      <c r="AP91" s="183">
        <v>5.91E-2</v>
      </c>
      <c r="AQ91" s="183">
        <v>2.632E-2</v>
      </c>
      <c r="AR91" s="182">
        <v>1.73</v>
      </c>
      <c r="AS91" s="183">
        <v>1.9820000000000001E-2</v>
      </c>
      <c r="AT91" s="183">
        <v>6.6E-3</v>
      </c>
      <c r="AU91" s="183">
        <v>4.3380000000000002E-2</v>
      </c>
      <c r="AV91" s="183">
        <v>1.4539999999999999E-2</v>
      </c>
      <c r="AW91" s="182"/>
      <c r="AX91" s="183"/>
      <c r="AY91" s="183"/>
      <c r="AZ91" s="183"/>
      <c r="BA91" s="183"/>
      <c r="BB91" s="182"/>
      <c r="BC91" s="183"/>
      <c r="BD91" s="183"/>
      <c r="BE91" s="183"/>
      <c r="BF91" s="183"/>
    </row>
    <row r="92" spans="4:58" ht="15.75">
      <c r="D92" s="182">
        <v>1.74</v>
      </c>
      <c r="E92" s="183">
        <v>4.8639999999999996E-2</v>
      </c>
      <c r="F92" s="183">
        <v>1.602E-2</v>
      </c>
      <c r="G92" s="183">
        <v>0</v>
      </c>
      <c r="H92" s="183">
        <v>0</v>
      </c>
      <c r="I92" s="182">
        <v>1.74</v>
      </c>
      <c r="J92" s="183">
        <v>3.2980000000000002E-2</v>
      </c>
      <c r="K92" s="183">
        <v>8.1200000000000005E-3</v>
      </c>
      <c r="L92" s="183">
        <v>6.8820000000000006E-2</v>
      </c>
      <c r="M92" s="183">
        <v>0</v>
      </c>
      <c r="N92" s="182">
        <v>1.74</v>
      </c>
      <c r="O92" s="183">
        <v>4.4260000000000001E-2</v>
      </c>
      <c r="P92" s="183">
        <v>1.8280000000000001E-2</v>
      </c>
      <c r="Q92" s="183">
        <v>0</v>
      </c>
      <c r="R92" s="183">
        <v>4.6579999999999996E-2</v>
      </c>
      <c r="S92" s="182">
        <v>1.74</v>
      </c>
      <c r="T92" s="183">
        <v>2.1299999999999999E-2</v>
      </c>
      <c r="U92" s="183">
        <v>4.3800000000000002E-3</v>
      </c>
      <c r="V92" s="183">
        <v>4.6800000000000001E-2</v>
      </c>
      <c r="W92" s="183">
        <v>0</v>
      </c>
      <c r="X92" s="182">
        <v>1.74</v>
      </c>
      <c r="Y92" s="183">
        <v>3.8159999999999999E-2</v>
      </c>
      <c r="Z92" s="183">
        <v>1.804E-2</v>
      </c>
      <c r="AA92" s="183">
        <v>0</v>
      </c>
      <c r="AB92" s="183">
        <v>5.1180000000000003E-2</v>
      </c>
      <c r="AC92" s="182">
        <v>1.74</v>
      </c>
      <c r="AD92" s="183">
        <v>3.1359999999999999E-2</v>
      </c>
      <c r="AE92" s="183">
        <v>9.9400000000000009E-3</v>
      </c>
      <c r="AF92" s="183">
        <v>6.4740000000000006E-2</v>
      </c>
      <c r="AG92" s="183">
        <v>2.1440000000000001E-2</v>
      </c>
      <c r="AH92" s="182">
        <v>1.74</v>
      </c>
      <c r="AI92" s="183">
        <v>2.068E-2</v>
      </c>
      <c r="AJ92" s="183">
        <v>5.8799999999999998E-3</v>
      </c>
      <c r="AK92" s="183">
        <v>4.5399999999999996E-2</v>
      </c>
      <c r="AL92" s="183">
        <v>1.136E-2</v>
      </c>
      <c r="AM92" s="182">
        <v>1.74</v>
      </c>
      <c r="AN92" s="183">
        <v>2.9000000000000001E-2</v>
      </c>
      <c r="AO92" s="183">
        <v>1.1039999999999999E-2</v>
      </c>
      <c r="AP92" s="183">
        <v>5.9000000000000004E-2</v>
      </c>
      <c r="AQ92" s="183">
        <v>2.596E-2</v>
      </c>
      <c r="AR92" s="182">
        <v>1.74</v>
      </c>
      <c r="AS92" s="183">
        <v>1.976E-2</v>
      </c>
      <c r="AT92" s="183">
        <v>6.5000000000000006E-3</v>
      </c>
      <c r="AU92" s="183">
        <v>4.3240000000000001E-2</v>
      </c>
      <c r="AV92" s="183">
        <v>1.4319999999999999E-2</v>
      </c>
      <c r="AW92" s="182"/>
      <c r="AX92" s="183"/>
      <c r="AY92" s="183"/>
      <c r="AZ92" s="183"/>
      <c r="BA92" s="183"/>
      <c r="BB92" s="182"/>
      <c r="BC92" s="183"/>
      <c r="BD92" s="183"/>
      <c r="BE92" s="183"/>
      <c r="BF92" s="183"/>
    </row>
    <row r="93" spans="4:58" ht="15.75">
      <c r="D93" s="180">
        <v>1.75</v>
      </c>
      <c r="E93" s="181">
        <v>4.8599999999999997E-2</v>
      </c>
      <c r="F93" s="181">
        <v>1.5800000000000002E-2</v>
      </c>
      <c r="G93" s="183">
        <v>0</v>
      </c>
      <c r="H93" s="183">
        <v>0</v>
      </c>
      <c r="I93" s="180">
        <v>1.75</v>
      </c>
      <c r="J93" s="181">
        <v>3.2899999999999999E-2</v>
      </c>
      <c r="K93" s="181">
        <v>8.0000000000000002E-3</v>
      </c>
      <c r="L93" s="181">
        <v>6.8500000000000005E-2</v>
      </c>
      <c r="M93" s="183">
        <v>0</v>
      </c>
      <c r="N93" s="180">
        <v>1.75</v>
      </c>
      <c r="O93" s="181">
        <v>4.4299999999999999E-2</v>
      </c>
      <c r="P93" s="181">
        <v>1.8100000000000002E-2</v>
      </c>
      <c r="Q93" s="183">
        <v>0</v>
      </c>
      <c r="R93" s="181">
        <v>4.5999999999999999E-2</v>
      </c>
      <c r="S93" s="180">
        <v>1.75</v>
      </c>
      <c r="T93" s="181">
        <v>2.12E-2</v>
      </c>
      <c r="U93" s="181">
        <v>4.3E-3</v>
      </c>
      <c r="V93" s="181">
        <v>4.6600000000000003E-2</v>
      </c>
      <c r="W93" s="183">
        <v>0</v>
      </c>
      <c r="X93" s="180">
        <v>1.75</v>
      </c>
      <c r="Y93" s="181">
        <v>3.8300000000000001E-2</v>
      </c>
      <c r="Z93" s="181">
        <v>1.7899999999999999E-2</v>
      </c>
      <c r="AA93" s="183">
        <v>0</v>
      </c>
      <c r="AB93" s="181">
        <v>5.0700000000000002E-2</v>
      </c>
      <c r="AC93" s="180">
        <v>1.75</v>
      </c>
      <c r="AD93" s="181">
        <v>3.1300000000000001E-2</v>
      </c>
      <c r="AE93" s="181">
        <v>9.7000000000000003E-3</v>
      </c>
      <c r="AF93" s="181">
        <v>6.4500000000000002E-2</v>
      </c>
      <c r="AG93" s="181">
        <v>2.1100000000000001E-2</v>
      </c>
      <c r="AH93" s="180">
        <v>1.75</v>
      </c>
      <c r="AI93" s="181">
        <v>2.06E-2</v>
      </c>
      <c r="AJ93" s="181">
        <v>5.7999999999999996E-3</v>
      </c>
      <c r="AK93" s="181">
        <v>4.5199999999999997E-2</v>
      </c>
      <c r="AL93" s="181">
        <v>1.12E-2</v>
      </c>
      <c r="AM93" s="180">
        <v>1.75</v>
      </c>
      <c r="AN93" s="181">
        <v>2.9000000000000001E-2</v>
      </c>
      <c r="AO93" s="181">
        <v>1.09E-2</v>
      </c>
      <c r="AP93" s="181">
        <v>5.8900000000000001E-2</v>
      </c>
      <c r="AQ93" s="181">
        <v>2.5600000000000001E-2</v>
      </c>
      <c r="AR93" s="180">
        <v>1.75</v>
      </c>
      <c r="AS93" s="181">
        <v>1.9699999999999999E-2</v>
      </c>
      <c r="AT93" s="181">
        <v>6.4000000000000003E-3</v>
      </c>
      <c r="AU93" s="181">
        <v>4.3099999999999999E-2</v>
      </c>
      <c r="AV93" s="181">
        <v>1.41E-2</v>
      </c>
      <c r="AW93" s="180"/>
      <c r="AX93" s="181"/>
      <c r="AY93" s="181"/>
      <c r="AZ93" s="181"/>
      <c r="BA93" s="181"/>
      <c r="BB93" s="180"/>
      <c r="BC93" s="181"/>
      <c r="BD93" s="181"/>
      <c r="BE93" s="181"/>
      <c r="BF93" s="181"/>
    </row>
    <row r="94" spans="4:58" ht="15.75">
      <c r="D94" s="182">
        <v>1.76</v>
      </c>
      <c r="E94" s="183">
        <v>4.8579999999999998E-2</v>
      </c>
      <c r="F94" s="183">
        <v>1.5600000000000001E-2</v>
      </c>
      <c r="G94" s="183">
        <v>0</v>
      </c>
      <c r="H94" s="183">
        <v>0</v>
      </c>
      <c r="I94" s="182">
        <v>1.76</v>
      </c>
      <c r="J94" s="183">
        <v>3.2840000000000001E-2</v>
      </c>
      <c r="K94" s="183">
        <v>7.9000000000000008E-3</v>
      </c>
      <c r="L94" s="183">
        <v>6.8159999999999998E-2</v>
      </c>
      <c r="M94" s="183">
        <v>0</v>
      </c>
      <c r="N94" s="182">
        <v>1.76</v>
      </c>
      <c r="O94" s="183">
        <v>4.4319999999999998E-2</v>
      </c>
      <c r="P94" s="183">
        <v>1.7920000000000002E-2</v>
      </c>
      <c r="Q94" s="183">
        <v>0</v>
      </c>
      <c r="R94" s="183">
        <v>4.5440000000000001E-2</v>
      </c>
      <c r="S94" s="182">
        <v>1.76</v>
      </c>
      <c r="T94" s="183">
        <v>2.112E-2</v>
      </c>
      <c r="U94" s="183">
        <v>4.2399999999999998E-3</v>
      </c>
      <c r="V94" s="183">
        <v>4.6360000000000005E-2</v>
      </c>
      <c r="W94" s="183">
        <v>0</v>
      </c>
      <c r="X94" s="182">
        <v>1.76</v>
      </c>
      <c r="Y94" s="183">
        <v>3.8400000000000004E-2</v>
      </c>
      <c r="Z94" s="183">
        <v>1.7759999999999998E-2</v>
      </c>
      <c r="AA94" s="183">
        <v>0</v>
      </c>
      <c r="AB94" s="183">
        <v>5.024E-2</v>
      </c>
      <c r="AC94" s="182">
        <v>1.76</v>
      </c>
      <c r="AD94" s="183">
        <v>3.1200000000000002E-2</v>
      </c>
      <c r="AE94" s="183">
        <v>9.6799999999999994E-3</v>
      </c>
      <c r="AF94" s="183">
        <v>6.4299999999999996E-2</v>
      </c>
      <c r="AG94" s="183">
        <v>2.0799999999999999E-2</v>
      </c>
      <c r="AH94" s="182">
        <v>1.76</v>
      </c>
      <c r="AI94" s="183">
        <v>2.0539999999999999E-2</v>
      </c>
      <c r="AJ94" s="183">
        <v>5.7199999999999994E-3</v>
      </c>
      <c r="AK94" s="183">
        <v>4.4999999999999998E-2</v>
      </c>
      <c r="AL94" s="183">
        <v>1.0999999999999999E-2</v>
      </c>
      <c r="AM94" s="182">
        <v>1.76</v>
      </c>
      <c r="AN94" s="183">
        <v>2.896E-2</v>
      </c>
      <c r="AO94" s="183">
        <v>1.078E-2</v>
      </c>
      <c r="AP94" s="183">
        <v>5.8779999999999999E-2</v>
      </c>
      <c r="AQ94" s="183">
        <v>2.528E-2</v>
      </c>
      <c r="AR94" s="182">
        <v>1.76</v>
      </c>
      <c r="AS94" s="183">
        <v>1.966E-2</v>
      </c>
      <c r="AT94" s="183">
        <v>6.3200000000000001E-3</v>
      </c>
      <c r="AU94" s="183">
        <v>4.2939999999999999E-2</v>
      </c>
      <c r="AV94" s="183">
        <v>1.3899999999999999E-2</v>
      </c>
      <c r="AW94" s="182"/>
      <c r="AX94" s="183"/>
      <c r="AY94" s="183"/>
      <c r="AZ94" s="183"/>
      <c r="BA94" s="183"/>
      <c r="BB94" s="182"/>
      <c r="BC94" s="183"/>
      <c r="BD94" s="183"/>
      <c r="BE94" s="183"/>
      <c r="BF94" s="183"/>
    </row>
    <row r="95" spans="4:58" ht="15.75">
      <c r="D95" s="182">
        <v>1.77</v>
      </c>
      <c r="E95" s="183">
        <v>4.8559999999999999E-2</v>
      </c>
      <c r="F95" s="183">
        <v>1.54E-2</v>
      </c>
      <c r="G95" s="183">
        <v>0</v>
      </c>
      <c r="H95" s="183">
        <v>0</v>
      </c>
      <c r="I95" s="182">
        <v>1.77</v>
      </c>
      <c r="J95" s="183">
        <v>3.2779999999999997E-2</v>
      </c>
      <c r="K95" s="183">
        <v>7.7999999999999996E-3</v>
      </c>
      <c r="L95" s="183">
        <v>6.7820000000000005E-2</v>
      </c>
      <c r="M95" s="183">
        <v>0</v>
      </c>
      <c r="N95" s="182">
        <v>1.77</v>
      </c>
      <c r="O95" s="183">
        <v>4.4339999999999997E-2</v>
      </c>
      <c r="P95" s="183">
        <v>1.7740000000000002E-2</v>
      </c>
      <c r="Q95" s="183">
        <v>0</v>
      </c>
      <c r="R95" s="183">
        <v>4.4880000000000003E-2</v>
      </c>
      <c r="S95" s="182">
        <v>1.77</v>
      </c>
      <c r="T95" s="183">
        <v>2.104E-2</v>
      </c>
      <c r="U95" s="183">
        <v>4.1799999999999997E-3</v>
      </c>
      <c r="V95" s="183">
        <v>4.6120000000000001E-2</v>
      </c>
      <c r="W95" s="183">
        <v>0</v>
      </c>
      <c r="X95" s="182">
        <v>1.77</v>
      </c>
      <c r="Y95" s="183">
        <v>3.85E-2</v>
      </c>
      <c r="Z95" s="183">
        <v>1.762E-2</v>
      </c>
      <c r="AA95" s="183">
        <v>0</v>
      </c>
      <c r="AB95" s="183">
        <v>4.9779999999999998E-2</v>
      </c>
      <c r="AC95" s="182">
        <v>1.77</v>
      </c>
      <c r="AD95" s="183">
        <v>3.1100000000000003E-2</v>
      </c>
      <c r="AE95" s="183">
        <v>9.6600000000000002E-3</v>
      </c>
      <c r="AF95" s="183">
        <v>6.4100000000000004E-2</v>
      </c>
      <c r="AG95" s="183">
        <v>2.0500000000000001E-2</v>
      </c>
      <c r="AH95" s="182">
        <v>1.77</v>
      </c>
      <c r="AI95" s="183">
        <v>2.0479999999999998E-2</v>
      </c>
      <c r="AJ95" s="183">
        <v>5.64E-3</v>
      </c>
      <c r="AK95" s="183">
        <v>4.48E-2</v>
      </c>
      <c r="AL95" s="183">
        <v>1.0800000000000001E-2</v>
      </c>
      <c r="AM95" s="182">
        <v>1.77</v>
      </c>
      <c r="AN95" s="183">
        <v>2.8920000000000001E-2</v>
      </c>
      <c r="AO95" s="183">
        <v>1.0659999999999999E-2</v>
      </c>
      <c r="AP95" s="183">
        <v>5.8659999999999997E-2</v>
      </c>
      <c r="AQ95" s="183">
        <v>2.496E-2</v>
      </c>
      <c r="AR95" s="182">
        <v>1.77</v>
      </c>
      <c r="AS95" s="183">
        <v>1.9619999999999999E-2</v>
      </c>
      <c r="AT95" s="183">
        <v>6.2399999999999999E-3</v>
      </c>
      <c r="AU95" s="183">
        <v>4.2779999999999999E-2</v>
      </c>
      <c r="AV95" s="183">
        <v>1.37E-2</v>
      </c>
      <c r="AW95" s="182"/>
      <c r="AX95" s="183"/>
      <c r="AY95" s="183"/>
      <c r="AZ95" s="183"/>
      <c r="BA95" s="183"/>
      <c r="BB95" s="182"/>
      <c r="BC95" s="183"/>
      <c r="BD95" s="183"/>
      <c r="BE95" s="183"/>
      <c r="BF95" s="183"/>
    </row>
    <row r="96" spans="4:58" ht="15.75">
      <c r="D96" s="182">
        <v>1.78</v>
      </c>
      <c r="E96" s="183">
        <v>4.854E-2</v>
      </c>
      <c r="F96" s="183">
        <v>1.5200000000000002E-2</v>
      </c>
      <c r="G96" s="183">
        <v>0</v>
      </c>
      <c r="H96" s="183">
        <v>0</v>
      </c>
      <c r="I96" s="182">
        <v>1.78</v>
      </c>
      <c r="J96" s="183">
        <v>3.2719999999999999E-2</v>
      </c>
      <c r="K96" s="183">
        <v>7.7000000000000002E-3</v>
      </c>
      <c r="L96" s="183">
        <v>6.7479999999999998E-2</v>
      </c>
      <c r="M96" s="183">
        <v>0</v>
      </c>
      <c r="N96" s="182">
        <v>1.78</v>
      </c>
      <c r="O96" s="183">
        <v>4.4360000000000004E-2</v>
      </c>
      <c r="P96" s="183">
        <v>1.7559999999999999E-2</v>
      </c>
      <c r="Q96" s="183">
        <v>0</v>
      </c>
      <c r="R96" s="183">
        <v>4.4319999999999998E-2</v>
      </c>
      <c r="S96" s="182">
        <v>1.78</v>
      </c>
      <c r="T96" s="183">
        <v>2.0959999999999999E-2</v>
      </c>
      <c r="U96" s="183">
        <v>4.1200000000000004E-3</v>
      </c>
      <c r="V96" s="183">
        <v>4.5880000000000004E-2</v>
      </c>
      <c r="W96" s="183">
        <v>0</v>
      </c>
      <c r="X96" s="182">
        <v>1.78</v>
      </c>
      <c r="Y96" s="183">
        <v>3.8600000000000002E-2</v>
      </c>
      <c r="Z96" s="183">
        <v>1.7479999999999999E-2</v>
      </c>
      <c r="AA96" s="183">
        <v>0</v>
      </c>
      <c r="AB96" s="183">
        <v>4.9320000000000003E-2</v>
      </c>
      <c r="AC96" s="182">
        <v>1.78</v>
      </c>
      <c r="AD96" s="183">
        <v>3.1E-2</v>
      </c>
      <c r="AE96" s="183">
        <v>9.6399999999999993E-3</v>
      </c>
      <c r="AF96" s="183">
        <v>6.3899999999999998E-2</v>
      </c>
      <c r="AG96" s="183">
        <v>2.0199999999999999E-2</v>
      </c>
      <c r="AH96" s="182">
        <v>1.78</v>
      </c>
      <c r="AI96" s="183">
        <v>2.0420000000000001E-2</v>
      </c>
      <c r="AJ96" s="183">
        <v>5.5599999999999998E-3</v>
      </c>
      <c r="AK96" s="183">
        <v>4.4600000000000001E-2</v>
      </c>
      <c r="AL96" s="183">
        <v>1.06E-2</v>
      </c>
      <c r="AM96" s="182">
        <v>1.78</v>
      </c>
      <c r="AN96" s="183">
        <v>2.8879999999999999E-2</v>
      </c>
      <c r="AO96" s="183">
        <v>1.0540000000000001E-2</v>
      </c>
      <c r="AP96" s="183">
        <v>5.8540000000000002E-2</v>
      </c>
      <c r="AQ96" s="183">
        <v>2.4640000000000002E-2</v>
      </c>
      <c r="AR96" s="182">
        <v>1.78</v>
      </c>
      <c r="AS96" s="183">
        <v>1.958E-2</v>
      </c>
      <c r="AT96" s="183">
        <v>6.1600000000000005E-3</v>
      </c>
      <c r="AU96" s="183">
        <v>4.2619999999999998E-2</v>
      </c>
      <c r="AV96" s="183">
        <v>1.35E-2</v>
      </c>
      <c r="AW96" s="182"/>
      <c r="AX96" s="183"/>
      <c r="AY96" s="183"/>
      <c r="AZ96" s="183"/>
      <c r="BA96" s="183"/>
      <c r="BB96" s="182"/>
      <c r="BC96" s="183"/>
      <c r="BD96" s="183"/>
      <c r="BE96" s="183"/>
      <c r="BF96" s="183"/>
    </row>
    <row r="97" spans="4:58" ht="15.75">
      <c r="D97" s="182">
        <v>1.79</v>
      </c>
      <c r="E97" s="183">
        <v>4.8520000000000001E-2</v>
      </c>
      <c r="F97" s="183">
        <v>1.5000000000000001E-2</v>
      </c>
      <c r="G97" s="183">
        <v>0</v>
      </c>
      <c r="H97" s="183">
        <v>0</v>
      </c>
      <c r="I97" s="182">
        <v>1.79</v>
      </c>
      <c r="J97" s="183">
        <v>3.2659999999999995E-2</v>
      </c>
      <c r="K97" s="183">
        <v>7.6E-3</v>
      </c>
      <c r="L97" s="183">
        <v>6.7140000000000005E-2</v>
      </c>
      <c r="M97" s="183">
        <v>0</v>
      </c>
      <c r="N97" s="182">
        <v>1.79</v>
      </c>
      <c r="O97" s="183">
        <v>4.4380000000000003E-2</v>
      </c>
      <c r="P97" s="183">
        <v>1.738E-2</v>
      </c>
      <c r="Q97" s="183">
        <v>0</v>
      </c>
      <c r="R97" s="183">
        <v>4.376E-2</v>
      </c>
      <c r="S97" s="182">
        <v>1.79</v>
      </c>
      <c r="T97" s="183">
        <v>2.0879999999999999E-2</v>
      </c>
      <c r="U97" s="183">
        <v>4.0600000000000002E-3</v>
      </c>
      <c r="V97" s="183">
        <v>4.564E-2</v>
      </c>
      <c r="W97" s="183">
        <v>0</v>
      </c>
      <c r="X97" s="182">
        <v>1.79</v>
      </c>
      <c r="Y97" s="183">
        <v>3.8699999999999998E-2</v>
      </c>
      <c r="Z97" s="183">
        <v>1.7340000000000001E-2</v>
      </c>
      <c r="AA97" s="183">
        <v>0</v>
      </c>
      <c r="AB97" s="183">
        <v>4.8860000000000001E-2</v>
      </c>
      <c r="AC97" s="182">
        <v>1.79</v>
      </c>
      <c r="AD97" s="183">
        <v>3.09E-2</v>
      </c>
      <c r="AE97" s="183">
        <v>9.6200000000000001E-3</v>
      </c>
      <c r="AF97" s="183">
        <v>6.3700000000000007E-2</v>
      </c>
      <c r="AG97" s="183">
        <v>1.9900000000000001E-2</v>
      </c>
      <c r="AH97" s="182">
        <v>1.79</v>
      </c>
      <c r="AI97" s="183">
        <v>2.036E-2</v>
      </c>
      <c r="AJ97" s="183">
        <v>5.4800000000000005E-3</v>
      </c>
      <c r="AK97" s="183">
        <v>4.4400000000000002E-2</v>
      </c>
      <c r="AL97" s="183">
        <v>1.0400000000000001E-2</v>
      </c>
      <c r="AM97" s="182">
        <v>1.79</v>
      </c>
      <c r="AN97" s="183">
        <v>2.8840000000000001E-2</v>
      </c>
      <c r="AO97" s="183">
        <v>1.042E-2</v>
      </c>
      <c r="AP97" s="183">
        <v>5.842E-2</v>
      </c>
      <c r="AQ97" s="183">
        <v>2.4320000000000001E-2</v>
      </c>
      <c r="AR97" s="182">
        <v>1.79</v>
      </c>
      <c r="AS97" s="183">
        <v>1.9539999999999998E-2</v>
      </c>
      <c r="AT97" s="183">
        <v>6.0800000000000003E-3</v>
      </c>
      <c r="AU97" s="183">
        <v>4.2459999999999998E-2</v>
      </c>
      <c r="AV97" s="183">
        <v>1.3300000000000001E-2</v>
      </c>
      <c r="AW97" s="182"/>
      <c r="AX97" s="183"/>
      <c r="AY97" s="183"/>
      <c r="AZ97" s="183"/>
      <c r="BA97" s="183"/>
      <c r="BB97" s="182"/>
      <c r="BC97" s="183"/>
      <c r="BD97" s="183"/>
      <c r="BE97" s="183"/>
      <c r="BF97" s="183"/>
    </row>
    <row r="98" spans="4:58" ht="15.75">
      <c r="D98" s="180">
        <v>1.8</v>
      </c>
      <c r="E98" s="181">
        <v>4.8500000000000001E-2</v>
      </c>
      <c r="F98" s="181">
        <v>1.4800000000000001E-2</v>
      </c>
      <c r="G98" s="183">
        <v>0</v>
      </c>
      <c r="H98" s="183">
        <v>0</v>
      </c>
      <c r="I98" s="180">
        <v>1.8</v>
      </c>
      <c r="J98" s="181">
        <v>3.2599999999999997E-2</v>
      </c>
      <c r="K98" s="181">
        <v>7.4999999999999997E-3</v>
      </c>
      <c r="L98" s="181">
        <v>6.6799999999999998E-2</v>
      </c>
      <c r="M98" s="183">
        <v>0</v>
      </c>
      <c r="N98" s="180">
        <v>1.8</v>
      </c>
      <c r="O98" s="181">
        <v>4.4400000000000002E-2</v>
      </c>
      <c r="P98" s="181">
        <v>1.72E-2</v>
      </c>
      <c r="Q98" s="183">
        <v>0</v>
      </c>
      <c r="R98" s="181">
        <v>4.3200000000000002E-2</v>
      </c>
      <c r="S98" s="180">
        <v>1.8</v>
      </c>
      <c r="T98" s="181">
        <v>2.0799999999999999E-2</v>
      </c>
      <c r="U98" s="181">
        <v>4.0000000000000001E-3</v>
      </c>
      <c r="V98" s="181">
        <v>4.5400000000000003E-2</v>
      </c>
      <c r="W98" s="183">
        <v>0</v>
      </c>
      <c r="X98" s="180">
        <v>1.8</v>
      </c>
      <c r="Y98" s="181">
        <v>3.8800000000000001E-2</v>
      </c>
      <c r="Z98" s="181">
        <v>1.72E-2</v>
      </c>
      <c r="AA98" s="183">
        <v>0</v>
      </c>
      <c r="AB98" s="181">
        <v>4.8399999999999999E-2</v>
      </c>
      <c r="AC98" s="180">
        <v>1.8</v>
      </c>
      <c r="AD98" s="181">
        <v>3.0800000000000001E-2</v>
      </c>
      <c r="AE98" s="181">
        <v>9.5999999999999992E-3</v>
      </c>
      <c r="AF98" s="181">
        <v>6.3500000000000001E-2</v>
      </c>
      <c r="AG98" s="181">
        <v>1.9599999999999999E-2</v>
      </c>
      <c r="AH98" s="180">
        <v>1.8</v>
      </c>
      <c r="AI98" s="181">
        <v>2.0299999999999999E-2</v>
      </c>
      <c r="AJ98" s="181">
        <v>5.4000000000000003E-3</v>
      </c>
      <c r="AK98" s="181">
        <v>4.4200000000000003E-2</v>
      </c>
      <c r="AL98" s="181">
        <v>1.0200000000000001E-2</v>
      </c>
      <c r="AM98" s="180">
        <v>1.8</v>
      </c>
      <c r="AN98" s="181">
        <v>2.8799999999999999E-2</v>
      </c>
      <c r="AO98" s="181">
        <v>1.03E-2</v>
      </c>
      <c r="AP98" s="181">
        <v>5.8299999999999998E-2</v>
      </c>
      <c r="AQ98" s="181">
        <v>2.4E-2</v>
      </c>
      <c r="AR98" s="180">
        <v>1.8</v>
      </c>
      <c r="AS98" s="181">
        <v>1.95E-2</v>
      </c>
      <c r="AT98" s="181">
        <v>6.0000000000000001E-3</v>
      </c>
      <c r="AU98" s="181">
        <v>4.2299999999999997E-2</v>
      </c>
      <c r="AV98" s="181">
        <v>1.3100000000000001E-2</v>
      </c>
      <c r="AW98" s="180"/>
      <c r="AX98" s="181"/>
      <c r="AY98" s="181"/>
      <c r="AZ98" s="181"/>
      <c r="BA98" s="181"/>
      <c r="BB98" s="180"/>
      <c r="BC98" s="181"/>
      <c r="BD98" s="181"/>
      <c r="BE98" s="181"/>
      <c r="BF98" s="181"/>
    </row>
    <row r="99" spans="4:58" ht="15.75">
      <c r="D99" s="182">
        <v>1.81</v>
      </c>
      <c r="E99" s="183">
        <v>4.8480000000000002E-2</v>
      </c>
      <c r="F99" s="183">
        <v>1.464E-2</v>
      </c>
      <c r="G99" s="183">
        <v>0</v>
      </c>
      <c r="H99" s="183">
        <v>0</v>
      </c>
      <c r="I99" s="182">
        <v>1.81</v>
      </c>
      <c r="J99" s="183">
        <v>3.2499999999999994E-2</v>
      </c>
      <c r="K99" s="183">
        <v>7.3799999999999994E-3</v>
      </c>
      <c r="L99" s="183">
        <v>6.6500000000000004E-2</v>
      </c>
      <c r="M99" s="183">
        <v>0</v>
      </c>
      <c r="N99" s="182">
        <v>1.81</v>
      </c>
      <c r="O99" s="183">
        <v>4.4420000000000001E-2</v>
      </c>
      <c r="P99" s="183">
        <v>1.7059999999999999E-2</v>
      </c>
      <c r="Q99" s="183">
        <v>0</v>
      </c>
      <c r="R99" s="183">
        <v>4.2700000000000002E-2</v>
      </c>
      <c r="S99" s="182">
        <v>1.81</v>
      </c>
      <c r="T99" s="183">
        <v>2.0719999999999999E-2</v>
      </c>
      <c r="U99" s="183">
        <v>3.9399999999999999E-3</v>
      </c>
      <c r="V99" s="183">
        <v>4.5180000000000005E-2</v>
      </c>
      <c r="W99" s="183">
        <v>0</v>
      </c>
      <c r="X99" s="182">
        <v>1.81</v>
      </c>
      <c r="Y99" s="183">
        <v>3.8900000000000004E-2</v>
      </c>
      <c r="Z99" s="183">
        <v>1.7059999999999999E-2</v>
      </c>
      <c r="AA99" s="183">
        <v>0</v>
      </c>
      <c r="AB99" s="183">
        <v>4.7939999999999997E-2</v>
      </c>
      <c r="AC99" s="182">
        <v>1.81</v>
      </c>
      <c r="AD99" s="183">
        <v>3.0759999999999999E-2</v>
      </c>
      <c r="AE99" s="183">
        <v>9.4599999999999997E-3</v>
      </c>
      <c r="AF99" s="183">
        <v>6.3240000000000005E-2</v>
      </c>
      <c r="AG99" s="183">
        <v>1.934E-2</v>
      </c>
      <c r="AH99" s="182">
        <v>1.81</v>
      </c>
      <c r="AI99" s="183">
        <v>2.0239999999999998E-2</v>
      </c>
      <c r="AJ99" s="183">
        <v>5.3200000000000001E-3</v>
      </c>
      <c r="AK99" s="183">
        <v>4.4000000000000004E-2</v>
      </c>
      <c r="AL99" s="183">
        <v>1.0060000000000001E-2</v>
      </c>
      <c r="AM99" s="182">
        <v>1.81</v>
      </c>
      <c r="AN99" s="183">
        <v>2.8760000000000001E-2</v>
      </c>
      <c r="AO99" s="183">
        <v>1.018E-2</v>
      </c>
      <c r="AP99" s="183">
        <v>5.8159999999999996E-2</v>
      </c>
      <c r="AQ99" s="183">
        <v>2.3699999999999999E-2</v>
      </c>
      <c r="AR99" s="182">
        <v>1.81</v>
      </c>
      <c r="AS99" s="183">
        <v>1.9439999999999999E-2</v>
      </c>
      <c r="AT99" s="183">
        <v>5.9199999999999999E-3</v>
      </c>
      <c r="AU99" s="183">
        <v>4.2139999999999997E-2</v>
      </c>
      <c r="AV99" s="183">
        <v>1.2920000000000001E-2</v>
      </c>
      <c r="AW99" s="182"/>
      <c r="AX99" s="183"/>
      <c r="AY99" s="183"/>
      <c r="AZ99" s="183"/>
      <c r="BA99" s="183"/>
      <c r="BB99" s="182"/>
      <c r="BC99" s="183"/>
      <c r="BD99" s="183"/>
      <c r="BE99" s="183"/>
      <c r="BF99" s="183"/>
    </row>
    <row r="100" spans="4:58" ht="15.75">
      <c r="D100" s="182">
        <v>1.82</v>
      </c>
      <c r="E100" s="183">
        <v>4.8460000000000003E-2</v>
      </c>
      <c r="F100" s="183">
        <v>1.448E-2</v>
      </c>
      <c r="G100" s="183">
        <v>0</v>
      </c>
      <c r="H100" s="183">
        <v>0</v>
      </c>
      <c r="I100" s="182">
        <v>1.82</v>
      </c>
      <c r="J100" s="183">
        <v>3.2399999999999998E-2</v>
      </c>
      <c r="K100" s="183">
        <v>7.26E-3</v>
      </c>
      <c r="L100" s="183">
        <v>6.6199999999999995E-2</v>
      </c>
      <c r="M100" s="183">
        <v>0</v>
      </c>
      <c r="N100" s="182">
        <v>1.82</v>
      </c>
      <c r="O100" s="183">
        <v>4.444E-2</v>
      </c>
      <c r="P100" s="183">
        <v>1.6920000000000001E-2</v>
      </c>
      <c r="Q100" s="183">
        <v>0</v>
      </c>
      <c r="R100" s="183">
        <v>4.2200000000000001E-2</v>
      </c>
      <c r="S100" s="182">
        <v>1.82</v>
      </c>
      <c r="T100" s="183">
        <v>2.0639999999999999E-2</v>
      </c>
      <c r="U100" s="183">
        <v>3.8800000000000002E-3</v>
      </c>
      <c r="V100" s="183">
        <v>4.496E-2</v>
      </c>
      <c r="W100" s="183">
        <v>0</v>
      </c>
      <c r="X100" s="182">
        <v>1.82</v>
      </c>
      <c r="Y100" s="183">
        <v>3.9E-2</v>
      </c>
      <c r="Z100" s="183">
        <v>1.6920000000000001E-2</v>
      </c>
      <c r="AA100" s="183">
        <v>0</v>
      </c>
      <c r="AB100" s="183">
        <v>4.7480000000000001E-2</v>
      </c>
      <c r="AC100" s="182">
        <v>1.82</v>
      </c>
      <c r="AD100" s="183">
        <v>3.0720000000000001E-2</v>
      </c>
      <c r="AE100" s="183">
        <v>9.3200000000000002E-3</v>
      </c>
      <c r="AF100" s="183">
        <v>6.2979999999999994E-2</v>
      </c>
      <c r="AG100" s="183">
        <v>1.908E-2</v>
      </c>
      <c r="AH100" s="182">
        <v>1.82</v>
      </c>
      <c r="AI100" s="183">
        <v>2.018E-2</v>
      </c>
      <c r="AJ100" s="183">
        <v>5.2399999999999999E-3</v>
      </c>
      <c r="AK100" s="183">
        <v>4.3800000000000006E-2</v>
      </c>
      <c r="AL100" s="183">
        <v>9.92E-3</v>
      </c>
      <c r="AM100" s="182">
        <v>1.82</v>
      </c>
      <c r="AN100" s="183">
        <v>2.8719999999999999E-2</v>
      </c>
      <c r="AO100" s="183">
        <v>1.0059999999999999E-2</v>
      </c>
      <c r="AP100" s="183">
        <v>5.8019999999999995E-2</v>
      </c>
      <c r="AQ100" s="183">
        <v>2.3400000000000001E-2</v>
      </c>
      <c r="AR100" s="182">
        <v>1.82</v>
      </c>
      <c r="AS100" s="183">
        <v>1.9379999999999998E-2</v>
      </c>
      <c r="AT100" s="183">
        <v>5.8399999999999997E-3</v>
      </c>
      <c r="AU100" s="183">
        <v>4.1979999999999996E-2</v>
      </c>
      <c r="AV100" s="183">
        <v>1.2740000000000001E-2</v>
      </c>
      <c r="AW100" s="182"/>
      <c r="AX100" s="183"/>
      <c r="AY100" s="183"/>
      <c r="AZ100" s="183"/>
      <c r="BA100" s="183"/>
      <c r="BB100" s="182"/>
      <c r="BC100" s="183"/>
      <c r="BD100" s="183"/>
      <c r="BE100" s="183"/>
      <c r="BF100" s="183"/>
    </row>
    <row r="101" spans="4:58" ht="15.75">
      <c r="D101" s="182">
        <v>1.83</v>
      </c>
      <c r="E101" s="183">
        <v>4.8439999999999997E-2</v>
      </c>
      <c r="F101" s="183">
        <v>1.4320000000000001E-2</v>
      </c>
      <c r="G101" s="183">
        <v>0</v>
      </c>
      <c r="H101" s="183">
        <v>0</v>
      </c>
      <c r="I101" s="182">
        <v>1.83</v>
      </c>
      <c r="J101" s="183">
        <v>3.2299999999999995E-2</v>
      </c>
      <c r="K101" s="183">
        <v>7.1399999999999996E-3</v>
      </c>
      <c r="L101" s="183">
        <v>6.59E-2</v>
      </c>
      <c r="M101" s="183">
        <v>0</v>
      </c>
      <c r="N101" s="182">
        <v>1.83</v>
      </c>
      <c r="O101" s="183">
        <v>4.446E-2</v>
      </c>
      <c r="P101" s="183">
        <v>1.678E-2</v>
      </c>
      <c r="Q101" s="183">
        <v>0</v>
      </c>
      <c r="R101" s="183">
        <v>4.1700000000000001E-2</v>
      </c>
      <c r="S101" s="182">
        <v>1.83</v>
      </c>
      <c r="T101" s="183">
        <v>2.0560000000000002E-2</v>
      </c>
      <c r="U101" s="183">
        <v>3.82E-3</v>
      </c>
      <c r="V101" s="183">
        <v>4.4740000000000002E-2</v>
      </c>
      <c r="W101" s="183">
        <v>0</v>
      </c>
      <c r="X101" s="182">
        <v>1.83</v>
      </c>
      <c r="Y101" s="183">
        <v>3.9100000000000003E-2</v>
      </c>
      <c r="Z101" s="183">
        <v>1.678E-2</v>
      </c>
      <c r="AA101" s="183">
        <v>0</v>
      </c>
      <c r="AB101" s="183">
        <v>4.7019999999999999E-2</v>
      </c>
      <c r="AC101" s="182">
        <v>1.83</v>
      </c>
      <c r="AD101" s="183">
        <v>3.0679999999999999E-2</v>
      </c>
      <c r="AE101" s="183">
        <v>9.1799999999999989E-3</v>
      </c>
      <c r="AF101" s="183">
        <v>6.2719999999999998E-2</v>
      </c>
      <c r="AG101" s="183">
        <v>1.882E-2</v>
      </c>
      <c r="AH101" s="182">
        <v>1.83</v>
      </c>
      <c r="AI101" s="183">
        <v>2.0119999999999999E-2</v>
      </c>
      <c r="AJ101" s="183">
        <v>5.1600000000000005E-3</v>
      </c>
      <c r="AK101" s="183">
        <v>4.36E-2</v>
      </c>
      <c r="AL101" s="183">
        <v>9.7800000000000005E-3</v>
      </c>
      <c r="AM101" s="182">
        <v>1.83</v>
      </c>
      <c r="AN101" s="183">
        <v>2.8680000000000001E-2</v>
      </c>
      <c r="AO101" s="183">
        <v>9.9400000000000009E-3</v>
      </c>
      <c r="AP101" s="183">
        <v>5.7880000000000001E-2</v>
      </c>
      <c r="AQ101" s="183">
        <v>2.3099999999999999E-2</v>
      </c>
      <c r="AR101" s="182">
        <v>1.83</v>
      </c>
      <c r="AS101" s="183">
        <v>1.932E-2</v>
      </c>
      <c r="AT101" s="183">
        <v>5.7600000000000004E-3</v>
      </c>
      <c r="AU101" s="183">
        <v>4.1820000000000003E-2</v>
      </c>
      <c r="AV101" s="183">
        <v>1.256E-2</v>
      </c>
      <c r="AW101" s="182"/>
      <c r="AX101" s="183"/>
      <c r="AY101" s="183"/>
      <c r="AZ101" s="183"/>
      <c r="BA101" s="183"/>
      <c r="BB101" s="182"/>
      <c r="BC101" s="183"/>
      <c r="BD101" s="183"/>
      <c r="BE101" s="183"/>
      <c r="BF101" s="183"/>
    </row>
    <row r="102" spans="4:58" ht="15.75">
      <c r="D102" s="182">
        <v>1.84</v>
      </c>
      <c r="E102" s="183">
        <v>4.8419999999999998E-2</v>
      </c>
      <c r="F102" s="183">
        <v>1.4160000000000001E-2</v>
      </c>
      <c r="G102" s="183">
        <v>0</v>
      </c>
      <c r="H102" s="183">
        <v>0</v>
      </c>
      <c r="I102" s="182">
        <v>1.84</v>
      </c>
      <c r="J102" s="183">
        <v>3.2199999999999999E-2</v>
      </c>
      <c r="K102" s="183">
        <v>7.0200000000000002E-3</v>
      </c>
      <c r="L102" s="183">
        <v>6.5599999999999992E-2</v>
      </c>
      <c r="M102" s="183">
        <v>0</v>
      </c>
      <c r="N102" s="182">
        <v>1.84</v>
      </c>
      <c r="O102" s="183">
        <v>4.4479999999999999E-2</v>
      </c>
      <c r="P102" s="183">
        <v>1.6640000000000002E-2</v>
      </c>
      <c r="Q102" s="183">
        <v>0</v>
      </c>
      <c r="R102" s="183">
        <v>4.1200000000000001E-2</v>
      </c>
      <c r="S102" s="182">
        <v>1.84</v>
      </c>
      <c r="T102" s="183">
        <v>2.0480000000000002E-2</v>
      </c>
      <c r="U102" s="183">
        <v>3.7600000000000003E-3</v>
      </c>
      <c r="V102" s="183">
        <v>4.4519999999999997E-2</v>
      </c>
      <c r="W102" s="183">
        <v>0</v>
      </c>
      <c r="X102" s="182">
        <v>1.84</v>
      </c>
      <c r="Y102" s="183">
        <v>3.9199999999999999E-2</v>
      </c>
      <c r="Z102" s="183">
        <v>1.6640000000000002E-2</v>
      </c>
      <c r="AA102" s="183">
        <v>0</v>
      </c>
      <c r="AB102" s="183">
        <v>4.6560000000000004E-2</v>
      </c>
      <c r="AC102" s="182">
        <v>1.84</v>
      </c>
      <c r="AD102" s="183">
        <v>3.0640000000000001E-2</v>
      </c>
      <c r="AE102" s="183">
        <v>9.0399999999999994E-3</v>
      </c>
      <c r="AF102" s="183">
        <v>6.2460000000000002E-2</v>
      </c>
      <c r="AG102" s="183">
        <v>1.856E-2</v>
      </c>
      <c r="AH102" s="182">
        <v>1.84</v>
      </c>
      <c r="AI102" s="183">
        <v>2.0060000000000001E-2</v>
      </c>
      <c r="AJ102" s="183">
        <v>5.0800000000000003E-3</v>
      </c>
      <c r="AK102" s="183">
        <v>4.3400000000000001E-2</v>
      </c>
      <c r="AL102" s="183">
        <v>9.6399999999999993E-3</v>
      </c>
      <c r="AM102" s="182">
        <v>1.84</v>
      </c>
      <c r="AN102" s="183">
        <v>2.8639999999999999E-2</v>
      </c>
      <c r="AO102" s="183">
        <v>9.8200000000000006E-3</v>
      </c>
      <c r="AP102" s="183">
        <v>5.774E-2</v>
      </c>
      <c r="AQ102" s="183">
        <v>2.2800000000000001E-2</v>
      </c>
      <c r="AR102" s="182">
        <v>1.84</v>
      </c>
      <c r="AS102" s="183">
        <v>1.9259999999999999E-2</v>
      </c>
      <c r="AT102" s="183">
        <v>5.6800000000000002E-3</v>
      </c>
      <c r="AU102" s="183">
        <v>4.1660000000000003E-2</v>
      </c>
      <c r="AV102" s="183">
        <v>1.238E-2</v>
      </c>
      <c r="AW102" s="182"/>
      <c r="AX102" s="183"/>
      <c r="AY102" s="183"/>
      <c r="AZ102" s="183"/>
      <c r="BA102" s="183"/>
      <c r="BB102" s="182"/>
      <c r="BC102" s="183"/>
      <c r="BD102" s="183"/>
      <c r="BE102" s="183"/>
      <c r="BF102" s="183"/>
    </row>
    <row r="103" spans="4:58" ht="15.75">
      <c r="D103" s="180">
        <v>1.85</v>
      </c>
      <c r="E103" s="181">
        <v>4.8399999999999999E-2</v>
      </c>
      <c r="F103" s="181">
        <v>1.4E-2</v>
      </c>
      <c r="G103" s="183">
        <v>0</v>
      </c>
      <c r="H103" s="183">
        <v>0</v>
      </c>
      <c r="I103" s="180">
        <v>1.85</v>
      </c>
      <c r="J103" s="181">
        <v>3.2099999999999997E-2</v>
      </c>
      <c r="K103" s="181">
        <v>6.8999999999999999E-3</v>
      </c>
      <c r="L103" s="181">
        <v>6.5299999999999997E-2</v>
      </c>
      <c r="M103" s="183">
        <v>0</v>
      </c>
      <c r="N103" s="180">
        <v>1.85</v>
      </c>
      <c r="O103" s="181">
        <v>4.4499999999999998E-2</v>
      </c>
      <c r="P103" s="181">
        <v>1.6500000000000001E-2</v>
      </c>
      <c r="Q103" s="183">
        <v>0</v>
      </c>
      <c r="R103" s="181">
        <v>4.07E-2</v>
      </c>
      <c r="S103" s="180">
        <v>1.85</v>
      </c>
      <c r="T103" s="181">
        <v>2.0400000000000001E-2</v>
      </c>
      <c r="U103" s="181">
        <v>3.7000000000000002E-3</v>
      </c>
      <c r="V103" s="181">
        <v>4.4299999999999999E-2</v>
      </c>
      <c r="W103" s="183">
        <v>0</v>
      </c>
      <c r="X103" s="180">
        <v>1.85</v>
      </c>
      <c r="Y103" s="181">
        <v>3.9300000000000002E-2</v>
      </c>
      <c r="Z103" s="181">
        <v>1.6500000000000001E-2</v>
      </c>
      <c r="AA103" s="183">
        <v>0</v>
      </c>
      <c r="AB103" s="181">
        <v>4.6100000000000002E-2</v>
      </c>
      <c r="AC103" s="180">
        <v>1.85</v>
      </c>
      <c r="AD103" s="181">
        <v>3.0599999999999999E-2</v>
      </c>
      <c r="AE103" s="181">
        <v>8.8999999999999999E-3</v>
      </c>
      <c r="AF103" s="181">
        <v>6.2199999999999998E-2</v>
      </c>
      <c r="AG103" s="181">
        <v>1.83E-2</v>
      </c>
      <c r="AH103" s="180">
        <v>1.85</v>
      </c>
      <c r="AI103" s="181">
        <v>0.02</v>
      </c>
      <c r="AJ103" s="181">
        <v>5.0000000000000001E-3</v>
      </c>
      <c r="AK103" s="181">
        <v>4.3200000000000002E-2</v>
      </c>
      <c r="AL103" s="181">
        <v>9.4999999999999998E-3</v>
      </c>
      <c r="AM103" s="180">
        <v>1.85</v>
      </c>
      <c r="AN103" s="181">
        <v>2.86E-2</v>
      </c>
      <c r="AO103" s="181">
        <v>9.7000000000000003E-3</v>
      </c>
      <c r="AP103" s="181">
        <v>5.7599999999999998E-2</v>
      </c>
      <c r="AQ103" s="181">
        <v>2.2499999999999999E-2</v>
      </c>
      <c r="AR103" s="180">
        <v>1.85</v>
      </c>
      <c r="AS103" s="181">
        <v>1.9199999999999998E-2</v>
      </c>
      <c r="AT103" s="181">
        <v>5.5999999999999999E-3</v>
      </c>
      <c r="AU103" s="181">
        <v>4.1500000000000002E-2</v>
      </c>
      <c r="AV103" s="181">
        <v>1.2200000000000001E-2</v>
      </c>
      <c r="AW103" s="180"/>
      <c r="AX103" s="181"/>
      <c r="AY103" s="181"/>
      <c r="AZ103" s="181"/>
      <c r="BA103" s="181"/>
      <c r="BB103" s="180"/>
      <c r="BC103" s="181"/>
      <c r="BD103" s="181"/>
      <c r="BE103" s="181"/>
      <c r="BF103" s="181"/>
    </row>
    <row r="104" spans="4:58" ht="15.75">
      <c r="D104" s="182">
        <v>1.86</v>
      </c>
      <c r="E104" s="183">
        <v>4.8320000000000002E-2</v>
      </c>
      <c r="F104" s="183">
        <v>1.3859999999999999E-2</v>
      </c>
      <c r="G104" s="183">
        <v>0</v>
      </c>
      <c r="H104" s="183">
        <v>0</v>
      </c>
      <c r="I104" s="182">
        <v>1.86</v>
      </c>
      <c r="J104" s="183">
        <v>3.2000000000000001E-2</v>
      </c>
      <c r="K104" s="183">
        <v>6.7999999999999996E-3</v>
      </c>
      <c r="L104" s="183">
        <v>6.5000000000000002E-2</v>
      </c>
      <c r="M104" s="183">
        <v>0</v>
      </c>
      <c r="N104" s="182">
        <v>1.86</v>
      </c>
      <c r="O104" s="183">
        <v>4.4499999999999998E-2</v>
      </c>
      <c r="P104" s="183">
        <v>1.634E-2</v>
      </c>
      <c r="Q104" s="183">
        <v>0</v>
      </c>
      <c r="R104" s="183">
        <v>3.9199999999999992E-2</v>
      </c>
      <c r="S104" s="182">
        <v>1.86</v>
      </c>
      <c r="T104" s="183">
        <v>2.0300000000000002E-2</v>
      </c>
      <c r="U104" s="183">
        <v>3.64E-3</v>
      </c>
      <c r="V104" s="183">
        <v>4.4080000000000001E-2</v>
      </c>
      <c r="W104" s="183">
        <v>0</v>
      </c>
      <c r="X104" s="182">
        <v>1.86</v>
      </c>
      <c r="Y104" s="183">
        <v>3.9359999999999999E-2</v>
      </c>
      <c r="Z104" s="183">
        <v>1.636E-2</v>
      </c>
      <c r="AA104" s="183">
        <v>0</v>
      </c>
      <c r="AB104" s="183">
        <v>4.5659999999999999E-2</v>
      </c>
      <c r="AC104" s="182">
        <v>1.86</v>
      </c>
      <c r="AD104" s="183">
        <v>3.0519999999999999E-2</v>
      </c>
      <c r="AE104" s="183">
        <v>8.7999999999999988E-3</v>
      </c>
      <c r="AF104" s="183">
        <v>6.2E-2</v>
      </c>
      <c r="AG104" s="183">
        <v>1.8019999999999998E-2</v>
      </c>
      <c r="AH104" s="182">
        <v>1.86</v>
      </c>
      <c r="AI104" s="183">
        <v>1.992E-2</v>
      </c>
      <c r="AJ104" s="183">
        <v>4.9199999999999999E-3</v>
      </c>
      <c r="AK104" s="183">
        <v>4.3000000000000003E-2</v>
      </c>
      <c r="AL104" s="183">
        <v>9.3599999999999985E-3</v>
      </c>
      <c r="AM104" s="182">
        <v>1.86</v>
      </c>
      <c r="AN104" s="183">
        <v>2.8560000000000002E-2</v>
      </c>
      <c r="AO104" s="183">
        <v>9.5999999999999992E-3</v>
      </c>
      <c r="AP104" s="183">
        <v>5.7479999999999996E-2</v>
      </c>
      <c r="AQ104" s="183">
        <v>2.2239999999999999E-2</v>
      </c>
      <c r="AR104" s="182">
        <v>1.86</v>
      </c>
      <c r="AS104" s="183">
        <v>1.916E-2</v>
      </c>
      <c r="AT104" s="183">
        <v>5.5199999999999997E-3</v>
      </c>
      <c r="AU104" s="183">
        <v>4.1360000000000001E-2</v>
      </c>
      <c r="AV104" s="183">
        <v>1.2019999999999999E-2</v>
      </c>
      <c r="AW104" s="182"/>
      <c r="AX104" s="183"/>
      <c r="AY104" s="183"/>
      <c r="AZ104" s="183"/>
      <c r="BA104" s="183"/>
      <c r="BB104" s="182"/>
      <c r="BC104" s="183"/>
      <c r="BD104" s="183"/>
      <c r="BE104" s="183"/>
      <c r="BF104" s="183"/>
    </row>
    <row r="105" spans="4:58" ht="15.75">
      <c r="D105" s="182">
        <v>1.87</v>
      </c>
      <c r="E105" s="183">
        <v>4.8239999999999998E-2</v>
      </c>
      <c r="F105" s="183">
        <v>1.3719999999999998E-2</v>
      </c>
      <c r="G105" s="183">
        <v>0</v>
      </c>
      <c r="H105" s="183">
        <v>0</v>
      </c>
      <c r="I105" s="182">
        <v>1.87</v>
      </c>
      <c r="J105" s="183">
        <v>3.1899999999999998E-2</v>
      </c>
      <c r="K105" s="183">
        <v>6.6999999999999994E-3</v>
      </c>
      <c r="L105" s="183">
        <v>6.4699999999999994E-2</v>
      </c>
      <c r="M105" s="183">
        <v>0</v>
      </c>
      <c r="N105" s="182">
        <v>1.87</v>
      </c>
      <c r="O105" s="183">
        <v>4.4499999999999998E-2</v>
      </c>
      <c r="P105" s="183">
        <v>1.618E-2</v>
      </c>
      <c r="Q105" s="183">
        <v>0</v>
      </c>
      <c r="R105" s="183">
        <v>3.7699999999999984E-2</v>
      </c>
      <c r="S105" s="182">
        <v>1.87</v>
      </c>
      <c r="T105" s="183">
        <v>2.0199999999999999E-2</v>
      </c>
      <c r="U105" s="183">
        <v>3.5799999999999994E-3</v>
      </c>
      <c r="V105" s="183">
        <v>4.3859999999999996E-2</v>
      </c>
      <c r="W105" s="183">
        <v>0</v>
      </c>
      <c r="X105" s="182">
        <v>1.87</v>
      </c>
      <c r="Y105" s="183">
        <v>3.9420000000000004E-2</v>
      </c>
      <c r="Z105" s="183">
        <v>1.6219999999999998E-2</v>
      </c>
      <c r="AA105" s="183">
        <v>0</v>
      </c>
      <c r="AB105" s="183">
        <v>4.5219999999999996E-2</v>
      </c>
      <c r="AC105" s="182">
        <v>1.87</v>
      </c>
      <c r="AD105" s="183">
        <v>3.0439999999999998E-2</v>
      </c>
      <c r="AE105" s="183">
        <v>8.6999999999999994E-3</v>
      </c>
      <c r="AF105" s="183">
        <v>6.1799999999999994E-2</v>
      </c>
      <c r="AG105" s="183">
        <v>1.7739999999999995E-2</v>
      </c>
      <c r="AH105" s="182">
        <v>1.87</v>
      </c>
      <c r="AI105" s="183">
        <v>1.984E-2</v>
      </c>
      <c r="AJ105" s="183">
        <v>4.8399999999999997E-3</v>
      </c>
      <c r="AK105" s="183">
        <v>4.2799999999999998E-2</v>
      </c>
      <c r="AL105" s="183">
        <v>9.219999999999999E-3</v>
      </c>
      <c r="AM105" s="182">
        <v>1.87</v>
      </c>
      <c r="AN105" s="183">
        <v>2.852E-2</v>
      </c>
      <c r="AO105" s="183">
        <v>9.4999999999999998E-3</v>
      </c>
      <c r="AP105" s="183">
        <v>5.7360000000000001E-2</v>
      </c>
      <c r="AQ105" s="183">
        <v>2.1979999999999996E-2</v>
      </c>
      <c r="AR105" s="182">
        <v>1.87</v>
      </c>
      <c r="AS105" s="183">
        <v>1.9119999999999998E-2</v>
      </c>
      <c r="AT105" s="183">
        <v>5.4399999999999995E-3</v>
      </c>
      <c r="AU105" s="183">
        <v>4.122E-2</v>
      </c>
      <c r="AV105" s="183">
        <v>1.1839999999999998E-2</v>
      </c>
      <c r="AW105" s="182"/>
      <c r="AX105" s="183"/>
      <c r="AY105" s="183"/>
      <c r="AZ105" s="183"/>
      <c r="BA105" s="183"/>
      <c r="BB105" s="182"/>
      <c r="BC105" s="183"/>
      <c r="BD105" s="183"/>
      <c r="BE105" s="183"/>
      <c r="BF105" s="183"/>
    </row>
    <row r="106" spans="4:58" ht="15.75">
      <c r="D106" s="182">
        <v>1.88</v>
      </c>
      <c r="E106" s="183">
        <v>4.8160000000000001E-2</v>
      </c>
      <c r="F106" s="183">
        <v>1.3580000000000002E-2</v>
      </c>
      <c r="G106" s="183">
        <v>0</v>
      </c>
      <c r="H106" s="183">
        <v>0</v>
      </c>
      <c r="I106" s="182">
        <v>1.88</v>
      </c>
      <c r="J106" s="183">
        <v>3.1800000000000002E-2</v>
      </c>
      <c r="K106" s="183">
        <v>6.6000000000000008E-3</v>
      </c>
      <c r="L106" s="183">
        <v>6.4399999999999999E-2</v>
      </c>
      <c r="M106" s="183">
        <v>0</v>
      </c>
      <c r="N106" s="182">
        <v>1.88</v>
      </c>
      <c r="O106" s="183">
        <v>4.4499999999999998E-2</v>
      </c>
      <c r="P106" s="183">
        <v>1.602E-2</v>
      </c>
      <c r="Q106" s="183">
        <v>0</v>
      </c>
      <c r="R106" s="183">
        <v>3.620000000000001E-2</v>
      </c>
      <c r="S106" s="182">
        <v>1.88</v>
      </c>
      <c r="T106" s="183">
        <v>2.0100000000000003E-2</v>
      </c>
      <c r="U106" s="183">
        <v>3.5200000000000006E-3</v>
      </c>
      <c r="V106" s="183">
        <v>4.3640000000000005E-2</v>
      </c>
      <c r="W106" s="183">
        <v>0</v>
      </c>
      <c r="X106" s="182">
        <v>1.88</v>
      </c>
      <c r="Y106" s="183">
        <v>3.9480000000000001E-2</v>
      </c>
      <c r="Z106" s="183">
        <v>1.6080000000000004E-2</v>
      </c>
      <c r="AA106" s="183">
        <v>0</v>
      </c>
      <c r="AB106" s="183">
        <v>4.4780000000000007E-2</v>
      </c>
      <c r="AC106" s="182">
        <v>1.88</v>
      </c>
      <c r="AD106" s="183">
        <v>3.0360000000000002E-2</v>
      </c>
      <c r="AE106" s="183">
        <v>8.6E-3</v>
      </c>
      <c r="AF106" s="183">
        <v>6.1600000000000002E-2</v>
      </c>
      <c r="AG106" s="183">
        <v>1.7460000000000003E-2</v>
      </c>
      <c r="AH106" s="182">
        <v>1.88</v>
      </c>
      <c r="AI106" s="183">
        <v>1.976E-2</v>
      </c>
      <c r="AJ106" s="183">
        <v>4.7600000000000003E-3</v>
      </c>
      <c r="AK106" s="183">
        <v>4.2600000000000006E-2</v>
      </c>
      <c r="AL106" s="183">
        <v>9.0800000000000013E-3</v>
      </c>
      <c r="AM106" s="182">
        <v>1.88</v>
      </c>
      <c r="AN106" s="183">
        <v>2.8480000000000002E-2</v>
      </c>
      <c r="AO106" s="183">
        <v>9.4000000000000004E-3</v>
      </c>
      <c r="AP106" s="183">
        <v>5.7239999999999999E-2</v>
      </c>
      <c r="AQ106" s="183">
        <v>2.1720000000000003E-2</v>
      </c>
      <c r="AR106" s="182">
        <v>1.88</v>
      </c>
      <c r="AS106" s="183">
        <v>1.908E-2</v>
      </c>
      <c r="AT106" s="183">
        <v>5.3600000000000002E-3</v>
      </c>
      <c r="AU106" s="183">
        <v>4.1080000000000005E-2</v>
      </c>
      <c r="AV106" s="183">
        <v>1.1660000000000002E-2</v>
      </c>
      <c r="AW106" s="182"/>
      <c r="AX106" s="183"/>
      <c r="AY106" s="183"/>
      <c r="AZ106" s="183"/>
      <c r="BA106" s="183"/>
      <c r="BB106" s="182"/>
      <c r="BC106" s="183"/>
      <c r="BD106" s="183"/>
      <c r="BE106" s="183"/>
      <c r="BF106" s="183"/>
    </row>
    <row r="107" spans="4:58" ht="15.75">
      <c r="D107" s="182">
        <v>1.89</v>
      </c>
      <c r="E107" s="183">
        <v>4.8079999999999998E-2</v>
      </c>
      <c r="F107" s="183">
        <v>1.3440000000000001E-2</v>
      </c>
      <c r="G107" s="183">
        <v>0</v>
      </c>
      <c r="H107" s="183">
        <v>0</v>
      </c>
      <c r="I107" s="182">
        <v>1.89</v>
      </c>
      <c r="J107" s="183">
        <v>3.1699999999999999E-2</v>
      </c>
      <c r="K107" s="183">
        <v>6.5000000000000006E-3</v>
      </c>
      <c r="L107" s="183">
        <v>6.409999999999999E-2</v>
      </c>
      <c r="M107" s="183">
        <v>0</v>
      </c>
      <c r="N107" s="182">
        <v>1.89</v>
      </c>
      <c r="O107" s="183">
        <v>4.4499999999999998E-2</v>
      </c>
      <c r="P107" s="183">
        <v>1.5859999999999999E-2</v>
      </c>
      <c r="Q107" s="183">
        <v>0</v>
      </c>
      <c r="R107" s="183">
        <v>3.4700000000000009E-2</v>
      </c>
      <c r="S107" s="182">
        <v>1.89</v>
      </c>
      <c r="T107" s="183">
        <v>0.02</v>
      </c>
      <c r="U107" s="183">
        <v>3.46E-3</v>
      </c>
      <c r="V107" s="183">
        <v>4.342E-2</v>
      </c>
      <c r="W107" s="183">
        <v>0</v>
      </c>
      <c r="X107" s="182">
        <v>1.89</v>
      </c>
      <c r="Y107" s="183">
        <v>3.9540000000000006E-2</v>
      </c>
      <c r="Z107" s="183">
        <v>1.5940000000000003E-2</v>
      </c>
      <c r="AA107" s="183">
        <v>0</v>
      </c>
      <c r="AB107" s="183">
        <v>4.4340000000000004E-2</v>
      </c>
      <c r="AC107" s="182">
        <v>1.89</v>
      </c>
      <c r="AD107" s="183">
        <v>3.0280000000000001E-2</v>
      </c>
      <c r="AE107" s="183">
        <v>8.5000000000000006E-3</v>
      </c>
      <c r="AF107" s="183">
        <v>6.1399999999999996E-2</v>
      </c>
      <c r="AG107" s="183">
        <v>1.7180000000000001E-2</v>
      </c>
      <c r="AH107" s="182">
        <v>1.89</v>
      </c>
      <c r="AI107" s="183">
        <v>1.968E-2</v>
      </c>
      <c r="AJ107" s="183">
        <v>4.6800000000000001E-3</v>
      </c>
      <c r="AK107" s="183">
        <v>4.24E-2</v>
      </c>
      <c r="AL107" s="183">
        <v>8.9400000000000018E-3</v>
      </c>
      <c r="AM107" s="182">
        <v>1.89</v>
      </c>
      <c r="AN107" s="183">
        <v>2.844E-2</v>
      </c>
      <c r="AO107" s="183">
        <v>9.300000000000001E-3</v>
      </c>
      <c r="AP107" s="183">
        <v>5.7120000000000004E-2</v>
      </c>
      <c r="AQ107" s="183">
        <v>2.146E-2</v>
      </c>
      <c r="AR107" s="182">
        <v>1.89</v>
      </c>
      <c r="AS107" s="183">
        <v>1.9039999999999998E-2</v>
      </c>
      <c r="AT107" s="183">
        <v>5.28E-3</v>
      </c>
      <c r="AU107" s="183">
        <v>4.0940000000000004E-2</v>
      </c>
      <c r="AV107" s="183">
        <v>1.1480000000000001E-2</v>
      </c>
      <c r="AW107" s="182"/>
      <c r="AX107" s="183"/>
      <c r="AY107" s="183"/>
      <c r="AZ107" s="183"/>
      <c r="BA107" s="183"/>
      <c r="BB107" s="182"/>
      <c r="BC107" s="183"/>
      <c r="BD107" s="183"/>
      <c r="BE107" s="183"/>
      <c r="BF107" s="183"/>
    </row>
    <row r="108" spans="4:58" ht="15.75">
      <c r="D108" s="180">
        <v>1.9</v>
      </c>
      <c r="E108" s="181">
        <v>4.8000000000000001E-2</v>
      </c>
      <c r="F108" s="181">
        <v>1.3299999999999999E-2</v>
      </c>
      <c r="G108" s="183">
        <v>0</v>
      </c>
      <c r="H108" s="183">
        <v>0</v>
      </c>
      <c r="I108" s="180">
        <v>1.9</v>
      </c>
      <c r="J108" s="181">
        <v>3.1600000000000003E-2</v>
      </c>
      <c r="K108" s="181">
        <v>6.4000000000000003E-3</v>
      </c>
      <c r="L108" s="181">
        <v>6.3799999999999996E-2</v>
      </c>
      <c r="M108" s="183">
        <v>0</v>
      </c>
      <c r="N108" s="180">
        <v>1.9</v>
      </c>
      <c r="O108" s="181">
        <v>4.4499999999999998E-2</v>
      </c>
      <c r="P108" s="181">
        <v>1.5699999999999999E-2</v>
      </c>
      <c r="Q108" s="183">
        <v>0</v>
      </c>
      <c r="R108" s="181">
        <v>3.32E-2</v>
      </c>
      <c r="S108" s="180">
        <v>1.9</v>
      </c>
      <c r="T108" s="181">
        <v>1.9900000000000001E-2</v>
      </c>
      <c r="U108" s="181">
        <v>3.3999999999999998E-3</v>
      </c>
      <c r="V108" s="181">
        <v>4.3200000000000002E-2</v>
      </c>
      <c r="W108" s="183">
        <v>0</v>
      </c>
      <c r="X108" s="180">
        <v>1.9</v>
      </c>
      <c r="Y108" s="181">
        <v>3.9600000000000003E-2</v>
      </c>
      <c r="Z108" s="181">
        <v>1.5800000000000002E-2</v>
      </c>
      <c r="AA108" s="183">
        <v>0</v>
      </c>
      <c r="AB108" s="181">
        <v>4.3900000000000002E-2</v>
      </c>
      <c r="AC108" s="180">
        <v>1.9</v>
      </c>
      <c r="AD108" s="181">
        <v>3.0200000000000001E-2</v>
      </c>
      <c r="AE108" s="181">
        <v>8.3999999999999995E-3</v>
      </c>
      <c r="AF108" s="181">
        <v>6.1199999999999997E-2</v>
      </c>
      <c r="AG108" s="181">
        <v>1.6899999999999998E-2</v>
      </c>
      <c r="AH108" s="180">
        <v>1.9</v>
      </c>
      <c r="AI108" s="181">
        <v>1.9599999999999999E-2</v>
      </c>
      <c r="AJ108" s="181">
        <v>4.5999999999999999E-3</v>
      </c>
      <c r="AK108" s="181">
        <v>4.2200000000000001E-2</v>
      </c>
      <c r="AL108" s="181">
        <v>8.8000000000000005E-3</v>
      </c>
      <c r="AM108" s="180">
        <v>1.9</v>
      </c>
      <c r="AN108" s="181">
        <v>2.8400000000000002E-2</v>
      </c>
      <c r="AO108" s="181">
        <v>9.1999999999999998E-3</v>
      </c>
      <c r="AP108" s="181">
        <v>5.7000000000000002E-2</v>
      </c>
      <c r="AQ108" s="181">
        <v>2.12E-2</v>
      </c>
      <c r="AR108" s="180">
        <v>1.9</v>
      </c>
      <c r="AS108" s="181">
        <v>1.9E-2</v>
      </c>
      <c r="AT108" s="181">
        <v>5.1999999999999998E-3</v>
      </c>
      <c r="AU108" s="181">
        <v>4.0800000000000003E-2</v>
      </c>
      <c r="AV108" s="181">
        <v>1.1299999999999999E-2</v>
      </c>
      <c r="AW108" s="180"/>
      <c r="AX108" s="181"/>
      <c r="AY108" s="181"/>
      <c r="AZ108" s="181"/>
      <c r="BA108" s="181"/>
      <c r="BB108" s="180"/>
      <c r="BC108" s="181"/>
      <c r="BD108" s="181"/>
      <c r="BE108" s="181"/>
      <c r="BF108" s="181"/>
    </row>
    <row r="109" spans="4:58" ht="15.75">
      <c r="D109" s="182">
        <v>1.91</v>
      </c>
      <c r="E109" s="183">
        <v>4.7920000000000004E-2</v>
      </c>
      <c r="F109" s="183">
        <v>1.3139999999999999E-2</v>
      </c>
      <c r="G109" s="183">
        <v>0</v>
      </c>
      <c r="H109" s="183">
        <v>0</v>
      </c>
      <c r="I109" s="182">
        <v>1.91</v>
      </c>
      <c r="J109" s="183">
        <v>3.1480000000000001E-2</v>
      </c>
      <c r="K109" s="183">
        <v>6.3200000000000001E-3</v>
      </c>
      <c r="L109" s="183">
        <v>6.3519999999999993E-2</v>
      </c>
      <c r="M109" s="183">
        <v>0</v>
      </c>
      <c r="N109" s="182">
        <v>1.91</v>
      </c>
      <c r="O109" s="183">
        <v>4.4479999999999999E-2</v>
      </c>
      <c r="P109" s="183">
        <v>1.5539999999999998E-2</v>
      </c>
      <c r="Q109" s="183">
        <v>0</v>
      </c>
      <c r="R109" s="183">
        <v>3.3340000000000002E-2</v>
      </c>
      <c r="S109" s="182">
        <v>1.91</v>
      </c>
      <c r="T109" s="183">
        <v>1.984E-2</v>
      </c>
      <c r="U109" s="183">
        <v>3.3599999999999997E-3</v>
      </c>
      <c r="V109" s="183">
        <v>4.3000000000000003E-2</v>
      </c>
      <c r="W109" s="183">
        <v>0</v>
      </c>
      <c r="X109" s="182">
        <v>1.91</v>
      </c>
      <c r="Y109" s="183">
        <v>3.9640000000000002E-2</v>
      </c>
      <c r="Z109" s="183">
        <v>1.5679999999999999E-2</v>
      </c>
      <c r="AA109" s="183">
        <v>0</v>
      </c>
      <c r="AB109" s="183">
        <v>4.3479999999999998E-2</v>
      </c>
      <c r="AC109" s="182">
        <v>1.91</v>
      </c>
      <c r="AD109" s="183">
        <v>3.014E-2</v>
      </c>
      <c r="AE109" s="183">
        <v>8.2799999999999992E-3</v>
      </c>
      <c r="AF109" s="183">
        <v>6.0940000000000001E-2</v>
      </c>
      <c r="AG109" s="183">
        <v>1.6719999999999999E-2</v>
      </c>
      <c r="AH109" s="182">
        <v>1.91</v>
      </c>
      <c r="AI109" s="183">
        <v>1.9519999999999999E-2</v>
      </c>
      <c r="AJ109" s="183">
        <v>4.5399999999999998E-3</v>
      </c>
      <c r="AK109" s="183">
        <v>4.2020000000000002E-2</v>
      </c>
      <c r="AL109" s="183">
        <v>8.6800000000000002E-3</v>
      </c>
      <c r="AM109" s="182">
        <v>1.91</v>
      </c>
      <c r="AN109" s="183">
        <v>2.836E-2</v>
      </c>
      <c r="AO109" s="183">
        <v>9.0799999999999995E-3</v>
      </c>
      <c r="AP109" s="183">
        <v>5.6840000000000002E-2</v>
      </c>
      <c r="AQ109" s="183">
        <v>2.0920000000000001E-2</v>
      </c>
      <c r="AR109" s="182">
        <v>1.91</v>
      </c>
      <c r="AS109" s="183">
        <v>1.8919999999999999E-2</v>
      </c>
      <c r="AT109" s="183">
        <v>5.1399999999999996E-3</v>
      </c>
      <c r="AU109" s="183">
        <v>4.0640000000000003E-2</v>
      </c>
      <c r="AV109" s="183">
        <v>1.1179999999999999E-2</v>
      </c>
      <c r="AW109" s="182"/>
      <c r="AX109" s="183"/>
      <c r="AY109" s="183"/>
      <c r="AZ109" s="183"/>
      <c r="BA109" s="183"/>
      <c r="BB109" s="182"/>
      <c r="BC109" s="183"/>
      <c r="BD109" s="183"/>
      <c r="BE109" s="183"/>
      <c r="BF109" s="183"/>
    </row>
    <row r="110" spans="4:58" ht="15.75">
      <c r="D110" s="182">
        <v>1.92</v>
      </c>
      <c r="E110" s="183">
        <v>4.7840000000000001E-2</v>
      </c>
      <c r="F110" s="183">
        <v>1.298E-2</v>
      </c>
      <c r="G110" s="183">
        <v>0</v>
      </c>
      <c r="H110" s="183">
        <v>0</v>
      </c>
      <c r="I110" s="182">
        <v>1.92</v>
      </c>
      <c r="J110" s="183">
        <v>3.1359999999999999E-2</v>
      </c>
      <c r="K110" s="183">
        <v>6.2399999999999999E-3</v>
      </c>
      <c r="L110" s="183">
        <v>6.3239999999999991E-2</v>
      </c>
      <c r="M110" s="183">
        <v>0</v>
      </c>
      <c r="N110" s="182">
        <v>1.92</v>
      </c>
      <c r="O110" s="183">
        <v>4.446E-2</v>
      </c>
      <c r="P110" s="183">
        <v>1.538E-2</v>
      </c>
      <c r="Q110" s="183">
        <v>0</v>
      </c>
      <c r="R110" s="183">
        <v>3.3480000000000003E-2</v>
      </c>
      <c r="S110" s="182">
        <v>1.92</v>
      </c>
      <c r="T110" s="183">
        <v>1.9779999999999999E-2</v>
      </c>
      <c r="U110" s="183">
        <v>3.32E-3</v>
      </c>
      <c r="V110" s="183">
        <v>4.2800000000000005E-2</v>
      </c>
      <c r="W110" s="183">
        <v>0</v>
      </c>
      <c r="X110" s="182">
        <v>1.92</v>
      </c>
      <c r="Y110" s="183">
        <v>3.968E-2</v>
      </c>
      <c r="Z110" s="183">
        <v>1.5560000000000001E-2</v>
      </c>
      <c r="AA110" s="183">
        <v>0</v>
      </c>
      <c r="AB110" s="183">
        <v>4.3060000000000001E-2</v>
      </c>
      <c r="AC110" s="182">
        <v>1.92</v>
      </c>
      <c r="AD110" s="183">
        <v>3.0079999999999999E-2</v>
      </c>
      <c r="AE110" s="183">
        <v>8.1599999999999989E-3</v>
      </c>
      <c r="AF110" s="183">
        <v>6.0679999999999998E-2</v>
      </c>
      <c r="AG110" s="183">
        <v>1.6539999999999999E-2</v>
      </c>
      <c r="AH110" s="182">
        <v>1.92</v>
      </c>
      <c r="AI110" s="183">
        <v>1.9439999999999999E-2</v>
      </c>
      <c r="AJ110" s="183">
        <v>4.4799999999999996E-3</v>
      </c>
      <c r="AK110" s="183">
        <v>4.1840000000000002E-2</v>
      </c>
      <c r="AL110" s="183">
        <v>8.5599999999999999E-3</v>
      </c>
      <c r="AM110" s="182">
        <v>1.92</v>
      </c>
      <c r="AN110" s="183">
        <v>2.8320000000000001E-2</v>
      </c>
      <c r="AO110" s="183">
        <v>8.9599999999999992E-3</v>
      </c>
      <c r="AP110" s="183">
        <v>5.6680000000000001E-2</v>
      </c>
      <c r="AQ110" s="183">
        <v>2.0640000000000002E-2</v>
      </c>
      <c r="AR110" s="182">
        <v>1.92</v>
      </c>
      <c r="AS110" s="183">
        <v>1.8839999999999999E-2</v>
      </c>
      <c r="AT110" s="183">
        <v>5.0799999999999994E-3</v>
      </c>
      <c r="AU110" s="183">
        <v>4.0480000000000002E-2</v>
      </c>
      <c r="AV110" s="183">
        <v>1.1059999999999999E-2</v>
      </c>
      <c r="AW110" s="182"/>
      <c r="AX110" s="183"/>
      <c r="AY110" s="183"/>
      <c r="AZ110" s="183"/>
      <c r="BA110" s="183"/>
      <c r="BB110" s="182"/>
      <c r="BC110" s="183"/>
      <c r="BD110" s="183"/>
      <c r="BE110" s="183"/>
      <c r="BF110" s="183"/>
    </row>
    <row r="111" spans="4:58" ht="15.75">
      <c r="D111" s="182">
        <v>1.93</v>
      </c>
      <c r="E111" s="183">
        <v>4.7760000000000004E-2</v>
      </c>
      <c r="F111" s="183">
        <v>1.282E-2</v>
      </c>
      <c r="G111" s="183">
        <v>0</v>
      </c>
      <c r="H111" s="183">
        <v>0</v>
      </c>
      <c r="I111" s="182">
        <v>1.93</v>
      </c>
      <c r="J111" s="183">
        <v>3.124E-2</v>
      </c>
      <c r="K111" s="183">
        <v>6.1600000000000005E-3</v>
      </c>
      <c r="L111" s="183">
        <v>6.2960000000000002E-2</v>
      </c>
      <c r="M111" s="183">
        <v>0</v>
      </c>
      <c r="N111" s="182">
        <v>1.93</v>
      </c>
      <c r="O111" s="183">
        <v>4.444E-2</v>
      </c>
      <c r="P111" s="183">
        <v>1.5219999999999999E-2</v>
      </c>
      <c r="Q111" s="183">
        <v>0</v>
      </c>
      <c r="R111" s="183">
        <v>3.3619999999999997E-2</v>
      </c>
      <c r="S111" s="182">
        <v>1.93</v>
      </c>
      <c r="T111" s="183">
        <v>1.9720000000000001E-2</v>
      </c>
      <c r="U111" s="183">
        <v>3.2799999999999999E-3</v>
      </c>
      <c r="V111" s="183">
        <v>4.2599999999999999E-2</v>
      </c>
      <c r="W111" s="183">
        <v>0</v>
      </c>
      <c r="X111" s="182">
        <v>1.93</v>
      </c>
      <c r="Y111" s="183">
        <v>3.9720000000000005E-2</v>
      </c>
      <c r="Z111" s="183">
        <v>1.5440000000000001E-2</v>
      </c>
      <c r="AA111" s="183">
        <v>0</v>
      </c>
      <c r="AB111" s="183">
        <v>4.2639999999999997E-2</v>
      </c>
      <c r="AC111" s="182">
        <v>1.93</v>
      </c>
      <c r="AD111" s="183">
        <v>3.0020000000000002E-2</v>
      </c>
      <c r="AE111" s="183">
        <v>8.0400000000000003E-3</v>
      </c>
      <c r="AF111" s="183">
        <v>6.0420000000000001E-2</v>
      </c>
      <c r="AG111" s="183">
        <v>1.636E-2</v>
      </c>
      <c r="AH111" s="182">
        <v>1.93</v>
      </c>
      <c r="AI111" s="183">
        <v>1.9359999999999999E-2</v>
      </c>
      <c r="AJ111" s="183">
        <v>4.4200000000000003E-3</v>
      </c>
      <c r="AK111" s="183">
        <v>4.1660000000000003E-2</v>
      </c>
      <c r="AL111" s="183">
        <v>8.4400000000000013E-3</v>
      </c>
      <c r="AM111" s="182">
        <v>1.93</v>
      </c>
      <c r="AN111" s="183">
        <v>2.828E-2</v>
      </c>
      <c r="AO111" s="183">
        <v>8.8400000000000006E-3</v>
      </c>
      <c r="AP111" s="183">
        <v>5.6520000000000001E-2</v>
      </c>
      <c r="AQ111" s="183">
        <v>2.036E-2</v>
      </c>
      <c r="AR111" s="182">
        <v>1.93</v>
      </c>
      <c r="AS111" s="183">
        <v>1.8759999999999999E-2</v>
      </c>
      <c r="AT111" s="183">
        <v>5.0200000000000002E-3</v>
      </c>
      <c r="AU111" s="183">
        <v>4.0320000000000002E-2</v>
      </c>
      <c r="AV111" s="183">
        <v>1.094E-2</v>
      </c>
      <c r="AW111" s="182"/>
      <c r="AX111" s="183"/>
      <c r="AY111" s="183"/>
      <c r="AZ111" s="183"/>
      <c r="BA111" s="183"/>
      <c r="BB111" s="182"/>
      <c r="BC111" s="183"/>
      <c r="BD111" s="183"/>
      <c r="BE111" s="183"/>
      <c r="BF111" s="183"/>
    </row>
    <row r="112" spans="4:58" ht="15.75">
      <c r="D112" s="182">
        <v>1.94</v>
      </c>
      <c r="E112" s="183">
        <v>4.768E-2</v>
      </c>
      <c r="F112" s="183">
        <v>1.2660000000000001E-2</v>
      </c>
      <c r="G112" s="183">
        <v>0</v>
      </c>
      <c r="H112" s="183">
        <v>0</v>
      </c>
      <c r="I112" s="182">
        <v>1.94</v>
      </c>
      <c r="J112" s="183">
        <v>3.1120000000000002E-2</v>
      </c>
      <c r="K112" s="183">
        <v>6.0800000000000003E-3</v>
      </c>
      <c r="L112" s="183">
        <v>6.268E-2</v>
      </c>
      <c r="M112" s="183">
        <v>0</v>
      </c>
      <c r="N112" s="182">
        <v>1.94</v>
      </c>
      <c r="O112" s="183">
        <v>4.4420000000000001E-2</v>
      </c>
      <c r="P112" s="183">
        <v>1.506E-2</v>
      </c>
      <c r="Q112" s="183">
        <v>0</v>
      </c>
      <c r="R112" s="183">
        <v>3.3759999999999998E-2</v>
      </c>
      <c r="S112" s="182">
        <v>1.94</v>
      </c>
      <c r="T112" s="183">
        <v>1.966E-2</v>
      </c>
      <c r="U112" s="183">
        <v>3.2400000000000003E-3</v>
      </c>
      <c r="V112" s="183">
        <v>4.24E-2</v>
      </c>
      <c r="W112" s="183">
        <v>0</v>
      </c>
      <c r="X112" s="182">
        <v>1.94</v>
      </c>
      <c r="Y112" s="183">
        <v>3.9760000000000004E-2</v>
      </c>
      <c r="Z112" s="183">
        <v>1.532E-2</v>
      </c>
      <c r="AA112" s="183">
        <v>0</v>
      </c>
      <c r="AB112" s="183">
        <v>4.2220000000000001E-2</v>
      </c>
      <c r="AC112" s="182">
        <v>1.94</v>
      </c>
      <c r="AD112" s="183">
        <v>2.9960000000000001E-2</v>
      </c>
      <c r="AE112" s="183">
        <v>7.92E-3</v>
      </c>
      <c r="AF112" s="183">
        <v>6.0159999999999998E-2</v>
      </c>
      <c r="AG112" s="183">
        <v>1.618E-2</v>
      </c>
      <c r="AH112" s="182">
        <v>1.94</v>
      </c>
      <c r="AI112" s="183">
        <v>1.9279999999999999E-2</v>
      </c>
      <c r="AJ112" s="183">
        <v>4.3600000000000002E-3</v>
      </c>
      <c r="AK112" s="183">
        <v>4.1480000000000003E-2</v>
      </c>
      <c r="AL112" s="183">
        <v>8.320000000000001E-3</v>
      </c>
      <c r="AM112" s="182">
        <v>1.94</v>
      </c>
      <c r="AN112" s="183">
        <v>2.8240000000000001E-2</v>
      </c>
      <c r="AO112" s="183">
        <v>8.7200000000000003E-3</v>
      </c>
      <c r="AP112" s="183">
        <v>5.636E-2</v>
      </c>
      <c r="AQ112" s="183">
        <v>2.0080000000000001E-2</v>
      </c>
      <c r="AR112" s="182">
        <v>1.94</v>
      </c>
      <c r="AS112" s="183">
        <v>1.8679999999999999E-2</v>
      </c>
      <c r="AT112" s="183">
        <v>4.96E-3</v>
      </c>
      <c r="AU112" s="183">
        <v>4.0160000000000001E-2</v>
      </c>
      <c r="AV112" s="183">
        <v>1.082E-2</v>
      </c>
      <c r="AW112" s="182"/>
      <c r="AX112" s="183"/>
      <c r="AY112" s="183"/>
      <c r="AZ112" s="183"/>
      <c r="BA112" s="183"/>
      <c r="BB112" s="182"/>
      <c r="BC112" s="183"/>
      <c r="BD112" s="183"/>
      <c r="BE112" s="183"/>
      <c r="BF112" s="183"/>
    </row>
    <row r="113" spans="2:58" ht="15.75">
      <c r="B113" s="169"/>
      <c r="C113" s="169"/>
      <c r="D113" s="180">
        <v>1.95</v>
      </c>
      <c r="E113" s="181">
        <v>4.7600000000000003E-2</v>
      </c>
      <c r="F113" s="181">
        <v>1.2500000000000001E-2</v>
      </c>
      <c r="G113" s="183">
        <v>0</v>
      </c>
      <c r="H113" s="183">
        <v>0</v>
      </c>
      <c r="I113" s="180">
        <v>1.95</v>
      </c>
      <c r="J113" s="181">
        <v>3.1E-2</v>
      </c>
      <c r="K113" s="181">
        <v>6.0000000000000001E-3</v>
      </c>
      <c r="L113" s="181">
        <v>6.2399999999999997E-2</v>
      </c>
      <c r="M113" s="183">
        <v>0</v>
      </c>
      <c r="N113" s="180">
        <v>1.95</v>
      </c>
      <c r="O113" s="181">
        <v>4.4400000000000002E-2</v>
      </c>
      <c r="P113" s="181">
        <v>1.49E-2</v>
      </c>
      <c r="Q113" s="183">
        <v>0</v>
      </c>
      <c r="R113" s="181">
        <v>3.39E-2</v>
      </c>
      <c r="S113" s="180">
        <v>1.95</v>
      </c>
      <c r="T113" s="181">
        <v>1.9599999999999999E-2</v>
      </c>
      <c r="U113" s="181">
        <v>3.2000000000000002E-3</v>
      </c>
      <c r="V113" s="181">
        <v>4.2200000000000001E-2</v>
      </c>
      <c r="W113" s="183">
        <v>0</v>
      </c>
      <c r="X113" s="180">
        <v>1.95</v>
      </c>
      <c r="Y113" s="181">
        <v>3.9800000000000002E-2</v>
      </c>
      <c r="Z113" s="181">
        <v>1.52E-2</v>
      </c>
      <c r="AA113" s="183">
        <v>0</v>
      </c>
      <c r="AB113" s="181">
        <v>4.1799999999999997E-2</v>
      </c>
      <c r="AC113" s="180">
        <v>1.95</v>
      </c>
      <c r="AD113" s="181">
        <v>2.9899999999999999E-2</v>
      </c>
      <c r="AE113" s="181">
        <v>7.7999999999999996E-3</v>
      </c>
      <c r="AF113" s="181">
        <v>5.9900000000000002E-2</v>
      </c>
      <c r="AG113" s="181">
        <v>1.6E-2</v>
      </c>
      <c r="AH113" s="180">
        <v>1.95</v>
      </c>
      <c r="AI113" s="181">
        <v>1.9199999999999998E-2</v>
      </c>
      <c r="AJ113" s="181">
        <v>4.3E-3</v>
      </c>
      <c r="AK113" s="181">
        <v>4.1300000000000003E-2</v>
      </c>
      <c r="AL113" s="181">
        <v>8.2000000000000007E-3</v>
      </c>
      <c r="AM113" s="180">
        <v>1.95</v>
      </c>
      <c r="AN113" s="181">
        <v>2.8199999999999999E-2</v>
      </c>
      <c r="AO113" s="181">
        <v>8.6E-3</v>
      </c>
      <c r="AP113" s="181">
        <v>5.62E-2</v>
      </c>
      <c r="AQ113" s="181">
        <v>1.9800000000000002E-2</v>
      </c>
      <c r="AR113" s="180">
        <v>1.95</v>
      </c>
      <c r="AS113" s="181">
        <v>1.8599999999999998E-2</v>
      </c>
      <c r="AT113" s="181">
        <v>4.8999999999999998E-3</v>
      </c>
      <c r="AU113" s="181">
        <v>0.04</v>
      </c>
      <c r="AV113" s="181">
        <v>1.0699999999999999E-2</v>
      </c>
      <c r="AW113" s="180"/>
      <c r="AX113" s="181"/>
      <c r="AY113" s="181"/>
      <c r="AZ113" s="181"/>
      <c r="BA113" s="181"/>
      <c r="BB113" s="180"/>
      <c r="BC113" s="181"/>
      <c r="BD113" s="181"/>
      <c r="BE113" s="181"/>
      <c r="BF113" s="181"/>
    </row>
    <row r="114" spans="2:58" ht="15.75">
      <c r="B114" s="169"/>
      <c r="C114" s="169"/>
      <c r="D114" s="182">
        <v>1.96</v>
      </c>
      <c r="E114" s="183">
        <v>4.7540000000000006E-2</v>
      </c>
      <c r="F114" s="183">
        <v>1.2360000000000001E-2</v>
      </c>
      <c r="G114" s="183">
        <v>0</v>
      </c>
      <c r="H114" s="183">
        <v>0</v>
      </c>
      <c r="I114" s="182">
        <v>1.96</v>
      </c>
      <c r="J114" s="183">
        <v>3.0859999999999999E-2</v>
      </c>
      <c r="K114" s="183">
        <v>5.9199999999999999E-3</v>
      </c>
      <c r="L114" s="183">
        <v>6.2119999999999995E-2</v>
      </c>
      <c r="M114" s="183">
        <v>0</v>
      </c>
      <c r="N114" s="182">
        <v>1.96</v>
      </c>
      <c r="O114" s="183">
        <v>4.4380000000000003E-2</v>
      </c>
      <c r="P114" s="183">
        <v>1.4760000000000001E-2</v>
      </c>
      <c r="Q114" s="183">
        <v>0</v>
      </c>
      <c r="R114" s="183">
        <v>3.388E-2</v>
      </c>
      <c r="S114" s="182">
        <v>1.96</v>
      </c>
      <c r="T114" s="183">
        <v>1.9539999999999998E-2</v>
      </c>
      <c r="U114" s="183">
        <v>3.16E-3</v>
      </c>
      <c r="V114" s="183">
        <v>4.2000000000000003E-2</v>
      </c>
      <c r="W114" s="183">
        <v>0</v>
      </c>
      <c r="X114" s="182">
        <v>1.96</v>
      </c>
      <c r="Y114" s="183">
        <v>3.984E-2</v>
      </c>
      <c r="Z114" s="183">
        <v>1.508E-2</v>
      </c>
      <c r="AA114" s="183">
        <v>0</v>
      </c>
      <c r="AB114" s="183">
        <v>4.138E-2</v>
      </c>
      <c r="AC114" s="182">
        <v>1.96</v>
      </c>
      <c r="AD114" s="183">
        <v>2.98E-2</v>
      </c>
      <c r="AE114" s="183">
        <v>7.7199999999999994E-3</v>
      </c>
      <c r="AF114" s="183">
        <v>5.9680000000000004E-2</v>
      </c>
      <c r="AG114" s="183">
        <v>1.5740000000000001E-2</v>
      </c>
      <c r="AH114" s="182">
        <v>1.96</v>
      </c>
      <c r="AI114" s="183">
        <v>1.9139999999999997E-2</v>
      </c>
      <c r="AJ114" s="183">
        <v>4.2399999999999998E-3</v>
      </c>
      <c r="AK114" s="183">
        <v>4.1120000000000004E-2</v>
      </c>
      <c r="AL114" s="183">
        <v>8.0800000000000004E-3</v>
      </c>
      <c r="AM114" s="182">
        <v>1.96</v>
      </c>
      <c r="AN114" s="183">
        <v>2.8160000000000001E-2</v>
      </c>
      <c r="AO114" s="183">
        <v>8.5000000000000006E-3</v>
      </c>
      <c r="AP114" s="183">
        <v>5.6059999999999999E-2</v>
      </c>
      <c r="AQ114" s="183">
        <v>1.958E-2</v>
      </c>
      <c r="AR114" s="182">
        <v>1.96</v>
      </c>
      <c r="AS114" s="183">
        <v>1.8539999999999997E-2</v>
      </c>
      <c r="AT114" s="183">
        <v>4.8399999999999997E-3</v>
      </c>
      <c r="AU114" s="183">
        <v>3.984E-2</v>
      </c>
      <c r="AV114" s="183">
        <v>1.052E-2</v>
      </c>
      <c r="AW114" s="182"/>
      <c r="AX114" s="183"/>
      <c r="AY114" s="183"/>
      <c r="AZ114" s="183"/>
      <c r="BA114" s="183"/>
      <c r="BB114" s="182"/>
      <c r="BC114" s="183"/>
      <c r="BD114" s="183"/>
      <c r="BE114" s="183"/>
      <c r="BF114" s="183"/>
    </row>
    <row r="115" spans="2:58" ht="15.75">
      <c r="B115" s="169"/>
      <c r="C115" s="169"/>
      <c r="D115" s="182">
        <v>1.97</v>
      </c>
      <c r="E115" s="183">
        <v>4.7480000000000001E-2</v>
      </c>
      <c r="F115" s="183">
        <v>1.222E-2</v>
      </c>
      <c r="G115" s="183">
        <v>0</v>
      </c>
      <c r="H115" s="183">
        <v>0</v>
      </c>
      <c r="I115" s="182">
        <v>1.97</v>
      </c>
      <c r="J115" s="183">
        <v>3.0720000000000001E-2</v>
      </c>
      <c r="K115" s="183">
        <v>5.8399999999999997E-3</v>
      </c>
      <c r="L115" s="183">
        <v>6.1839999999999999E-2</v>
      </c>
      <c r="M115" s="183">
        <v>0</v>
      </c>
      <c r="N115" s="182">
        <v>1.97</v>
      </c>
      <c r="O115" s="183">
        <v>4.4360000000000004E-2</v>
      </c>
      <c r="P115" s="183">
        <v>1.4620000000000001E-2</v>
      </c>
      <c r="Q115" s="183">
        <v>0</v>
      </c>
      <c r="R115" s="183">
        <v>3.3860000000000001E-2</v>
      </c>
      <c r="S115" s="182">
        <v>1.97</v>
      </c>
      <c r="T115" s="183">
        <v>1.9480000000000001E-2</v>
      </c>
      <c r="U115" s="183">
        <v>3.1199999999999999E-3</v>
      </c>
      <c r="V115" s="183">
        <v>4.1800000000000004E-2</v>
      </c>
      <c r="W115" s="183">
        <v>0</v>
      </c>
      <c r="X115" s="182">
        <v>1.97</v>
      </c>
      <c r="Y115" s="183">
        <v>3.9879999999999999E-2</v>
      </c>
      <c r="Z115" s="183">
        <v>1.4959999999999999E-2</v>
      </c>
      <c r="AA115" s="183">
        <v>0</v>
      </c>
      <c r="AB115" s="183">
        <v>4.0959999999999996E-2</v>
      </c>
      <c r="AC115" s="182">
        <v>1.97</v>
      </c>
      <c r="AD115" s="183">
        <v>2.9700000000000001E-2</v>
      </c>
      <c r="AE115" s="183">
        <v>7.6400000000000001E-3</v>
      </c>
      <c r="AF115" s="183">
        <v>5.9459999999999999E-2</v>
      </c>
      <c r="AG115" s="183">
        <v>1.5480000000000001E-2</v>
      </c>
      <c r="AH115" s="182">
        <v>1.97</v>
      </c>
      <c r="AI115" s="183">
        <v>1.908E-2</v>
      </c>
      <c r="AJ115" s="183">
        <v>4.1799999999999997E-3</v>
      </c>
      <c r="AK115" s="183">
        <v>4.0940000000000004E-2</v>
      </c>
      <c r="AL115" s="183">
        <v>7.9600000000000001E-3</v>
      </c>
      <c r="AM115" s="182">
        <v>1.97</v>
      </c>
      <c r="AN115" s="183">
        <v>2.8119999999999999E-2</v>
      </c>
      <c r="AO115" s="183">
        <v>8.3999999999999995E-3</v>
      </c>
      <c r="AP115" s="183">
        <v>5.5919999999999997E-2</v>
      </c>
      <c r="AQ115" s="183">
        <v>1.9360000000000002E-2</v>
      </c>
      <c r="AR115" s="182">
        <v>1.97</v>
      </c>
      <c r="AS115" s="183">
        <v>1.848E-2</v>
      </c>
      <c r="AT115" s="183">
        <v>4.7799999999999995E-3</v>
      </c>
      <c r="AU115" s="183">
        <v>3.968E-2</v>
      </c>
      <c r="AV115" s="183">
        <v>1.034E-2</v>
      </c>
      <c r="AW115" s="182"/>
      <c r="AX115" s="183"/>
      <c r="AY115" s="183"/>
      <c r="AZ115" s="183"/>
      <c r="BA115" s="183"/>
      <c r="BB115" s="182"/>
      <c r="BC115" s="183"/>
      <c r="BD115" s="183"/>
      <c r="BE115" s="183"/>
      <c r="BF115" s="183"/>
    </row>
    <row r="116" spans="2:58" ht="15.75">
      <c r="B116" s="169"/>
      <c r="C116" s="169"/>
      <c r="D116" s="182">
        <v>1.98</v>
      </c>
      <c r="E116" s="183">
        <v>4.7420000000000004E-2</v>
      </c>
      <c r="F116" s="183">
        <v>1.208E-2</v>
      </c>
      <c r="G116" s="183">
        <v>0</v>
      </c>
      <c r="H116" s="183">
        <v>0</v>
      </c>
      <c r="I116" s="182">
        <v>1.98</v>
      </c>
      <c r="J116" s="183">
        <v>3.058E-2</v>
      </c>
      <c r="K116" s="183">
        <v>5.7600000000000004E-3</v>
      </c>
      <c r="L116" s="183">
        <v>6.1559999999999997E-2</v>
      </c>
      <c r="M116" s="183">
        <v>0</v>
      </c>
      <c r="N116" s="182">
        <v>1.98</v>
      </c>
      <c r="O116" s="183">
        <v>4.4339999999999997E-2</v>
      </c>
      <c r="P116" s="183">
        <v>1.448E-2</v>
      </c>
      <c r="Q116" s="183">
        <v>0</v>
      </c>
      <c r="R116" s="183">
        <v>3.3839999999999995E-2</v>
      </c>
      <c r="S116" s="182">
        <v>1.98</v>
      </c>
      <c r="T116" s="183">
        <v>1.942E-2</v>
      </c>
      <c r="U116" s="183">
        <v>3.0800000000000003E-3</v>
      </c>
      <c r="V116" s="183">
        <v>4.1599999999999998E-2</v>
      </c>
      <c r="W116" s="183">
        <v>0</v>
      </c>
      <c r="X116" s="182">
        <v>1.98</v>
      </c>
      <c r="Y116" s="183">
        <v>3.9920000000000004E-2</v>
      </c>
      <c r="Z116" s="183">
        <v>1.4840000000000001E-2</v>
      </c>
      <c r="AA116" s="183">
        <v>0</v>
      </c>
      <c r="AB116" s="183">
        <v>4.054E-2</v>
      </c>
      <c r="AC116" s="182">
        <v>1.98</v>
      </c>
      <c r="AD116" s="183">
        <v>2.9599999999999998E-2</v>
      </c>
      <c r="AE116" s="183">
        <v>7.5599999999999999E-3</v>
      </c>
      <c r="AF116" s="183">
        <v>5.9240000000000001E-2</v>
      </c>
      <c r="AG116" s="183">
        <v>1.5219999999999999E-2</v>
      </c>
      <c r="AH116" s="182">
        <v>1.98</v>
      </c>
      <c r="AI116" s="183">
        <v>1.9019999999999999E-2</v>
      </c>
      <c r="AJ116" s="183">
        <v>4.1200000000000004E-3</v>
      </c>
      <c r="AK116" s="183">
        <v>4.0759999999999998E-2</v>
      </c>
      <c r="AL116" s="183">
        <v>7.8399999999999997E-3</v>
      </c>
      <c r="AM116" s="182">
        <v>1.98</v>
      </c>
      <c r="AN116" s="183">
        <v>2.8080000000000001E-2</v>
      </c>
      <c r="AO116" s="183">
        <v>8.3000000000000001E-3</v>
      </c>
      <c r="AP116" s="183">
        <v>5.5780000000000003E-2</v>
      </c>
      <c r="AQ116" s="183">
        <v>1.9140000000000001E-2</v>
      </c>
      <c r="AR116" s="182">
        <v>1.98</v>
      </c>
      <c r="AS116" s="183">
        <v>1.8419999999999999E-2</v>
      </c>
      <c r="AT116" s="183">
        <v>4.7200000000000002E-3</v>
      </c>
      <c r="AU116" s="183">
        <v>3.952E-2</v>
      </c>
      <c r="AV116" s="183">
        <v>1.0159999999999999E-2</v>
      </c>
      <c r="AW116" s="182"/>
      <c r="AX116" s="183"/>
      <c r="AY116" s="183"/>
      <c r="AZ116" s="183"/>
      <c r="BA116" s="183"/>
      <c r="BB116" s="182"/>
      <c r="BC116" s="183"/>
      <c r="BD116" s="183"/>
      <c r="BE116" s="183"/>
      <c r="BF116" s="183"/>
    </row>
    <row r="117" spans="2:58" ht="15.75">
      <c r="B117" s="169"/>
      <c r="C117" s="169"/>
      <c r="D117" s="182">
        <v>1.99</v>
      </c>
      <c r="E117" s="183">
        <v>4.7359999999999999E-2</v>
      </c>
      <c r="F117" s="183">
        <v>1.1939999999999999E-2</v>
      </c>
      <c r="G117" s="183">
        <v>0</v>
      </c>
      <c r="H117" s="183">
        <v>0</v>
      </c>
      <c r="I117" s="182">
        <v>1.99</v>
      </c>
      <c r="J117" s="183">
        <v>3.0440000000000002E-2</v>
      </c>
      <c r="K117" s="183">
        <v>5.6800000000000002E-3</v>
      </c>
      <c r="L117" s="183">
        <v>6.1280000000000001E-2</v>
      </c>
      <c r="M117" s="183">
        <v>0</v>
      </c>
      <c r="N117" s="182">
        <v>1.99</v>
      </c>
      <c r="O117" s="183">
        <v>4.4319999999999998E-2</v>
      </c>
      <c r="P117" s="183">
        <v>1.434E-2</v>
      </c>
      <c r="Q117" s="183">
        <v>0</v>
      </c>
      <c r="R117" s="183">
        <v>3.3819999999999996E-2</v>
      </c>
      <c r="S117" s="182">
        <v>1.99</v>
      </c>
      <c r="T117" s="183">
        <v>1.9360000000000002E-2</v>
      </c>
      <c r="U117" s="183">
        <v>3.0400000000000002E-3</v>
      </c>
      <c r="V117" s="183">
        <v>4.1399999999999999E-2</v>
      </c>
      <c r="W117" s="183">
        <v>0</v>
      </c>
      <c r="X117" s="182">
        <v>1.99</v>
      </c>
      <c r="Y117" s="183">
        <v>3.9960000000000002E-2</v>
      </c>
      <c r="Z117" s="183">
        <v>1.472E-2</v>
      </c>
      <c r="AA117" s="183">
        <v>0</v>
      </c>
      <c r="AB117" s="183">
        <v>4.0119999999999996E-2</v>
      </c>
      <c r="AC117" s="182">
        <v>1.99</v>
      </c>
      <c r="AD117" s="183">
        <v>2.9499999999999998E-2</v>
      </c>
      <c r="AE117" s="183">
        <v>7.4800000000000005E-3</v>
      </c>
      <c r="AF117" s="183">
        <v>5.9019999999999996E-2</v>
      </c>
      <c r="AG117" s="183">
        <v>1.4959999999999999E-2</v>
      </c>
      <c r="AH117" s="182">
        <v>1.99</v>
      </c>
      <c r="AI117" s="183">
        <v>1.8960000000000001E-2</v>
      </c>
      <c r="AJ117" s="183">
        <v>4.0600000000000002E-3</v>
      </c>
      <c r="AK117" s="183">
        <v>4.0579999999999998E-2</v>
      </c>
      <c r="AL117" s="183">
        <v>7.7200000000000003E-3</v>
      </c>
      <c r="AM117" s="182">
        <v>1.99</v>
      </c>
      <c r="AN117" s="183">
        <v>2.8039999999999999E-2</v>
      </c>
      <c r="AO117" s="183">
        <v>8.199999999999999E-3</v>
      </c>
      <c r="AP117" s="183">
        <v>5.5640000000000002E-2</v>
      </c>
      <c r="AQ117" s="183">
        <v>1.8920000000000003E-2</v>
      </c>
      <c r="AR117" s="182">
        <v>1.99</v>
      </c>
      <c r="AS117" s="183">
        <v>1.8360000000000001E-2</v>
      </c>
      <c r="AT117" s="183">
        <v>4.6600000000000001E-3</v>
      </c>
      <c r="AU117" s="183">
        <v>3.9359999999999999E-2</v>
      </c>
      <c r="AV117" s="183">
        <v>9.9799999999999993E-3</v>
      </c>
      <c r="AW117" s="182"/>
      <c r="AX117" s="183"/>
      <c r="AY117" s="183"/>
      <c r="AZ117" s="183"/>
      <c r="BA117" s="183"/>
      <c r="BB117" s="182"/>
      <c r="BC117" s="183"/>
      <c r="BD117" s="183"/>
      <c r="BE117" s="183"/>
      <c r="BF117" s="183"/>
    </row>
    <row r="118" spans="2:58" ht="15.75">
      <c r="B118" s="169"/>
      <c r="C118" s="169"/>
      <c r="D118" s="180">
        <v>2</v>
      </c>
      <c r="E118" s="181">
        <v>4.7300000000000002E-2</v>
      </c>
      <c r="F118" s="181">
        <v>1.18E-2</v>
      </c>
      <c r="G118" s="183">
        <v>0</v>
      </c>
      <c r="H118" s="183">
        <v>0</v>
      </c>
      <c r="I118" s="180">
        <v>2</v>
      </c>
      <c r="J118" s="181">
        <v>3.0300000000000001E-2</v>
      </c>
      <c r="K118" s="181">
        <v>5.5999999999999999E-3</v>
      </c>
      <c r="L118" s="181">
        <v>6.0999999999999999E-2</v>
      </c>
      <c r="M118" s="183">
        <v>0</v>
      </c>
      <c r="N118" s="180">
        <v>2</v>
      </c>
      <c r="O118" s="181">
        <v>4.4299999999999999E-2</v>
      </c>
      <c r="P118" s="181">
        <v>1.4200000000000001E-2</v>
      </c>
      <c r="Q118" s="183">
        <v>0</v>
      </c>
      <c r="R118" s="181">
        <v>3.3799999999999997E-2</v>
      </c>
      <c r="S118" s="180">
        <v>2</v>
      </c>
      <c r="T118" s="181">
        <v>1.9300000000000001E-2</v>
      </c>
      <c r="U118" s="181">
        <v>3.0000000000000001E-3</v>
      </c>
      <c r="V118" s="181">
        <v>4.1200000000000001E-2</v>
      </c>
      <c r="W118" s="183">
        <v>0</v>
      </c>
      <c r="X118" s="180">
        <v>2</v>
      </c>
      <c r="Y118" s="181">
        <v>0.04</v>
      </c>
      <c r="Z118" s="181">
        <v>1.46E-2</v>
      </c>
      <c r="AA118" s="183">
        <v>0</v>
      </c>
      <c r="AB118" s="181">
        <v>3.9699999999999999E-2</v>
      </c>
      <c r="AC118" s="180">
        <v>2</v>
      </c>
      <c r="AD118" s="181">
        <v>2.9399999999999999E-2</v>
      </c>
      <c r="AE118" s="181">
        <v>7.4000000000000003E-3</v>
      </c>
      <c r="AF118" s="181">
        <v>5.8799999999999998E-2</v>
      </c>
      <c r="AG118" s="181">
        <v>1.47E-2</v>
      </c>
      <c r="AH118" s="180">
        <v>2</v>
      </c>
      <c r="AI118" s="181">
        <v>1.89E-2</v>
      </c>
      <c r="AJ118" s="181">
        <v>4.0000000000000001E-3</v>
      </c>
      <c r="AK118" s="181">
        <v>4.0399999999999998E-2</v>
      </c>
      <c r="AL118" s="181">
        <v>7.6E-3</v>
      </c>
      <c r="AM118" s="180">
        <v>2</v>
      </c>
      <c r="AN118" s="181">
        <v>2.8000000000000001E-2</v>
      </c>
      <c r="AO118" s="181">
        <v>8.0999999999999996E-3</v>
      </c>
      <c r="AP118" s="181">
        <v>5.5500000000000001E-2</v>
      </c>
      <c r="AQ118" s="181">
        <v>1.8700000000000001E-2</v>
      </c>
      <c r="AR118" s="180">
        <v>2</v>
      </c>
      <c r="AS118" s="181">
        <v>1.83E-2</v>
      </c>
      <c r="AT118" s="181">
        <v>4.5999999999999999E-3</v>
      </c>
      <c r="AU118" s="181">
        <v>3.9199999999999999E-2</v>
      </c>
      <c r="AV118" s="181">
        <v>9.7999999999999997E-3</v>
      </c>
      <c r="AW118" s="180"/>
      <c r="AX118" s="181"/>
      <c r="AY118" s="181"/>
      <c r="AZ118" s="181"/>
      <c r="BA118" s="181"/>
      <c r="BB118" s="180"/>
      <c r="BC118" s="181"/>
      <c r="BD118" s="181"/>
      <c r="BE118" s="181"/>
      <c r="BF118" s="181"/>
    </row>
    <row r="119" spans="2:58" ht="15.75">
      <c r="B119" s="169"/>
      <c r="C119" s="169"/>
      <c r="D119" s="169"/>
      <c r="E119" s="170"/>
      <c r="F119" s="170"/>
      <c r="G119" s="170"/>
      <c r="H119" s="170"/>
      <c r="I119" s="169"/>
      <c r="J119" s="170"/>
      <c r="K119" s="170"/>
      <c r="L119" s="170"/>
      <c r="M119" s="170"/>
      <c r="N119" s="169"/>
      <c r="O119" s="170"/>
      <c r="P119" s="170"/>
      <c r="Q119" s="170"/>
      <c r="R119" s="170"/>
      <c r="S119" s="169"/>
      <c r="T119" s="170"/>
      <c r="U119" s="170"/>
      <c r="V119" s="170"/>
      <c r="W119" s="170"/>
      <c r="X119" s="169"/>
      <c r="Y119" s="170"/>
      <c r="Z119" s="170"/>
      <c r="AA119" s="170"/>
      <c r="AB119" s="170"/>
      <c r="AC119" s="169"/>
      <c r="AD119" s="170"/>
      <c r="AE119" s="170"/>
      <c r="AF119" s="170"/>
      <c r="AG119" s="170"/>
      <c r="AH119" s="169"/>
      <c r="AI119" s="170"/>
      <c r="AJ119" s="170"/>
      <c r="AK119" s="170"/>
      <c r="AL119" s="170"/>
      <c r="AM119" s="169"/>
      <c r="AN119" s="170"/>
      <c r="AO119" s="170"/>
      <c r="AP119" s="170"/>
      <c r="AQ119" s="170"/>
      <c r="AR119" s="169"/>
      <c r="AS119" s="170"/>
      <c r="AT119" s="170"/>
      <c r="AU119" s="170"/>
      <c r="AV119" s="170"/>
      <c r="AW119" s="169"/>
      <c r="AX119" s="170"/>
      <c r="AY119" s="170"/>
      <c r="AZ119" s="170"/>
      <c r="BA119" s="170"/>
      <c r="BB119" s="169"/>
      <c r="BC119" s="170"/>
      <c r="BD119" s="170"/>
      <c r="BE119" s="170"/>
      <c r="BF119" s="170"/>
    </row>
    <row r="120" spans="2:58" ht="15.75">
      <c r="B120" s="169"/>
      <c r="C120" s="169"/>
      <c r="D120" s="169"/>
      <c r="E120" s="170"/>
      <c r="F120" s="170"/>
      <c r="G120" s="170"/>
      <c r="H120" s="170"/>
      <c r="I120" s="169"/>
      <c r="J120" s="170"/>
      <c r="K120" s="170"/>
      <c r="L120" s="170"/>
      <c r="M120" s="170"/>
      <c r="N120" s="169"/>
      <c r="O120" s="170"/>
      <c r="P120" s="170"/>
      <c r="Q120" s="170"/>
      <c r="R120" s="170"/>
      <c r="S120" s="169"/>
      <c r="T120" s="170"/>
      <c r="U120" s="170"/>
      <c r="V120" s="170"/>
      <c r="W120" s="170"/>
      <c r="X120" s="169"/>
      <c r="Y120" s="170"/>
      <c r="Z120" s="170"/>
      <c r="AA120" s="170"/>
      <c r="AB120" s="170"/>
      <c r="AC120" s="169"/>
      <c r="AD120" s="170"/>
      <c r="AE120" s="170"/>
      <c r="AF120" s="170"/>
      <c r="AG120" s="170"/>
      <c r="AH120" s="169"/>
      <c r="AI120" s="170"/>
      <c r="AJ120" s="170"/>
      <c r="AK120" s="170"/>
      <c r="AL120" s="170"/>
      <c r="AM120" s="169"/>
      <c r="AN120" s="170"/>
      <c r="AO120" s="170"/>
      <c r="AP120" s="170"/>
      <c r="AQ120" s="170"/>
      <c r="AR120" s="169"/>
      <c r="AS120" s="170"/>
      <c r="AT120" s="170"/>
      <c r="AU120" s="170"/>
      <c r="AV120" s="170"/>
      <c r="AW120" s="169"/>
      <c r="AX120" s="170"/>
      <c r="AY120" s="170"/>
      <c r="AZ120" s="170"/>
      <c r="BA120" s="170"/>
      <c r="BB120" s="169"/>
      <c r="BC120" s="170"/>
      <c r="BD120" s="170"/>
      <c r="BE120" s="170"/>
      <c r="BF120" s="170"/>
    </row>
    <row r="121" spans="2:58" ht="15.75">
      <c r="B121" s="169"/>
      <c r="C121" s="169"/>
      <c r="D121" s="169"/>
      <c r="E121" s="170"/>
      <c r="F121" s="170"/>
      <c r="G121" s="170"/>
      <c r="H121" s="170"/>
      <c r="I121" s="169"/>
      <c r="J121" s="170"/>
      <c r="K121" s="170"/>
      <c r="L121" s="170"/>
      <c r="M121" s="170"/>
      <c r="N121" s="169"/>
      <c r="O121" s="170"/>
      <c r="P121" s="170"/>
      <c r="Q121" s="170"/>
      <c r="R121" s="170"/>
      <c r="S121" s="169"/>
      <c r="T121" s="170"/>
      <c r="U121" s="170"/>
      <c r="V121" s="170"/>
      <c r="W121" s="170"/>
      <c r="X121" s="169"/>
      <c r="Y121" s="170"/>
      <c r="Z121" s="170"/>
      <c r="AA121" s="170"/>
      <c r="AB121" s="170"/>
      <c r="AC121" s="169"/>
      <c r="AD121" s="170"/>
      <c r="AE121" s="170"/>
      <c r="AF121" s="170"/>
      <c r="AG121" s="170"/>
      <c r="AH121" s="169"/>
      <c r="AI121" s="170"/>
      <c r="AJ121" s="170"/>
      <c r="AK121" s="170"/>
      <c r="AL121" s="170"/>
      <c r="AM121" s="169"/>
      <c r="AN121" s="170"/>
      <c r="AO121" s="170"/>
      <c r="AP121" s="170"/>
      <c r="AQ121" s="170"/>
      <c r="AR121" s="169"/>
      <c r="AS121" s="170"/>
      <c r="AT121" s="170"/>
      <c r="AU121" s="170"/>
      <c r="AV121" s="170"/>
      <c r="AW121" s="169"/>
      <c r="AX121" s="170"/>
      <c r="AY121" s="170"/>
      <c r="AZ121" s="170"/>
      <c r="BA121" s="170"/>
      <c r="BB121" s="169"/>
      <c r="BC121" s="170"/>
      <c r="BD121" s="170"/>
      <c r="BE121" s="170"/>
      <c r="BF121" s="170"/>
    </row>
    <row r="122" spans="2:58" ht="15.75">
      <c r="B122" s="171" t="s">
        <v>407</v>
      </c>
      <c r="C122" s="169"/>
      <c r="D122" s="177">
        <v>1</v>
      </c>
      <c r="E122" s="177">
        <v>2</v>
      </c>
      <c r="F122" s="177">
        <v>3</v>
      </c>
      <c r="G122" s="177">
        <v>4</v>
      </c>
      <c r="H122" s="177">
        <v>5</v>
      </c>
      <c r="I122" s="177">
        <v>6</v>
      </c>
      <c r="J122" s="177">
        <v>7</v>
      </c>
      <c r="K122" s="177">
        <v>8</v>
      </c>
      <c r="L122" s="177">
        <v>9</v>
      </c>
      <c r="M122" s="177">
        <v>10</v>
      </c>
      <c r="N122" s="177">
        <v>11</v>
      </c>
      <c r="O122" s="170"/>
      <c r="P122" s="170"/>
      <c r="Q122" s="170"/>
      <c r="R122" s="170"/>
      <c r="S122" s="169"/>
      <c r="T122" s="170"/>
      <c r="U122" s="170"/>
      <c r="V122" s="170"/>
      <c r="W122" s="170"/>
      <c r="X122" s="169"/>
      <c r="Y122" s="170"/>
      <c r="Z122" s="170"/>
      <c r="AA122" s="170"/>
      <c r="AB122" s="170"/>
      <c r="AC122" s="169"/>
      <c r="AD122" s="170"/>
      <c r="AE122" s="170"/>
      <c r="AF122" s="170"/>
      <c r="AG122" s="170"/>
      <c r="AH122" s="169"/>
      <c r="AI122" s="170"/>
      <c r="AJ122" s="170"/>
      <c r="AK122" s="170"/>
      <c r="AL122" s="170"/>
      <c r="AM122" s="169"/>
      <c r="AN122" s="170"/>
      <c r="AO122" s="170"/>
      <c r="AP122" s="170"/>
      <c r="AQ122" s="170"/>
      <c r="AR122" s="169"/>
      <c r="AS122" s="170"/>
      <c r="AT122" s="170"/>
      <c r="AU122" s="170"/>
      <c r="AV122" s="170"/>
      <c r="AW122" s="169"/>
      <c r="AX122" s="170"/>
      <c r="AY122" s="170"/>
      <c r="AZ122" s="170"/>
      <c r="BA122" s="170"/>
      <c r="BB122" s="169"/>
      <c r="BC122" s="170"/>
      <c r="BD122" s="170"/>
      <c r="BE122" s="170"/>
      <c r="BF122" s="170"/>
    </row>
    <row r="123" spans="2:58" ht="15.75">
      <c r="B123" s="169"/>
      <c r="C123" s="184"/>
      <c r="D123" s="185"/>
      <c r="E123" s="186"/>
      <c r="F123" s="186"/>
      <c r="G123" s="186"/>
      <c r="H123" s="186"/>
      <c r="I123" s="185"/>
      <c r="J123" s="186"/>
      <c r="K123" s="186"/>
      <c r="L123" s="186"/>
      <c r="M123" s="186"/>
      <c r="N123" s="185"/>
      <c r="O123" s="187"/>
      <c r="P123" s="187"/>
      <c r="Q123" s="187"/>
      <c r="R123" s="187"/>
      <c r="S123" s="169"/>
      <c r="T123" s="187"/>
      <c r="U123" s="187"/>
      <c r="V123" s="187"/>
      <c r="W123" s="187"/>
      <c r="X123" s="169"/>
      <c r="Y123" s="187"/>
      <c r="Z123" s="187"/>
      <c r="AA123" s="187"/>
      <c r="AB123" s="187"/>
      <c r="AC123" s="169"/>
      <c r="AD123" s="187"/>
      <c r="AE123" s="187"/>
      <c r="AF123" s="187"/>
      <c r="AG123" s="187"/>
      <c r="AH123" s="169"/>
      <c r="AI123" s="187"/>
      <c r="AJ123" s="187"/>
      <c r="AK123" s="187"/>
      <c r="AL123" s="187"/>
      <c r="AM123" s="169"/>
      <c r="AN123" s="187"/>
      <c r="AO123" s="187"/>
      <c r="AP123" s="187"/>
      <c r="AQ123" s="187"/>
      <c r="AR123" s="169"/>
      <c r="AS123" s="187"/>
      <c r="AT123" s="187"/>
      <c r="AU123" s="187"/>
      <c r="AV123" s="187"/>
      <c r="AW123" s="169"/>
      <c r="AX123" s="187"/>
      <c r="AY123" s="187"/>
      <c r="AZ123" s="187"/>
      <c r="BA123" s="187"/>
      <c r="BB123" s="169"/>
      <c r="BC123" s="187"/>
      <c r="BD123" s="187"/>
      <c r="BE123" s="187"/>
      <c r="BF123" s="187"/>
    </row>
    <row r="124" spans="2:58" ht="17.25">
      <c r="B124" s="169"/>
      <c r="C124" s="184"/>
      <c r="D124" s="188" t="s">
        <v>408</v>
      </c>
      <c r="E124" s="188" t="s">
        <v>409</v>
      </c>
      <c r="F124" s="188" t="s">
        <v>410</v>
      </c>
      <c r="G124" s="188" t="s">
        <v>411</v>
      </c>
      <c r="H124" s="188" t="s">
        <v>412</v>
      </c>
      <c r="I124" s="188" t="s">
        <v>413</v>
      </c>
      <c r="J124" s="188" t="s">
        <v>414</v>
      </c>
      <c r="K124" s="188" t="s">
        <v>415</v>
      </c>
      <c r="L124" s="188" t="s">
        <v>416</v>
      </c>
      <c r="M124" s="188" t="s">
        <v>417</v>
      </c>
      <c r="N124" s="188" t="s">
        <v>418</v>
      </c>
      <c r="O124" s="187"/>
      <c r="P124" s="187"/>
      <c r="Q124" s="187"/>
      <c r="R124" s="187"/>
      <c r="S124" s="169"/>
      <c r="T124" s="187"/>
      <c r="U124" s="187"/>
      <c r="V124" s="187"/>
      <c r="W124" s="187"/>
      <c r="X124" s="169"/>
      <c r="Y124" s="187"/>
      <c r="Z124" s="187"/>
      <c r="AA124" s="187"/>
      <c r="AB124" s="187"/>
      <c r="AC124" s="169"/>
      <c r="AD124" s="187"/>
      <c r="AE124" s="187"/>
      <c r="AF124" s="187"/>
      <c r="AG124" s="187"/>
      <c r="AH124" s="169"/>
      <c r="AI124" s="187"/>
      <c r="AJ124" s="187"/>
      <c r="AK124" s="187"/>
      <c r="AL124" s="187"/>
      <c r="AM124" s="169"/>
      <c r="AN124" s="187"/>
      <c r="AO124" s="187"/>
      <c r="AP124" s="187"/>
      <c r="AQ124" s="187"/>
      <c r="AR124" s="169"/>
      <c r="AS124" s="187"/>
      <c r="AT124" s="187"/>
      <c r="AU124" s="187"/>
      <c r="AV124" s="187"/>
      <c r="AW124" s="169"/>
      <c r="AX124" s="187"/>
      <c r="AY124" s="187"/>
      <c r="AZ124" s="187"/>
      <c r="BA124" s="187"/>
      <c r="BB124" s="169"/>
      <c r="BC124" s="187"/>
      <c r="BD124" s="187"/>
      <c r="BE124" s="187"/>
      <c r="BF124" s="187"/>
    </row>
    <row r="125" spans="2:58" ht="17.25">
      <c r="B125" s="169"/>
      <c r="C125" s="184"/>
      <c r="D125" s="188" t="s">
        <v>419</v>
      </c>
      <c r="E125" s="188" t="s">
        <v>420</v>
      </c>
      <c r="F125" s="188" t="s">
        <v>421</v>
      </c>
      <c r="G125" s="188" t="s">
        <v>422</v>
      </c>
      <c r="H125" s="188" t="s">
        <v>423</v>
      </c>
      <c r="I125" s="188" t="s">
        <v>424</v>
      </c>
      <c r="J125" s="188" t="s">
        <v>425</v>
      </c>
      <c r="K125" s="188" t="s">
        <v>426</v>
      </c>
      <c r="L125" s="188" t="s">
        <v>427</v>
      </c>
      <c r="M125" s="188" t="s">
        <v>428</v>
      </c>
      <c r="N125" s="188" t="s">
        <v>429</v>
      </c>
      <c r="O125" s="187"/>
      <c r="P125" s="187"/>
      <c r="Q125" s="187"/>
      <c r="R125" s="187"/>
      <c r="S125" s="169"/>
      <c r="T125" s="187"/>
      <c r="U125" s="187"/>
      <c r="V125" s="187"/>
      <c r="W125" s="187"/>
      <c r="X125" s="169"/>
      <c r="Y125" s="187"/>
      <c r="Z125" s="187"/>
      <c r="AA125" s="187"/>
      <c r="AB125" s="187"/>
      <c r="AC125" s="169"/>
      <c r="AD125" s="187"/>
      <c r="AE125" s="187"/>
      <c r="AF125" s="187"/>
      <c r="AG125" s="187"/>
      <c r="AH125" s="169"/>
      <c r="AI125" s="187"/>
      <c r="AJ125" s="187"/>
      <c r="AK125" s="187"/>
      <c r="AL125" s="187"/>
      <c r="AM125" s="169"/>
      <c r="AN125" s="187"/>
      <c r="AO125" s="187"/>
      <c r="AP125" s="187"/>
      <c r="AQ125" s="187"/>
      <c r="AR125" s="169"/>
      <c r="AS125" s="187"/>
      <c r="AT125" s="187"/>
      <c r="AU125" s="187"/>
      <c r="AV125" s="187"/>
      <c r="AW125" s="169"/>
      <c r="AX125" s="187"/>
      <c r="AY125" s="187"/>
      <c r="AZ125" s="187"/>
      <c r="BA125" s="187"/>
      <c r="BB125" s="169"/>
      <c r="BC125" s="187"/>
      <c r="BD125" s="187"/>
      <c r="BE125" s="187"/>
      <c r="BF125" s="187"/>
    </row>
    <row r="126" spans="2:58" ht="17.25">
      <c r="B126" s="169"/>
      <c r="C126" s="169"/>
      <c r="D126" s="188" t="s">
        <v>430</v>
      </c>
      <c r="E126" s="188" t="s">
        <v>431</v>
      </c>
      <c r="F126" s="188" t="s">
        <v>432</v>
      </c>
      <c r="G126" s="188" t="s">
        <v>433</v>
      </c>
      <c r="H126" s="188" t="s">
        <v>434</v>
      </c>
      <c r="I126" s="188" t="s">
        <v>435</v>
      </c>
      <c r="J126" s="188" t="s">
        <v>436</v>
      </c>
      <c r="K126" s="188" t="s">
        <v>437</v>
      </c>
      <c r="L126" s="188" t="s">
        <v>438</v>
      </c>
      <c r="M126" s="188" t="s">
        <v>439</v>
      </c>
      <c r="N126" s="188" t="s">
        <v>440</v>
      </c>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row>
    <row r="127" spans="2:58" ht="17.25">
      <c r="B127" s="169"/>
      <c r="C127" s="169"/>
      <c r="D127" s="188" t="s">
        <v>441</v>
      </c>
      <c r="E127" s="188" t="s">
        <v>442</v>
      </c>
      <c r="F127" s="188" t="s">
        <v>443</v>
      </c>
      <c r="G127" s="188" t="s">
        <v>444</v>
      </c>
      <c r="H127" s="188" t="s">
        <v>445</v>
      </c>
      <c r="I127" s="188" t="s">
        <v>446</v>
      </c>
      <c r="J127" s="188" t="s">
        <v>447</v>
      </c>
      <c r="K127" s="188" t="s">
        <v>448</v>
      </c>
      <c r="L127" s="188" t="s">
        <v>449</v>
      </c>
      <c r="M127" s="188" t="s">
        <v>450</v>
      </c>
      <c r="N127" s="188" t="s">
        <v>451</v>
      </c>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row>
    <row r="128" spans="2:58" ht="15.75">
      <c r="B128" s="169"/>
      <c r="C128" s="169"/>
      <c r="D128" s="173"/>
      <c r="E128" s="169"/>
      <c r="F128" s="169"/>
      <c r="G128" s="169"/>
      <c r="H128" s="169"/>
      <c r="I128" s="173"/>
      <c r="J128" s="169"/>
      <c r="K128" s="169"/>
      <c r="L128" s="169"/>
      <c r="M128" s="169"/>
      <c r="N128" s="173"/>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row>
    <row r="129" spans="4:58" ht="15.75">
      <c r="D129" s="189"/>
      <c r="E129" s="185" t="s">
        <v>452</v>
      </c>
      <c r="F129" s="185" t="s">
        <v>3</v>
      </c>
      <c r="G129" s="185" t="s">
        <v>453</v>
      </c>
      <c r="H129" s="185" t="s">
        <v>454</v>
      </c>
      <c r="I129" s="189"/>
      <c r="J129" s="185" t="s">
        <v>452</v>
      </c>
      <c r="K129" s="185" t="s">
        <v>3</v>
      </c>
      <c r="L129" s="185" t="s">
        <v>453</v>
      </c>
      <c r="M129" s="185" t="s">
        <v>454</v>
      </c>
      <c r="N129" s="189"/>
      <c r="O129" s="185" t="s">
        <v>452</v>
      </c>
      <c r="P129" s="185" t="s">
        <v>3</v>
      </c>
      <c r="Q129" s="185" t="s">
        <v>453</v>
      </c>
      <c r="R129" s="185" t="s">
        <v>454</v>
      </c>
      <c r="S129" s="189"/>
      <c r="T129" s="185" t="s">
        <v>452</v>
      </c>
      <c r="U129" s="185" t="s">
        <v>3</v>
      </c>
      <c r="V129" s="185" t="s">
        <v>453</v>
      </c>
      <c r="W129" s="185" t="s">
        <v>454</v>
      </c>
      <c r="X129" s="189"/>
      <c r="Y129" s="185" t="s">
        <v>452</v>
      </c>
      <c r="Z129" s="185" t="s">
        <v>3</v>
      </c>
      <c r="AA129" s="185" t="s">
        <v>453</v>
      </c>
      <c r="AB129" s="185" t="s">
        <v>454</v>
      </c>
      <c r="AC129" s="189"/>
      <c r="AD129" s="185" t="s">
        <v>452</v>
      </c>
      <c r="AE129" s="185" t="s">
        <v>3</v>
      </c>
      <c r="AF129" s="185" t="s">
        <v>453</v>
      </c>
      <c r="AG129" s="185" t="s">
        <v>454</v>
      </c>
      <c r="AH129" s="189"/>
      <c r="AI129" s="185" t="s">
        <v>452</v>
      </c>
      <c r="AJ129" s="185" t="s">
        <v>3</v>
      </c>
      <c r="AK129" s="185" t="s">
        <v>453</v>
      </c>
      <c r="AL129" s="185" t="s">
        <v>454</v>
      </c>
      <c r="AM129" s="189"/>
      <c r="AN129" s="185" t="s">
        <v>452</v>
      </c>
      <c r="AO129" s="185" t="s">
        <v>3</v>
      </c>
      <c r="AP129" s="185" t="s">
        <v>453</v>
      </c>
      <c r="AQ129" s="185" t="s">
        <v>454</v>
      </c>
      <c r="AR129" s="189"/>
      <c r="AS129" s="185" t="s">
        <v>452</v>
      </c>
      <c r="AT129" s="185" t="s">
        <v>3</v>
      </c>
      <c r="AU129" s="185" t="s">
        <v>453</v>
      </c>
      <c r="AV129" s="185" t="s">
        <v>454</v>
      </c>
      <c r="AW129" s="189"/>
      <c r="AX129" s="185" t="s">
        <v>452</v>
      </c>
      <c r="AY129" s="185" t="s">
        <v>3</v>
      </c>
      <c r="AZ129" s="185" t="s">
        <v>453</v>
      </c>
      <c r="BA129" s="185" t="s">
        <v>454</v>
      </c>
      <c r="BB129" s="189"/>
      <c r="BC129" s="185" t="s">
        <v>452</v>
      </c>
      <c r="BD129" s="185" t="s">
        <v>3</v>
      </c>
      <c r="BE129" s="185" t="s">
        <v>453</v>
      </c>
      <c r="BF129" s="185" t="s">
        <v>454</v>
      </c>
    </row>
    <row r="130" spans="4:58" ht="15.75">
      <c r="D130" s="177"/>
      <c r="E130" s="177">
        <v>1</v>
      </c>
      <c r="F130" s="177"/>
      <c r="G130" s="177"/>
      <c r="H130" s="177"/>
      <c r="I130" s="179"/>
      <c r="J130" s="177">
        <v>2</v>
      </c>
      <c r="K130" s="177"/>
      <c r="L130" s="177"/>
      <c r="M130" s="177"/>
      <c r="N130" s="177"/>
      <c r="O130" s="177">
        <v>3</v>
      </c>
      <c r="P130" s="177"/>
      <c r="Q130" s="177"/>
      <c r="R130" s="177"/>
      <c r="S130" s="179"/>
      <c r="T130" s="177">
        <v>4</v>
      </c>
      <c r="U130" s="177"/>
      <c r="V130" s="177"/>
      <c r="W130" s="177"/>
      <c r="X130" s="177"/>
      <c r="Y130" s="177">
        <v>5</v>
      </c>
      <c r="Z130" s="177"/>
      <c r="AA130" s="177"/>
      <c r="AB130" s="177"/>
      <c r="AC130" s="179"/>
      <c r="AD130" s="177">
        <v>6</v>
      </c>
      <c r="AE130" s="177"/>
      <c r="AF130" s="177"/>
      <c r="AG130" s="177"/>
      <c r="AH130" s="177"/>
      <c r="AI130" s="177">
        <v>7</v>
      </c>
      <c r="AJ130" s="177"/>
      <c r="AK130" s="177"/>
      <c r="AL130" s="177"/>
      <c r="AM130" s="179"/>
      <c r="AN130" s="177">
        <v>8</v>
      </c>
      <c r="AO130" s="177"/>
      <c r="AP130" s="177"/>
      <c r="AQ130" s="177"/>
      <c r="AR130" s="177"/>
      <c r="AS130" s="177">
        <v>9</v>
      </c>
      <c r="AT130" s="177"/>
      <c r="AU130" s="177"/>
      <c r="AV130" s="177"/>
      <c r="AW130" s="179"/>
      <c r="AX130" s="177">
        <v>10</v>
      </c>
      <c r="AY130" s="177"/>
      <c r="AZ130" s="177"/>
      <c r="BA130" s="177"/>
      <c r="BB130" s="177"/>
      <c r="BC130" s="177">
        <v>11</v>
      </c>
      <c r="BD130" s="177"/>
      <c r="BE130" s="177"/>
      <c r="BF130" s="177"/>
    </row>
    <row r="131" spans="4:58" ht="15.75">
      <c r="D131" s="177">
        <v>1</v>
      </c>
      <c r="E131" s="177">
        <v>2</v>
      </c>
      <c r="F131" s="177">
        <v>3</v>
      </c>
      <c r="G131" s="177">
        <v>4</v>
      </c>
      <c r="H131" s="177">
        <v>5</v>
      </c>
      <c r="I131" s="179">
        <v>6</v>
      </c>
      <c r="J131" s="179">
        <v>7</v>
      </c>
      <c r="K131" s="179">
        <v>8</v>
      </c>
      <c r="L131" s="179">
        <v>9</v>
      </c>
      <c r="M131" s="179">
        <v>10</v>
      </c>
      <c r="N131" s="177">
        <v>11</v>
      </c>
      <c r="O131" s="177">
        <v>12</v>
      </c>
      <c r="P131" s="177">
        <v>13</v>
      </c>
      <c r="Q131" s="177">
        <v>14</v>
      </c>
      <c r="R131" s="177">
        <v>15</v>
      </c>
      <c r="S131" s="179">
        <v>16</v>
      </c>
      <c r="T131" s="179">
        <v>17</v>
      </c>
      <c r="U131" s="179">
        <v>18</v>
      </c>
      <c r="V131" s="179">
        <v>19</v>
      </c>
      <c r="W131" s="179">
        <v>20</v>
      </c>
      <c r="X131" s="177">
        <v>21</v>
      </c>
      <c r="Y131" s="177">
        <v>22</v>
      </c>
      <c r="Z131" s="177">
        <v>23</v>
      </c>
      <c r="AA131" s="177">
        <v>24</v>
      </c>
      <c r="AB131" s="177">
        <v>25</v>
      </c>
      <c r="AC131" s="179">
        <v>26</v>
      </c>
      <c r="AD131" s="179">
        <v>27</v>
      </c>
      <c r="AE131" s="179">
        <v>28</v>
      </c>
      <c r="AF131" s="179">
        <v>29</v>
      </c>
      <c r="AG131" s="179">
        <v>30</v>
      </c>
      <c r="AH131" s="177">
        <v>31</v>
      </c>
      <c r="AI131" s="177">
        <v>32</v>
      </c>
      <c r="AJ131" s="177">
        <v>33</v>
      </c>
      <c r="AK131" s="177">
        <v>34</v>
      </c>
      <c r="AL131" s="177">
        <v>35</v>
      </c>
      <c r="AM131" s="179">
        <v>36</v>
      </c>
      <c r="AN131" s="179">
        <v>37</v>
      </c>
      <c r="AO131" s="179">
        <v>38</v>
      </c>
      <c r="AP131" s="179">
        <v>39</v>
      </c>
      <c r="AQ131" s="179">
        <v>40</v>
      </c>
      <c r="AR131" s="177">
        <v>41</v>
      </c>
      <c r="AS131" s="177">
        <v>42</v>
      </c>
      <c r="AT131" s="177">
        <v>43</v>
      </c>
      <c r="AU131" s="177">
        <v>44</v>
      </c>
      <c r="AV131" s="177">
        <v>45</v>
      </c>
      <c r="AW131" s="179">
        <v>46</v>
      </c>
      <c r="AX131" s="179">
        <v>47</v>
      </c>
      <c r="AY131" s="179">
        <v>48</v>
      </c>
      <c r="AZ131" s="179">
        <v>49</v>
      </c>
      <c r="BA131" s="179">
        <v>50</v>
      </c>
      <c r="BB131" s="177">
        <v>51</v>
      </c>
      <c r="BC131" s="177">
        <v>52</v>
      </c>
      <c r="BD131" s="177">
        <v>53</v>
      </c>
      <c r="BE131" s="177">
        <v>54</v>
      </c>
      <c r="BF131" s="177">
        <v>55</v>
      </c>
    </row>
    <row r="132" spans="4:58" ht="15.75">
      <c r="D132" s="189"/>
      <c r="E132" s="185"/>
      <c r="F132" s="185"/>
      <c r="G132" s="185"/>
      <c r="H132" s="185"/>
      <c r="I132" s="189"/>
      <c r="J132" s="185"/>
      <c r="K132" s="185"/>
      <c r="L132" s="185"/>
      <c r="M132" s="185"/>
      <c r="N132" s="189"/>
      <c r="O132" s="185"/>
      <c r="P132" s="185"/>
      <c r="Q132" s="185"/>
      <c r="R132" s="185"/>
      <c r="S132" s="189"/>
      <c r="T132" s="185"/>
      <c r="U132" s="185"/>
      <c r="V132" s="185"/>
      <c r="W132" s="185"/>
      <c r="X132" s="189"/>
      <c r="Y132" s="185"/>
      <c r="Z132" s="185"/>
      <c r="AA132" s="185"/>
      <c r="AB132" s="185"/>
      <c r="AC132" s="189"/>
      <c r="AD132" s="185"/>
      <c r="AE132" s="185"/>
      <c r="AF132" s="185"/>
      <c r="AG132" s="185"/>
      <c r="AH132" s="189"/>
      <c r="AI132" s="185"/>
      <c r="AJ132" s="185"/>
      <c r="AK132" s="185"/>
      <c r="AL132" s="185"/>
      <c r="AM132" s="189"/>
      <c r="AN132" s="185"/>
      <c r="AO132" s="185"/>
      <c r="AP132" s="185"/>
      <c r="AQ132" s="185"/>
      <c r="AR132" s="189"/>
      <c r="AS132" s="185"/>
      <c r="AT132" s="185"/>
      <c r="AU132" s="185"/>
      <c r="AV132" s="185"/>
      <c r="AW132" s="189"/>
      <c r="AX132" s="185"/>
      <c r="AY132" s="185"/>
      <c r="AZ132" s="185"/>
      <c r="BA132" s="185"/>
      <c r="BB132" s="189"/>
      <c r="BC132" s="185"/>
      <c r="BD132" s="185"/>
      <c r="BE132" s="185"/>
      <c r="BF132" s="185"/>
    </row>
    <row r="133" spans="4:58" ht="15.75">
      <c r="D133" s="177"/>
      <c r="E133" s="177"/>
      <c r="F133" s="177">
        <v>1</v>
      </c>
      <c r="G133" s="177"/>
      <c r="H133" s="177"/>
      <c r="I133" s="179"/>
      <c r="J133" s="177"/>
      <c r="K133" s="177">
        <v>2</v>
      </c>
      <c r="L133" s="177"/>
      <c r="M133" s="177"/>
      <c r="N133" s="177"/>
      <c r="O133" s="177"/>
      <c r="P133" s="177">
        <v>3</v>
      </c>
      <c r="Q133" s="177"/>
      <c r="R133" s="177"/>
      <c r="S133" s="179"/>
      <c r="T133" s="177"/>
      <c r="U133" s="177">
        <v>4</v>
      </c>
      <c r="V133" s="177"/>
      <c r="W133" s="177"/>
      <c r="X133" s="177"/>
      <c r="Y133" s="177"/>
      <c r="Z133" s="177">
        <v>5</v>
      </c>
      <c r="AA133" s="177"/>
      <c r="AB133" s="177"/>
      <c r="AC133" s="179"/>
      <c r="AD133" s="177"/>
      <c r="AE133" s="177">
        <v>6</v>
      </c>
      <c r="AF133" s="177"/>
      <c r="AG133" s="177"/>
      <c r="AH133" s="177"/>
      <c r="AI133" s="177"/>
      <c r="AJ133" s="177">
        <v>7</v>
      </c>
      <c r="AK133" s="177"/>
      <c r="AL133" s="177"/>
      <c r="AM133" s="179"/>
      <c r="AN133" s="177"/>
      <c r="AO133" s="177">
        <v>8</v>
      </c>
      <c r="AP133" s="177"/>
      <c r="AQ133" s="177"/>
      <c r="AR133" s="177"/>
      <c r="AS133" s="177"/>
      <c r="AT133" s="177">
        <v>9</v>
      </c>
      <c r="AU133" s="177"/>
      <c r="AV133" s="177"/>
      <c r="AW133" s="179"/>
      <c r="AX133" s="177"/>
      <c r="AY133" s="177">
        <v>10</v>
      </c>
      <c r="AZ133" s="177"/>
      <c r="BA133" s="177"/>
      <c r="BB133" s="177"/>
      <c r="BC133" s="177"/>
      <c r="BD133" s="177">
        <v>11</v>
      </c>
      <c r="BE133" s="177"/>
      <c r="BF133" s="177"/>
    </row>
    <row r="134" spans="4:58" ht="15.75">
      <c r="D134" s="177">
        <v>1</v>
      </c>
      <c r="E134" s="177">
        <v>2</v>
      </c>
      <c r="F134" s="177">
        <v>3</v>
      </c>
      <c r="G134" s="177">
        <v>4</v>
      </c>
      <c r="H134" s="177">
        <v>5</v>
      </c>
      <c r="I134" s="179">
        <v>6</v>
      </c>
      <c r="J134" s="179">
        <v>7</v>
      </c>
      <c r="K134" s="179">
        <v>8</v>
      </c>
      <c r="L134" s="179">
        <v>9</v>
      </c>
      <c r="M134" s="179">
        <v>10</v>
      </c>
      <c r="N134" s="177">
        <v>11</v>
      </c>
      <c r="O134" s="177">
        <v>12</v>
      </c>
      <c r="P134" s="177">
        <v>13</v>
      </c>
      <c r="Q134" s="177">
        <v>14</v>
      </c>
      <c r="R134" s="177">
        <v>15</v>
      </c>
      <c r="S134" s="179">
        <v>16</v>
      </c>
      <c r="T134" s="179">
        <v>17</v>
      </c>
      <c r="U134" s="179">
        <v>18</v>
      </c>
      <c r="V134" s="179">
        <v>19</v>
      </c>
      <c r="W134" s="179">
        <v>20</v>
      </c>
      <c r="X134" s="177">
        <v>21</v>
      </c>
      <c r="Y134" s="177">
        <v>22</v>
      </c>
      <c r="Z134" s="177">
        <v>23</v>
      </c>
      <c r="AA134" s="177">
        <v>24</v>
      </c>
      <c r="AB134" s="177">
        <v>25</v>
      </c>
      <c r="AC134" s="179">
        <v>26</v>
      </c>
      <c r="AD134" s="179">
        <v>27</v>
      </c>
      <c r="AE134" s="179">
        <v>28</v>
      </c>
      <c r="AF134" s="179">
        <v>29</v>
      </c>
      <c r="AG134" s="179">
        <v>30</v>
      </c>
      <c r="AH134" s="177">
        <v>31</v>
      </c>
      <c r="AI134" s="177">
        <v>32</v>
      </c>
      <c r="AJ134" s="177">
        <v>33</v>
      </c>
      <c r="AK134" s="177">
        <v>34</v>
      </c>
      <c r="AL134" s="177">
        <v>35</v>
      </c>
      <c r="AM134" s="179">
        <v>36</v>
      </c>
      <c r="AN134" s="179">
        <v>37</v>
      </c>
      <c r="AO134" s="179">
        <v>38</v>
      </c>
      <c r="AP134" s="179">
        <v>39</v>
      </c>
      <c r="AQ134" s="179">
        <v>40</v>
      </c>
      <c r="AR134" s="177">
        <v>41</v>
      </c>
      <c r="AS134" s="177">
        <v>42</v>
      </c>
      <c r="AT134" s="177">
        <v>43</v>
      </c>
      <c r="AU134" s="177">
        <v>44</v>
      </c>
      <c r="AV134" s="177">
        <v>45</v>
      </c>
      <c r="AW134" s="179">
        <v>46</v>
      </c>
      <c r="AX134" s="179">
        <v>47</v>
      </c>
      <c r="AY134" s="179">
        <v>48</v>
      </c>
      <c r="AZ134" s="179">
        <v>49</v>
      </c>
      <c r="BA134" s="179">
        <v>50</v>
      </c>
      <c r="BB134" s="177">
        <v>51</v>
      </c>
      <c r="BC134" s="177">
        <v>52</v>
      </c>
      <c r="BD134" s="177">
        <v>53</v>
      </c>
      <c r="BE134" s="177">
        <v>54</v>
      </c>
      <c r="BF134" s="177">
        <v>55</v>
      </c>
    </row>
    <row r="135" spans="4:58" ht="15.75">
      <c r="D135" s="189"/>
      <c r="E135" s="185"/>
      <c r="F135" s="185"/>
      <c r="G135" s="185"/>
      <c r="H135" s="185"/>
      <c r="I135" s="189"/>
      <c r="J135" s="185"/>
      <c r="K135" s="185"/>
      <c r="L135" s="185"/>
      <c r="M135" s="185"/>
      <c r="N135" s="189"/>
      <c r="O135" s="185"/>
      <c r="P135" s="185"/>
      <c r="Q135" s="185"/>
      <c r="R135" s="185"/>
      <c r="S135" s="189"/>
      <c r="T135" s="185"/>
      <c r="U135" s="185"/>
      <c r="V135" s="185"/>
      <c r="W135" s="185"/>
      <c r="X135" s="189"/>
      <c r="Y135" s="185"/>
      <c r="Z135" s="185"/>
      <c r="AA135" s="185"/>
      <c r="AB135" s="185"/>
      <c r="AC135" s="189"/>
      <c r="AD135" s="185"/>
      <c r="AE135" s="185"/>
      <c r="AF135" s="185"/>
      <c r="AG135" s="185"/>
      <c r="AH135" s="189"/>
      <c r="AI135" s="185"/>
      <c r="AJ135" s="185"/>
      <c r="AK135" s="185"/>
      <c r="AL135" s="185"/>
      <c r="AM135" s="189"/>
      <c r="AN135" s="185"/>
      <c r="AO135" s="185"/>
      <c r="AP135" s="185"/>
      <c r="AQ135" s="185"/>
      <c r="AR135" s="189"/>
      <c r="AS135" s="185"/>
      <c r="AT135" s="185"/>
      <c r="AU135" s="185"/>
      <c r="AV135" s="185"/>
      <c r="AW135" s="189"/>
      <c r="AX135" s="185"/>
      <c r="AY135" s="185"/>
      <c r="AZ135" s="185"/>
      <c r="BA135" s="185"/>
      <c r="BB135" s="189"/>
      <c r="BC135" s="185"/>
      <c r="BD135" s="185"/>
      <c r="BE135" s="185"/>
      <c r="BF135" s="185"/>
    </row>
    <row r="136" spans="4:58" ht="15.75">
      <c r="D136" s="177"/>
      <c r="E136" s="177"/>
      <c r="F136" s="177"/>
      <c r="G136" s="177">
        <v>1</v>
      </c>
      <c r="H136" s="177"/>
      <c r="I136" s="179"/>
      <c r="J136" s="177"/>
      <c r="K136" s="177"/>
      <c r="L136" s="177">
        <v>2</v>
      </c>
      <c r="M136" s="177"/>
      <c r="N136" s="177"/>
      <c r="O136" s="177"/>
      <c r="P136" s="177"/>
      <c r="Q136" s="177">
        <v>3</v>
      </c>
      <c r="R136" s="177"/>
      <c r="S136" s="179"/>
      <c r="T136" s="177"/>
      <c r="U136" s="177"/>
      <c r="V136" s="177">
        <v>4</v>
      </c>
      <c r="W136" s="177"/>
      <c r="X136" s="177"/>
      <c r="Y136" s="177"/>
      <c r="Z136" s="177"/>
      <c r="AA136" s="177">
        <v>5</v>
      </c>
      <c r="AB136" s="177"/>
      <c r="AC136" s="179"/>
      <c r="AD136" s="177"/>
      <c r="AE136" s="177"/>
      <c r="AF136" s="177">
        <v>6</v>
      </c>
      <c r="AG136" s="177"/>
      <c r="AH136" s="177"/>
      <c r="AI136" s="177"/>
      <c r="AJ136" s="177"/>
      <c r="AK136" s="177">
        <v>7</v>
      </c>
      <c r="AL136" s="177"/>
      <c r="AM136" s="179"/>
      <c r="AN136" s="177"/>
      <c r="AO136" s="177"/>
      <c r="AP136" s="177">
        <v>8</v>
      </c>
      <c r="AQ136" s="177"/>
      <c r="AR136" s="177"/>
      <c r="AS136" s="177"/>
      <c r="AT136" s="177"/>
      <c r="AU136" s="177">
        <v>9</v>
      </c>
      <c r="AV136" s="177"/>
      <c r="AW136" s="179"/>
      <c r="AX136" s="177"/>
      <c r="AY136" s="177"/>
      <c r="AZ136" s="177">
        <v>10</v>
      </c>
      <c r="BA136" s="177"/>
      <c r="BB136" s="177"/>
      <c r="BC136" s="177"/>
      <c r="BD136" s="177"/>
      <c r="BE136" s="177">
        <v>11</v>
      </c>
      <c r="BF136" s="177"/>
    </row>
    <row r="137" spans="4:58" ht="15.75">
      <c r="D137" s="177">
        <v>1</v>
      </c>
      <c r="E137" s="177">
        <v>2</v>
      </c>
      <c r="F137" s="177">
        <v>3</v>
      </c>
      <c r="G137" s="177">
        <v>4</v>
      </c>
      <c r="H137" s="177">
        <v>5</v>
      </c>
      <c r="I137" s="179">
        <v>6</v>
      </c>
      <c r="J137" s="179">
        <v>7</v>
      </c>
      <c r="K137" s="179">
        <v>8</v>
      </c>
      <c r="L137" s="179">
        <v>9</v>
      </c>
      <c r="M137" s="179">
        <v>10</v>
      </c>
      <c r="N137" s="177">
        <v>11</v>
      </c>
      <c r="O137" s="177">
        <v>12</v>
      </c>
      <c r="P137" s="177">
        <v>13</v>
      </c>
      <c r="Q137" s="177">
        <v>14</v>
      </c>
      <c r="R137" s="177">
        <v>15</v>
      </c>
      <c r="S137" s="179">
        <v>16</v>
      </c>
      <c r="T137" s="179">
        <v>17</v>
      </c>
      <c r="U137" s="179">
        <v>18</v>
      </c>
      <c r="V137" s="179">
        <v>19</v>
      </c>
      <c r="W137" s="179">
        <v>20</v>
      </c>
      <c r="X137" s="177">
        <v>21</v>
      </c>
      <c r="Y137" s="177">
        <v>22</v>
      </c>
      <c r="Z137" s="177">
        <v>23</v>
      </c>
      <c r="AA137" s="177">
        <v>24</v>
      </c>
      <c r="AB137" s="177">
        <v>25</v>
      </c>
      <c r="AC137" s="179">
        <v>26</v>
      </c>
      <c r="AD137" s="179">
        <v>27</v>
      </c>
      <c r="AE137" s="179">
        <v>28</v>
      </c>
      <c r="AF137" s="179">
        <v>29</v>
      </c>
      <c r="AG137" s="179">
        <v>30</v>
      </c>
      <c r="AH137" s="177">
        <v>31</v>
      </c>
      <c r="AI137" s="177">
        <v>32</v>
      </c>
      <c r="AJ137" s="177">
        <v>33</v>
      </c>
      <c r="AK137" s="177">
        <v>34</v>
      </c>
      <c r="AL137" s="177">
        <v>35</v>
      </c>
      <c r="AM137" s="179">
        <v>36</v>
      </c>
      <c r="AN137" s="179">
        <v>37</v>
      </c>
      <c r="AO137" s="179">
        <v>38</v>
      </c>
      <c r="AP137" s="179">
        <v>39</v>
      </c>
      <c r="AQ137" s="179">
        <v>40</v>
      </c>
      <c r="AR137" s="177">
        <v>41</v>
      </c>
      <c r="AS137" s="177">
        <v>42</v>
      </c>
      <c r="AT137" s="177">
        <v>43</v>
      </c>
      <c r="AU137" s="177">
        <v>44</v>
      </c>
      <c r="AV137" s="177">
        <v>45</v>
      </c>
      <c r="AW137" s="179">
        <v>46</v>
      </c>
      <c r="AX137" s="179">
        <v>47</v>
      </c>
      <c r="AY137" s="179">
        <v>48</v>
      </c>
      <c r="AZ137" s="179">
        <v>49</v>
      </c>
      <c r="BA137" s="179">
        <v>50</v>
      </c>
      <c r="BB137" s="177">
        <v>51</v>
      </c>
      <c r="BC137" s="177">
        <v>52</v>
      </c>
      <c r="BD137" s="177">
        <v>53</v>
      </c>
      <c r="BE137" s="177">
        <v>54</v>
      </c>
      <c r="BF137" s="177">
        <v>55</v>
      </c>
    </row>
    <row r="138" spans="4:58" ht="15.75">
      <c r="D138" s="189"/>
      <c r="E138" s="185"/>
      <c r="F138" s="185"/>
      <c r="G138" s="185"/>
      <c r="H138" s="185"/>
      <c r="I138" s="189"/>
      <c r="J138" s="185"/>
      <c r="K138" s="185"/>
      <c r="L138" s="185"/>
      <c r="M138" s="185"/>
      <c r="N138" s="189"/>
      <c r="O138" s="185"/>
      <c r="P138" s="185"/>
      <c r="Q138" s="185"/>
      <c r="R138" s="185"/>
      <c r="S138" s="189"/>
      <c r="T138" s="185"/>
      <c r="U138" s="185"/>
      <c r="V138" s="185"/>
      <c r="W138" s="185"/>
      <c r="X138" s="189"/>
      <c r="Y138" s="185"/>
      <c r="Z138" s="185"/>
      <c r="AA138" s="185"/>
      <c r="AB138" s="185"/>
      <c r="AC138" s="189"/>
      <c r="AD138" s="185"/>
      <c r="AE138" s="185"/>
      <c r="AF138" s="185"/>
      <c r="AG138" s="185"/>
      <c r="AH138" s="189"/>
      <c r="AI138" s="185"/>
      <c r="AJ138" s="185"/>
      <c r="AK138" s="185"/>
      <c r="AL138" s="185"/>
      <c r="AM138" s="189"/>
      <c r="AN138" s="185"/>
      <c r="AO138" s="185"/>
      <c r="AP138" s="185"/>
      <c r="AQ138" s="185"/>
      <c r="AR138" s="189"/>
      <c r="AS138" s="185"/>
      <c r="AT138" s="185"/>
      <c r="AU138" s="185"/>
      <c r="AV138" s="185"/>
      <c r="AW138" s="189"/>
      <c r="AX138" s="185"/>
      <c r="AY138" s="185"/>
      <c r="AZ138" s="185"/>
      <c r="BA138" s="185"/>
      <c r="BB138" s="189"/>
      <c r="BC138" s="185"/>
      <c r="BD138" s="185"/>
      <c r="BE138" s="185"/>
      <c r="BF138" s="185"/>
    </row>
    <row r="139" spans="4:58" ht="15.75">
      <c r="D139" s="177"/>
      <c r="E139" s="177"/>
      <c r="F139" s="177"/>
      <c r="G139" s="177"/>
      <c r="H139" s="177">
        <v>1</v>
      </c>
      <c r="I139" s="177"/>
      <c r="J139" s="177"/>
      <c r="K139" s="177"/>
      <c r="L139" s="177"/>
      <c r="M139" s="177">
        <v>2</v>
      </c>
      <c r="N139" s="177"/>
      <c r="O139" s="177"/>
      <c r="P139" s="177"/>
      <c r="Q139" s="177"/>
      <c r="R139" s="177">
        <v>3</v>
      </c>
      <c r="S139" s="177"/>
      <c r="T139" s="177"/>
      <c r="U139" s="177"/>
      <c r="V139" s="177"/>
      <c r="W139" s="177">
        <v>4</v>
      </c>
      <c r="X139" s="177"/>
      <c r="Y139" s="177"/>
      <c r="Z139" s="177"/>
      <c r="AA139" s="177"/>
      <c r="AB139" s="177">
        <v>5</v>
      </c>
      <c r="AC139" s="177"/>
      <c r="AD139" s="177"/>
      <c r="AE139" s="177"/>
      <c r="AF139" s="177"/>
      <c r="AG139" s="177">
        <v>6</v>
      </c>
      <c r="AH139" s="177"/>
      <c r="AI139" s="177"/>
      <c r="AJ139" s="177"/>
      <c r="AK139" s="177"/>
      <c r="AL139" s="177">
        <v>7</v>
      </c>
      <c r="AM139" s="177"/>
      <c r="AN139" s="177"/>
      <c r="AO139" s="177"/>
      <c r="AP139" s="177"/>
      <c r="AQ139" s="177">
        <v>8</v>
      </c>
      <c r="AR139" s="177"/>
      <c r="AS139" s="177"/>
      <c r="AT139" s="177"/>
      <c r="AU139" s="177"/>
      <c r="AV139" s="177">
        <v>9</v>
      </c>
      <c r="AW139" s="177"/>
      <c r="AX139" s="177"/>
      <c r="AY139" s="177"/>
      <c r="AZ139" s="177"/>
      <c r="BA139" s="177">
        <v>10</v>
      </c>
      <c r="BB139" s="177"/>
      <c r="BC139" s="177"/>
      <c r="BD139" s="177"/>
      <c r="BE139" s="177"/>
      <c r="BF139" s="177">
        <v>11</v>
      </c>
    </row>
    <row r="140" spans="4:58" ht="15.75">
      <c r="D140" s="177">
        <v>1</v>
      </c>
      <c r="E140" s="177">
        <v>2</v>
      </c>
      <c r="F140" s="177">
        <v>3</v>
      </c>
      <c r="G140" s="177">
        <v>4</v>
      </c>
      <c r="H140" s="177">
        <v>5</v>
      </c>
      <c r="I140" s="179">
        <v>6</v>
      </c>
      <c r="J140" s="179">
        <v>7</v>
      </c>
      <c r="K140" s="179">
        <v>8</v>
      </c>
      <c r="L140" s="179">
        <v>9</v>
      </c>
      <c r="M140" s="179">
        <v>10</v>
      </c>
      <c r="N140" s="177">
        <v>11</v>
      </c>
      <c r="O140" s="177">
        <v>12</v>
      </c>
      <c r="P140" s="177">
        <v>13</v>
      </c>
      <c r="Q140" s="177">
        <v>14</v>
      </c>
      <c r="R140" s="177">
        <v>15</v>
      </c>
      <c r="S140" s="179">
        <v>16</v>
      </c>
      <c r="T140" s="179">
        <v>17</v>
      </c>
      <c r="U140" s="179">
        <v>18</v>
      </c>
      <c r="V140" s="179">
        <v>19</v>
      </c>
      <c r="W140" s="179">
        <v>20</v>
      </c>
      <c r="X140" s="177">
        <v>21</v>
      </c>
      <c r="Y140" s="177">
        <v>22</v>
      </c>
      <c r="Z140" s="177">
        <v>23</v>
      </c>
      <c r="AA140" s="177">
        <v>24</v>
      </c>
      <c r="AB140" s="177">
        <v>25</v>
      </c>
      <c r="AC140" s="179">
        <v>26</v>
      </c>
      <c r="AD140" s="179">
        <v>27</v>
      </c>
      <c r="AE140" s="179">
        <v>28</v>
      </c>
      <c r="AF140" s="179">
        <v>29</v>
      </c>
      <c r="AG140" s="179">
        <v>30</v>
      </c>
      <c r="AH140" s="177">
        <v>31</v>
      </c>
      <c r="AI140" s="177">
        <v>32</v>
      </c>
      <c r="AJ140" s="177">
        <v>33</v>
      </c>
      <c r="AK140" s="177">
        <v>34</v>
      </c>
      <c r="AL140" s="177">
        <v>35</v>
      </c>
      <c r="AM140" s="179">
        <v>36</v>
      </c>
      <c r="AN140" s="179">
        <v>37</v>
      </c>
      <c r="AO140" s="179">
        <v>38</v>
      </c>
      <c r="AP140" s="179">
        <v>39</v>
      </c>
      <c r="AQ140" s="179">
        <v>40</v>
      </c>
      <c r="AR140" s="177">
        <v>41</v>
      </c>
      <c r="AS140" s="177">
        <v>42</v>
      </c>
      <c r="AT140" s="177">
        <v>43</v>
      </c>
      <c r="AU140" s="177">
        <v>44</v>
      </c>
      <c r="AV140" s="177">
        <v>45</v>
      </c>
      <c r="AW140" s="179">
        <v>46</v>
      </c>
      <c r="AX140" s="179">
        <v>47</v>
      </c>
      <c r="AY140" s="179">
        <v>48</v>
      </c>
      <c r="AZ140" s="179">
        <v>49</v>
      </c>
      <c r="BA140" s="179">
        <v>50</v>
      </c>
      <c r="BB140" s="177">
        <v>51</v>
      </c>
      <c r="BC140" s="177">
        <v>52</v>
      </c>
      <c r="BD140" s="177">
        <v>53</v>
      </c>
      <c r="BE140" s="177">
        <v>54</v>
      </c>
      <c r="BF140" s="177">
        <v>55</v>
      </c>
    </row>
    <row r="141" spans="4:58">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dimension ref="A4:T66"/>
  <sheetViews>
    <sheetView workbookViewId="0">
      <selection activeCell="R6" sqref="R6"/>
    </sheetView>
  </sheetViews>
  <sheetFormatPr defaultRowHeight="15"/>
  <cols>
    <col min="19" max="19" width="12" bestFit="1" customWidth="1"/>
  </cols>
  <sheetData>
    <row r="4" spans="2:20">
      <c r="B4" s="129"/>
      <c r="C4" s="129"/>
      <c r="D4" s="129"/>
      <c r="E4" s="129"/>
      <c r="F4" s="129"/>
      <c r="G4" s="129"/>
      <c r="H4" s="129"/>
      <c r="I4" s="129"/>
      <c r="J4" s="129"/>
      <c r="K4" s="129"/>
      <c r="L4" s="129"/>
      <c r="M4" s="129"/>
      <c r="N4" s="129"/>
      <c r="O4" s="129"/>
      <c r="P4" s="129"/>
      <c r="Q4" s="129"/>
    </row>
    <row r="5" spans="2:20">
      <c r="B5" s="129"/>
      <c r="C5" s="140"/>
      <c r="D5" s="140"/>
      <c r="E5" s="140"/>
      <c r="F5" s="140"/>
      <c r="G5" s="131" t="s">
        <v>282</v>
      </c>
      <c r="H5" s="141"/>
      <c r="I5" s="140"/>
      <c r="J5" s="140"/>
      <c r="K5" s="140"/>
      <c r="L5" s="140"/>
      <c r="M5" s="140"/>
      <c r="N5" s="140"/>
      <c r="O5" s="140"/>
      <c r="P5" s="129"/>
      <c r="Q5" s="129"/>
    </row>
    <row r="6" spans="2:20">
      <c r="B6" s="129"/>
      <c r="C6" s="142"/>
      <c r="D6" s="142"/>
      <c r="E6" s="142"/>
      <c r="F6" s="142"/>
      <c r="G6" s="142"/>
      <c r="H6" s="141"/>
      <c r="I6" s="140"/>
      <c r="J6" s="140"/>
      <c r="K6" s="140"/>
      <c r="L6" s="140"/>
      <c r="M6" s="140"/>
      <c r="N6" s="140"/>
      <c r="O6" s="140"/>
      <c r="P6" s="129"/>
      <c r="Q6" s="129"/>
    </row>
    <row r="7" spans="2:20" ht="26.25">
      <c r="B7" s="129"/>
      <c r="C7" s="132" t="s">
        <v>283</v>
      </c>
      <c r="D7" s="570" t="s">
        <v>284</v>
      </c>
      <c r="E7" s="571"/>
      <c r="F7" s="133"/>
      <c r="G7" s="133"/>
      <c r="H7" s="133"/>
      <c r="I7" s="133" t="s">
        <v>284</v>
      </c>
      <c r="J7" s="133"/>
      <c r="K7" s="133"/>
      <c r="L7" s="133"/>
      <c r="M7" s="133"/>
      <c r="N7" s="133"/>
      <c r="O7" s="143"/>
      <c r="P7" s="144"/>
      <c r="Q7" s="129"/>
    </row>
    <row r="8" spans="2:20">
      <c r="B8" s="129"/>
      <c r="C8" s="134" t="s">
        <v>285</v>
      </c>
      <c r="D8" s="145"/>
      <c r="E8" s="146"/>
      <c r="F8" s="147"/>
      <c r="G8" s="147"/>
      <c r="H8" s="147"/>
      <c r="I8" s="147"/>
      <c r="J8" s="147"/>
      <c r="K8" s="147"/>
      <c r="L8" s="147"/>
      <c r="M8" s="147"/>
      <c r="N8" s="147"/>
      <c r="O8" s="146"/>
      <c r="P8" s="148"/>
      <c r="Q8" s="129"/>
    </row>
    <row r="9" spans="2:20">
      <c r="B9" s="129"/>
      <c r="C9" s="149"/>
      <c r="D9" s="149">
        <v>6</v>
      </c>
      <c r="E9" s="150"/>
      <c r="F9" s="150">
        <v>6</v>
      </c>
      <c r="G9" s="150">
        <v>8</v>
      </c>
      <c r="H9" s="150"/>
      <c r="I9" s="149">
        <v>10</v>
      </c>
      <c r="J9" s="149"/>
      <c r="K9" s="149">
        <v>12</v>
      </c>
      <c r="L9" s="149"/>
      <c r="M9" s="149">
        <v>14</v>
      </c>
      <c r="N9" s="149"/>
      <c r="O9" s="149">
        <v>16</v>
      </c>
      <c r="P9" s="144"/>
      <c r="Q9" s="129"/>
      <c r="R9">
        <v>6</v>
      </c>
      <c r="S9">
        <f>(R9/10/2)^2*PI()</f>
        <v>0.28274333882308139</v>
      </c>
      <c r="T9" t="s">
        <v>570</v>
      </c>
    </row>
    <row r="10" spans="2:20">
      <c r="B10" s="129"/>
      <c r="C10" s="134"/>
      <c r="D10" s="150"/>
      <c r="E10" s="150"/>
      <c r="F10" s="150"/>
      <c r="G10" s="150"/>
      <c r="H10" s="150"/>
      <c r="I10" s="150"/>
      <c r="J10" s="150"/>
      <c r="K10" s="150"/>
      <c r="L10" s="150"/>
      <c r="M10" s="150"/>
      <c r="N10" s="150"/>
      <c r="O10" s="134"/>
      <c r="P10" s="148"/>
      <c r="Q10" s="129"/>
      <c r="R10">
        <v>8</v>
      </c>
      <c r="S10">
        <f t="shared" ref="S10:S17" si="0">(R10/10/2)^2*PI()</f>
        <v>0.50265482457436694</v>
      </c>
      <c r="T10" t="s">
        <v>570</v>
      </c>
    </row>
    <row r="11" spans="2:20">
      <c r="B11" s="129"/>
      <c r="C11" s="151">
        <v>10</v>
      </c>
      <c r="D11" s="152">
        <v>2.83</v>
      </c>
      <c r="E11" s="135" t="s">
        <v>286</v>
      </c>
      <c r="F11" s="152">
        <v>2.83</v>
      </c>
      <c r="G11" s="153">
        <v>5.03</v>
      </c>
      <c r="H11" s="136" t="s">
        <v>287</v>
      </c>
      <c r="I11" s="152">
        <v>7.85</v>
      </c>
      <c r="J11" s="135" t="s">
        <v>288</v>
      </c>
      <c r="K11" s="153">
        <v>11.31</v>
      </c>
      <c r="L11" s="136" t="s">
        <v>289</v>
      </c>
      <c r="M11" s="152">
        <v>15.39</v>
      </c>
      <c r="N11" s="135" t="s">
        <v>290</v>
      </c>
      <c r="O11" s="153">
        <v>20.100000000000001</v>
      </c>
      <c r="P11" s="137" t="s">
        <v>291</v>
      </c>
      <c r="Q11" s="129"/>
      <c r="R11">
        <v>10</v>
      </c>
      <c r="S11">
        <f t="shared" si="0"/>
        <v>0.78539816339744828</v>
      </c>
      <c r="T11" t="s">
        <v>570</v>
      </c>
    </row>
    <row r="12" spans="2:20">
      <c r="B12" s="129"/>
      <c r="C12" s="151">
        <v>11</v>
      </c>
      <c r="D12" s="152">
        <v>2.57</v>
      </c>
      <c r="E12" s="135" t="s">
        <v>292</v>
      </c>
      <c r="F12" s="152">
        <v>2.57</v>
      </c>
      <c r="G12" s="153">
        <v>4.57</v>
      </c>
      <c r="H12" s="136" t="s">
        <v>293</v>
      </c>
      <c r="I12" s="152">
        <v>7.14</v>
      </c>
      <c r="J12" s="135" t="s">
        <v>294</v>
      </c>
      <c r="K12" s="153">
        <v>10.28</v>
      </c>
      <c r="L12" s="136" t="s">
        <v>295</v>
      </c>
      <c r="M12" s="152">
        <v>13.99</v>
      </c>
      <c r="N12" s="135" t="s">
        <v>296</v>
      </c>
      <c r="O12" s="153">
        <v>18.28</v>
      </c>
      <c r="P12" s="138" t="s">
        <v>297</v>
      </c>
      <c r="Q12" s="129"/>
      <c r="R12">
        <v>12</v>
      </c>
      <c r="S12">
        <f t="shared" si="0"/>
        <v>1.1309733552923256</v>
      </c>
      <c r="T12" t="s">
        <v>570</v>
      </c>
    </row>
    <row r="13" spans="2:20">
      <c r="B13" s="129"/>
      <c r="C13" s="151">
        <v>12</v>
      </c>
      <c r="D13" s="152">
        <v>2.36</v>
      </c>
      <c r="E13" s="135" t="s">
        <v>298</v>
      </c>
      <c r="F13" s="152">
        <v>2.36</v>
      </c>
      <c r="G13" s="153">
        <v>4.1900000000000004</v>
      </c>
      <c r="H13" s="136" t="s">
        <v>299</v>
      </c>
      <c r="I13" s="152">
        <v>6.54</v>
      </c>
      <c r="J13" s="135" t="s">
        <v>300</v>
      </c>
      <c r="K13" s="153">
        <v>9.42</v>
      </c>
      <c r="L13" s="136" t="s">
        <v>301</v>
      </c>
      <c r="M13" s="152">
        <v>12.83</v>
      </c>
      <c r="N13" s="135" t="s">
        <v>302</v>
      </c>
      <c r="O13" s="153">
        <v>16.760000000000002</v>
      </c>
      <c r="P13" s="138" t="s">
        <v>303</v>
      </c>
      <c r="Q13" s="129"/>
      <c r="R13">
        <v>14</v>
      </c>
      <c r="S13">
        <f t="shared" si="0"/>
        <v>1.5393804002589984</v>
      </c>
      <c r="T13" t="s">
        <v>570</v>
      </c>
    </row>
    <row r="14" spans="2:20">
      <c r="B14" s="129"/>
      <c r="C14" s="151">
        <v>13</v>
      </c>
      <c r="D14" s="152">
        <v>2.1800000000000002</v>
      </c>
      <c r="E14" s="135" t="s">
        <v>304</v>
      </c>
      <c r="F14" s="152">
        <v>2.1800000000000002</v>
      </c>
      <c r="G14" s="153">
        <v>3.87</v>
      </c>
      <c r="H14" s="136" t="s">
        <v>305</v>
      </c>
      <c r="I14" s="152">
        <v>6.04</v>
      </c>
      <c r="J14" s="135" t="s">
        <v>306</v>
      </c>
      <c r="K14" s="153">
        <v>8.6999999999999993</v>
      </c>
      <c r="L14" s="136" t="s">
        <v>307</v>
      </c>
      <c r="M14" s="152">
        <v>11.84</v>
      </c>
      <c r="N14" s="135" t="s">
        <v>308</v>
      </c>
      <c r="O14" s="153">
        <v>15.47</v>
      </c>
      <c r="P14" s="138" t="s">
        <v>309</v>
      </c>
      <c r="Q14" s="129"/>
      <c r="R14">
        <v>16</v>
      </c>
      <c r="S14">
        <f t="shared" si="0"/>
        <v>2.0106192982974678</v>
      </c>
      <c r="T14" t="s">
        <v>570</v>
      </c>
    </row>
    <row r="15" spans="2:20">
      <c r="B15" s="129"/>
      <c r="C15" s="151">
        <v>14</v>
      </c>
      <c r="D15" s="152">
        <v>2.02</v>
      </c>
      <c r="E15" s="135" t="s">
        <v>310</v>
      </c>
      <c r="F15" s="152">
        <v>2.02</v>
      </c>
      <c r="G15" s="153">
        <v>3.59</v>
      </c>
      <c r="H15" s="136" t="s">
        <v>311</v>
      </c>
      <c r="I15" s="152">
        <v>5.61</v>
      </c>
      <c r="J15" s="135" t="s">
        <v>312</v>
      </c>
      <c r="K15" s="153">
        <v>8.08</v>
      </c>
      <c r="L15" s="136" t="s">
        <v>313</v>
      </c>
      <c r="M15" s="152">
        <v>11</v>
      </c>
      <c r="N15" s="135" t="s">
        <v>314</v>
      </c>
      <c r="O15" s="153">
        <v>14.36</v>
      </c>
      <c r="P15" s="138" t="s">
        <v>315</v>
      </c>
      <c r="Q15" s="129"/>
      <c r="R15">
        <v>18</v>
      </c>
      <c r="S15">
        <f t="shared" si="0"/>
        <v>2.5446900494077327</v>
      </c>
      <c r="T15" t="s">
        <v>570</v>
      </c>
    </row>
    <row r="16" spans="2:20">
      <c r="B16" s="129"/>
      <c r="C16" s="151">
        <v>15</v>
      </c>
      <c r="D16" s="152">
        <v>1.89</v>
      </c>
      <c r="E16" s="135" t="s">
        <v>280</v>
      </c>
      <c r="F16" s="152">
        <v>1.89</v>
      </c>
      <c r="G16" s="153">
        <v>3.35</v>
      </c>
      <c r="H16" s="136" t="s">
        <v>316</v>
      </c>
      <c r="I16" s="152">
        <v>5.23</v>
      </c>
      <c r="J16" s="135" t="s">
        <v>317</v>
      </c>
      <c r="K16" s="153">
        <v>7.54</v>
      </c>
      <c r="L16" s="136" t="s">
        <v>318</v>
      </c>
      <c r="M16" s="152">
        <v>10.26</v>
      </c>
      <c r="N16" s="135" t="s">
        <v>319</v>
      </c>
      <c r="O16" s="153">
        <v>13.41</v>
      </c>
      <c r="P16" s="138" t="s">
        <v>320</v>
      </c>
      <c r="Q16" s="129"/>
      <c r="R16">
        <v>20</v>
      </c>
      <c r="S16">
        <f t="shared" si="0"/>
        <v>3.1415926535897931</v>
      </c>
      <c r="T16" t="s">
        <v>570</v>
      </c>
    </row>
    <row r="17" spans="1:20">
      <c r="A17" s="127"/>
      <c r="B17" s="129"/>
      <c r="C17" s="151">
        <v>20</v>
      </c>
      <c r="D17" s="152">
        <v>1.41</v>
      </c>
      <c r="E17" s="135" t="s">
        <v>278</v>
      </c>
      <c r="F17" s="152">
        <v>1.41</v>
      </c>
      <c r="G17" s="153">
        <v>2.5099999999999998</v>
      </c>
      <c r="H17" s="136" t="s">
        <v>321</v>
      </c>
      <c r="I17" s="152">
        <v>3.93</v>
      </c>
      <c r="J17" s="135" t="s">
        <v>322</v>
      </c>
      <c r="K17" s="153">
        <v>5.65</v>
      </c>
      <c r="L17" s="136" t="s">
        <v>323</v>
      </c>
      <c r="M17" s="152">
        <v>7.69</v>
      </c>
      <c r="N17" s="135" t="s">
        <v>324</v>
      </c>
      <c r="O17" s="153">
        <v>10.050000000000001</v>
      </c>
      <c r="P17" s="138" t="s">
        <v>325</v>
      </c>
      <c r="Q17" s="129"/>
      <c r="R17">
        <v>22</v>
      </c>
      <c r="S17">
        <f t="shared" si="0"/>
        <v>3.8013271108436504</v>
      </c>
      <c r="T17" t="s">
        <v>570</v>
      </c>
    </row>
    <row r="18" spans="1:20">
      <c r="A18" s="127"/>
      <c r="B18" s="129"/>
      <c r="C18" s="154"/>
      <c r="D18" s="155"/>
      <c r="E18" s="156"/>
      <c r="F18" s="155"/>
      <c r="G18" s="140"/>
      <c r="H18" s="140"/>
      <c r="I18" s="140"/>
      <c r="J18" s="140"/>
      <c r="K18" s="140"/>
      <c r="L18" s="140"/>
      <c r="M18" s="140"/>
      <c r="N18" s="140"/>
      <c r="O18" s="140"/>
      <c r="P18" s="129"/>
      <c r="Q18" s="129"/>
    </row>
    <row r="19" spans="1:20">
      <c r="A19" s="127"/>
      <c r="B19" s="129"/>
      <c r="C19" s="157"/>
      <c r="D19" s="158">
        <v>8</v>
      </c>
      <c r="E19" s="159"/>
      <c r="F19" s="158">
        <v>8</v>
      </c>
      <c r="G19" s="140"/>
      <c r="H19" s="140"/>
      <c r="I19" s="140"/>
      <c r="J19" s="140"/>
      <c r="K19" s="140"/>
      <c r="L19" s="140"/>
      <c r="M19" s="140"/>
      <c r="N19" s="140"/>
      <c r="O19" s="140"/>
      <c r="P19" s="129"/>
      <c r="Q19" s="129"/>
    </row>
    <row r="20" spans="1:20">
      <c r="A20" s="128">
        <v>5.65</v>
      </c>
      <c r="B20" s="129" t="s">
        <v>323</v>
      </c>
      <c r="C20" s="151">
        <v>10</v>
      </c>
      <c r="D20" s="153">
        <v>5.03</v>
      </c>
      <c r="E20" s="136" t="s">
        <v>287</v>
      </c>
      <c r="F20" s="153">
        <v>5.03</v>
      </c>
      <c r="G20" s="140"/>
      <c r="H20" s="140"/>
      <c r="I20" s="140"/>
      <c r="J20" s="140"/>
      <c r="K20" s="140"/>
      <c r="L20" s="140"/>
      <c r="M20" s="140"/>
      <c r="N20" s="140"/>
      <c r="O20" s="140"/>
      <c r="P20" s="129"/>
      <c r="Q20" s="129"/>
    </row>
    <row r="21" spans="1:20">
      <c r="A21" s="127"/>
      <c r="B21" s="129"/>
      <c r="C21" s="151">
        <v>11</v>
      </c>
      <c r="D21" s="153">
        <v>4.57</v>
      </c>
      <c r="E21" s="136" t="s">
        <v>293</v>
      </c>
      <c r="F21" s="153">
        <v>4.57</v>
      </c>
      <c r="G21" s="140"/>
      <c r="H21" s="140"/>
      <c r="I21" s="140"/>
      <c r="J21" s="140"/>
      <c r="K21" s="140"/>
      <c r="L21" s="140"/>
      <c r="M21" s="140"/>
      <c r="N21" s="140"/>
      <c r="O21" s="140"/>
      <c r="P21" s="129"/>
      <c r="Q21" s="129"/>
    </row>
    <row r="22" spans="1:20">
      <c r="A22" s="127"/>
      <c r="B22" s="129"/>
      <c r="C22" s="151">
        <v>12</v>
      </c>
      <c r="D22" s="153">
        <v>4.1900000000000004</v>
      </c>
      <c r="E22" s="136" t="s">
        <v>299</v>
      </c>
      <c r="F22" s="153">
        <v>4.1900000000000004</v>
      </c>
      <c r="G22" s="140"/>
      <c r="H22" s="140"/>
      <c r="I22" s="140"/>
      <c r="J22" s="140"/>
      <c r="K22" s="140"/>
      <c r="L22" s="140"/>
      <c r="M22" s="140"/>
      <c r="N22" s="140"/>
      <c r="O22" s="140"/>
      <c r="P22" s="129"/>
      <c r="Q22" s="129"/>
    </row>
    <row r="23" spans="1:20">
      <c r="A23" s="127"/>
      <c r="B23" s="129"/>
      <c r="C23" s="151">
        <v>13</v>
      </c>
      <c r="D23" s="153">
        <v>3.87</v>
      </c>
      <c r="E23" s="136" t="s">
        <v>305</v>
      </c>
      <c r="F23" s="153">
        <v>3.87</v>
      </c>
      <c r="G23" s="140"/>
      <c r="H23" s="140"/>
      <c r="I23" s="140"/>
      <c r="J23" s="140"/>
      <c r="K23" s="140"/>
      <c r="L23" s="140"/>
      <c r="M23" s="140"/>
      <c r="N23" s="140"/>
      <c r="O23" s="140"/>
      <c r="P23" s="129"/>
      <c r="Q23" s="129"/>
    </row>
    <row r="24" spans="1:20">
      <c r="A24" s="127"/>
      <c r="B24" s="129"/>
      <c r="C24" s="151">
        <v>14</v>
      </c>
      <c r="D24" s="153">
        <v>3.59</v>
      </c>
      <c r="E24" s="136" t="s">
        <v>311</v>
      </c>
      <c r="F24" s="153">
        <v>3.59</v>
      </c>
      <c r="G24" s="140"/>
      <c r="H24" s="140"/>
      <c r="I24" s="140"/>
      <c r="J24" s="140"/>
      <c r="K24" s="140"/>
      <c r="L24" s="140"/>
      <c r="M24" s="140"/>
      <c r="N24" s="140"/>
      <c r="O24" s="140"/>
      <c r="P24" s="129"/>
      <c r="Q24" s="129"/>
    </row>
    <row r="25" spans="1:20">
      <c r="A25" s="127"/>
      <c r="B25" s="129"/>
      <c r="C25" s="151">
        <v>15</v>
      </c>
      <c r="D25" s="153">
        <v>3.35</v>
      </c>
      <c r="E25" s="136" t="s">
        <v>316</v>
      </c>
      <c r="F25" s="153">
        <v>3.35</v>
      </c>
      <c r="G25" s="140"/>
      <c r="H25" s="140"/>
      <c r="I25" s="140"/>
      <c r="J25" s="140"/>
      <c r="K25" s="140"/>
      <c r="L25" s="140"/>
      <c r="M25" s="140"/>
      <c r="N25" s="140"/>
      <c r="O25" s="140"/>
      <c r="P25" s="129"/>
      <c r="Q25" s="129"/>
    </row>
    <row r="26" spans="1:20">
      <c r="A26" s="127"/>
      <c r="B26" s="129"/>
      <c r="C26" s="151">
        <v>20</v>
      </c>
      <c r="D26" s="153">
        <v>2.5099999999999998</v>
      </c>
      <c r="E26" s="136" t="s">
        <v>321</v>
      </c>
      <c r="F26" s="153">
        <v>2.5099999999999998</v>
      </c>
      <c r="G26" s="140"/>
      <c r="H26" s="140"/>
      <c r="I26" s="140"/>
      <c r="J26" s="140"/>
      <c r="K26" s="140"/>
      <c r="L26" s="140"/>
      <c r="M26" s="140"/>
      <c r="N26" s="140"/>
      <c r="O26" s="140"/>
      <c r="P26" s="129"/>
      <c r="Q26" s="129"/>
    </row>
    <row r="27" spans="1:20">
      <c r="A27" s="127"/>
      <c r="B27" s="129"/>
      <c r="C27" s="154"/>
      <c r="D27" s="155"/>
      <c r="E27" s="156"/>
      <c r="F27" s="155"/>
      <c r="G27" s="140"/>
      <c r="H27" s="140"/>
      <c r="I27" s="140"/>
      <c r="J27" s="140"/>
      <c r="K27" s="140"/>
      <c r="L27" s="140"/>
      <c r="M27" s="140"/>
      <c r="N27" s="140"/>
      <c r="O27" s="140"/>
      <c r="P27" s="129"/>
      <c r="Q27" s="129"/>
    </row>
    <row r="28" spans="1:20">
      <c r="A28" s="127"/>
      <c r="B28" s="129"/>
      <c r="C28" s="157"/>
      <c r="D28" s="158">
        <v>10</v>
      </c>
      <c r="E28" s="159"/>
      <c r="F28" s="158">
        <v>10</v>
      </c>
      <c r="G28" s="140"/>
      <c r="H28" s="140"/>
      <c r="I28" s="140"/>
      <c r="J28" s="140"/>
      <c r="K28" s="140"/>
      <c r="L28" s="140"/>
      <c r="M28" s="140"/>
      <c r="N28" s="140"/>
      <c r="O28" s="140"/>
      <c r="P28" s="129"/>
      <c r="Q28" s="129"/>
    </row>
    <row r="29" spans="1:20">
      <c r="A29" s="127"/>
      <c r="B29" s="129"/>
      <c r="C29" s="151">
        <v>10</v>
      </c>
      <c r="D29" s="152">
        <v>7.85</v>
      </c>
      <c r="E29" s="135" t="s">
        <v>288</v>
      </c>
      <c r="F29" s="152">
        <v>7.85</v>
      </c>
      <c r="G29" s="140"/>
      <c r="H29" s="140"/>
      <c r="I29" s="140"/>
      <c r="J29" s="140"/>
      <c r="K29" s="140"/>
      <c r="L29" s="140"/>
      <c r="M29" s="140"/>
      <c r="N29" s="140"/>
      <c r="O29" s="140"/>
      <c r="P29" s="129"/>
      <c r="Q29" s="129"/>
    </row>
    <row r="30" spans="1:20">
      <c r="A30" s="127"/>
      <c r="B30" s="129"/>
      <c r="C30" s="151">
        <v>11</v>
      </c>
      <c r="D30" s="152">
        <v>7.14</v>
      </c>
      <c r="E30" s="135" t="s">
        <v>294</v>
      </c>
      <c r="F30" s="152">
        <v>7.14</v>
      </c>
      <c r="G30" s="140"/>
      <c r="H30" s="140"/>
      <c r="I30" s="140"/>
      <c r="J30" s="140"/>
      <c r="K30" s="140"/>
      <c r="L30" s="140"/>
      <c r="M30" s="140"/>
      <c r="N30" s="140"/>
      <c r="O30" s="140"/>
      <c r="P30" s="129"/>
      <c r="Q30" s="129"/>
    </row>
    <row r="31" spans="1:20">
      <c r="A31" s="127"/>
      <c r="B31" s="129"/>
      <c r="C31" s="151">
        <v>12</v>
      </c>
      <c r="D31" s="152">
        <v>6.54</v>
      </c>
      <c r="E31" s="135" t="s">
        <v>300</v>
      </c>
      <c r="F31" s="152">
        <v>6.54</v>
      </c>
      <c r="G31" s="140"/>
      <c r="H31" s="140"/>
      <c r="I31" s="140"/>
      <c r="J31" s="140"/>
      <c r="K31" s="140"/>
      <c r="L31" s="140"/>
      <c r="M31" s="140"/>
      <c r="N31" s="140"/>
      <c r="O31" s="140"/>
      <c r="P31" s="129"/>
      <c r="Q31" s="129"/>
    </row>
    <row r="32" spans="1:20">
      <c r="A32" s="127"/>
      <c r="B32" s="129"/>
      <c r="C32" s="151">
        <v>13</v>
      </c>
      <c r="D32" s="152">
        <v>6.04</v>
      </c>
      <c r="E32" s="135" t="s">
        <v>306</v>
      </c>
      <c r="F32" s="152">
        <v>6.04</v>
      </c>
      <c r="G32" s="140"/>
      <c r="H32" s="140"/>
      <c r="I32" s="140"/>
      <c r="J32" s="140"/>
      <c r="K32" s="140"/>
      <c r="L32" s="140"/>
      <c r="M32" s="140"/>
      <c r="N32" s="140"/>
      <c r="O32" s="140"/>
      <c r="P32" s="129"/>
      <c r="Q32" s="129"/>
    </row>
    <row r="33" spans="2:17">
      <c r="B33" s="129"/>
      <c r="C33" s="151">
        <v>14</v>
      </c>
      <c r="D33" s="152">
        <v>5.61</v>
      </c>
      <c r="E33" s="135" t="s">
        <v>312</v>
      </c>
      <c r="F33" s="152">
        <v>5.61</v>
      </c>
      <c r="G33" s="140"/>
      <c r="H33" s="140"/>
      <c r="I33" s="140"/>
      <c r="J33" s="140"/>
      <c r="K33" s="140"/>
      <c r="L33" s="140"/>
      <c r="M33" s="140"/>
      <c r="N33" s="140"/>
      <c r="O33" s="140"/>
      <c r="P33" s="129"/>
      <c r="Q33" s="129"/>
    </row>
    <row r="34" spans="2:17">
      <c r="B34" s="129"/>
      <c r="C34" s="151">
        <v>15</v>
      </c>
      <c r="D34" s="152">
        <v>5.23</v>
      </c>
      <c r="E34" s="135" t="s">
        <v>317</v>
      </c>
      <c r="F34" s="152">
        <v>5.23</v>
      </c>
      <c r="G34" s="140"/>
      <c r="H34" s="140"/>
      <c r="I34" s="140"/>
      <c r="J34" s="140"/>
      <c r="K34" s="140"/>
      <c r="L34" s="140"/>
      <c r="M34" s="140"/>
      <c r="N34" s="140"/>
      <c r="O34" s="140"/>
      <c r="P34" s="129"/>
      <c r="Q34" s="129"/>
    </row>
    <row r="35" spans="2:17">
      <c r="B35" s="129"/>
      <c r="C35" s="151">
        <v>20</v>
      </c>
      <c r="D35" s="152">
        <v>3.93</v>
      </c>
      <c r="E35" s="135" t="s">
        <v>322</v>
      </c>
      <c r="F35" s="152">
        <v>3.93</v>
      </c>
      <c r="G35" s="140"/>
      <c r="H35" s="140"/>
      <c r="I35" s="140"/>
      <c r="J35" s="140"/>
      <c r="K35" s="140"/>
      <c r="L35" s="140"/>
      <c r="M35" s="140"/>
      <c r="N35" s="140"/>
      <c r="O35" s="140"/>
      <c r="P35" s="129"/>
      <c r="Q35" s="129"/>
    </row>
    <row r="36" spans="2:17">
      <c r="B36" s="129"/>
      <c r="C36" s="154"/>
      <c r="D36" s="155"/>
      <c r="E36" s="156"/>
      <c r="F36" s="155"/>
      <c r="G36" s="140"/>
      <c r="H36" s="140"/>
      <c r="I36" s="140"/>
      <c r="J36" s="140"/>
      <c r="K36" s="140"/>
      <c r="L36" s="140"/>
      <c r="M36" s="140"/>
      <c r="N36" s="140"/>
      <c r="O36" s="140"/>
      <c r="P36" s="129"/>
      <c r="Q36" s="129"/>
    </row>
    <row r="37" spans="2:17">
      <c r="B37" s="129"/>
      <c r="C37" s="157"/>
      <c r="D37" s="158">
        <v>12</v>
      </c>
      <c r="E37" s="159"/>
      <c r="F37" s="158">
        <v>12</v>
      </c>
      <c r="G37" s="140"/>
      <c r="H37" s="140"/>
      <c r="I37" s="140"/>
      <c r="J37" s="140"/>
      <c r="K37" s="140"/>
      <c r="L37" s="140"/>
      <c r="M37" s="140"/>
      <c r="N37" s="140"/>
      <c r="O37" s="140"/>
      <c r="P37" s="129"/>
      <c r="Q37" s="129"/>
    </row>
    <row r="38" spans="2:17">
      <c r="B38" s="129"/>
      <c r="C38" s="151">
        <v>10</v>
      </c>
      <c r="D38" s="153">
        <v>11.31</v>
      </c>
      <c r="E38" s="136" t="s">
        <v>289</v>
      </c>
      <c r="F38" s="153">
        <v>11.31</v>
      </c>
      <c r="G38" s="140"/>
      <c r="H38" s="140"/>
      <c r="I38" s="140"/>
      <c r="J38" s="140"/>
      <c r="K38" s="140"/>
      <c r="L38" s="140"/>
      <c r="M38" s="140"/>
      <c r="N38" s="140"/>
      <c r="O38" s="140"/>
      <c r="P38" s="129"/>
      <c r="Q38" s="129"/>
    </row>
    <row r="39" spans="2:17">
      <c r="B39" s="129"/>
      <c r="C39" s="151">
        <v>11</v>
      </c>
      <c r="D39" s="153">
        <v>10.28</v>
      </c>
      <c r="E39" s="136" t="s">
        <v>295</v>
      </c>
      <c r="F39" s="153">
        <v>10.28</v>
      </c>
      <c r="G39" s="140"/>
      <c r="H39" s="140"/>
      <c r="I39" s="140"/>
      <c r="J39" s="140"/>
      <c r="K39" s="140"/>
      <c r="L39" s="140"/>
      <c r="M39" s="140"/>
      <c r="N39" s="140"/>
      <c r="O39" s="140"/>
      <c r="P39" s="129"/>
      <c r="Q39" s="129"/>
    </row>
    <row r="40" spans="2:17">
      <c r="B40" s="129"/>
      <c r="C40" s="151">
        <v>12</v>
      </c>
      <c r="D40" s="153">
        <v>9.42</v>
      </c>
      <c r="E40" s="136" t="s">
        <v>301</v>
      </c>
      <c r="F40" s="153">
        <v>9.42</v>
      </c>
      <c r="G40" s="140"/>
      <c r="H40" s="140"/>
      <c r="I40" s="140"/>
      <c r="J40" s="140"/>
      <c r="K40" s="140"/>
      <c r="L40" s="140"/>
      <c r="M40" s="140"/>
      <c r="N40" s="140"/>
      <c r="O40" s="140"/>
      <c r="P40" s="129"/>
      <c r="Q40" s="129"/>
    </row>
    <row r="41" spans="2:17">
      <c r="B41" s="129"/>
      <c r="C41" s="151">
        <v>13</v>
      </c>
      <c r="D41" s="153">
        <v>8.6999999999999993</v>
      </c>
      <c r="E41" s="136" t="s">
        <v>307</v>
      </c>
      <c r="F41" s="153">
        <v>8.6999999999999993</v>
      </c>
      <c r="G41" s="140"/>
      <c r="H41" s="140"/>
      <c r="I41" s="140"/>
      <c r="J41" s="140"/>
      <c r="K41" s="140"/>
      <c r="L41" s="140"/>
      <c r="M41" s="140"/>
      <c r="N41" s="140"/>
      <c r="O41" s="140"/>
      <c r="P41" s="129"/>
      <c r="Q41" s="129"/>
    </row>
    <row r="42" spans="2:17">
      <c r="B42" s="129"/>
      <c r="C42" s="151">
        <v>14</v>
      </c>
      <c r="D42" s="153">
        <v>8.08</v>
      </c>
      <c r="E42" s="136" t="s">
        <v>313</v>
      </c>
      <c r="F42" s="153">
        <v>8.08</v>
      </c>
      <c r="G42" s="140"/>
      <c r="H42" s="140"/>
      <c r="I42" s="140"/>
      <c r="J42" s="140"/>
      <c r="K42" s="140"/>
      <c r="L42" s="140"/>
      <c r="M42" s="140"/>
      <c r="N42" s="140"/>
      <c r="O42" s="140"/>
      <c r="P42" s="129"/>
      <c r="Q42" s="129"/>
    </row>
    <row r="43" spans="2:17">
      <c r="B43" s="129"/>
      <c r="C43" s="151">
        <v>15</v>
      </c>
      <c r="D43" s="153">
        <v>7.54</v>
      </c>
      <c r="E43" s="136" t="s">
        <v>318</v>
      </c>
      <c r="F43" s="153">
        <v>7.54</v>
      </c>
      <c r="G43" s="140"/>
      <c r="H43" s="140"/>
      <c r="I43" s="140"/>
      <c r="J43" s="140"/>
      <c r="K43" s="140"/>
      <c r="L43" s="140"/>
      <c r="M43" s="140"/>
      <c r="N43" s="140"/>
      <c r="O43" s="140"/>
      <c r="P43" s="129"/>
      <c r="Q43" s="129"/>
    </row>
    <row r="44" spans="2:17">
      <c r="B44" s="129"/>
      <c r="C44" s="151">
        <v>20</v>
      </c>
      <c r="D44" s="153">
        <v>5.65</v>
      </c>
      <c r="E44" s="136" t="s">
        <v>323</v>
      </c>
      <c r="F44" s="153">
        <v>5.65</v>
      </c>
      <c r="G44" s="140"/>
      <c r="H44" s="140"/>
      <c r="I44" s="140"/>
      <c r="J44" s="140"/>
      <c r="K44" s="140"/>
      <c r="L44" s="140"/>
      <c r="M44" s="140"/>
      <c r="N44" s="140"/>
      <c r="O44" s="140"/>
      <c r="P44" s="129"/>
      <c r="Q44" s="129"/>
    </row>
    <row r="45" spans="2:17">
      <c r="B45" s="129"/>
      <c r="C45" s="154"/>
      <c r="D45" s="155"/>
      <c r="E45" s="156"/>
      <c r="F45" s="155"/>
      <c r="G45" s="140"/>
      <c r="H45" s="140"/>
      <c r="I45" s="140"/>
      <c r="J45" s="140"/>
      <c r="K45" s="140"/>
      <c r="L45" s="140"/>
      <c r="M45" s="140"/>
      <c r="N45" s="140"/>
      <c r="O45" s="140"/>
      <c r="P45" s="129"/>
      <c r="Q45" s="129"/>
    </row>
    <row r="46" spans="2:17">
      <c r="B46" s="129"/>
      <c r="C46" s="157"/>
      <c r="D46" s="158">
        <v>14</v>
      </c>
      <c r="E46" s="159"/>
      <c r="F46" s="158">
        <v>14</v>
      </c>
      <c r="G46" s="140"/>
      <c r="H46" s="140"/>
      <c r="I46" s="140"/>
      <c r="J46" s="140"/>
      <c r="K46" s="140"/>
      <c r="L46" s="140"/>
      <c r="M46" s="140"/>
      <c r="N46" s="140"/>
      <c r="O46" s="140"/>
      <c r="P46" s="129"/>
      <c r="Q46" s="129"/>
    </row>
    <row r="47" spans="2:17">
      <c r="B47" s="129"/>
      <c r="C47" s="151">
        <v>10</v>
      </c>
      <c r="D47" s="152">
        <v>15.39</v>
      </c>
      <c r="E47" s="135" t="s">
        <v>290</v>
      </c>
      <c r="F47" s="152">
        <v>15.39</v>
      </c>
      <c r="G47" s="140"/>
      <c r="H47" s="140"/>
      <c r="I47" s="140"/>
      <c r="J47" s="140"/>
      <c r="K47" s="140"/>
      <c r="L47" s="140"/>
      <c r="M47" s="140"/>
      <c r="N47" s="140"/>
      <c r="O47" s="140"/>
      <c r="P47" s="129"/>
      <c r="Q47" s="129"/>
    </row>
    <row r="48" spans="2:17">
      <c r="B48" s="129"/>
      <c r="C48" s="151">
        <v>11</v>
      </c>
      <c r="D48" s="152">
        <v>13.99</v>
      </c>
      <c r="E48" s="135" t="s">
        <v>296</v>
      </c>
      <c r="F48" s="152">
        <v>13.99</v>
      </c>
      <c r="G48" s="140"/>
      <c r="H48" s="140"/>
      <c r="I48" s="140"/>
      <c r="J48" s="140"/>
      <c r="K48" s="140"/>
      <c r="L48" s="140"/>
      <c r="M48" s="140"/>
      <c r="N48" s="140"/>
      <c r="O48" s="140"/>
      <c r="P48" s="129"/>
      <c r="Q48" s="129"/>
    </row>
    <row r="49" spans="2:17">
      <c r="B49" s="129"/>
      <c r="C49" s="151">
        <v>12</v>
      </c>
      <c r="D49" s="152">
        <v>12.83</v>
      </c>
      <c r="E49" s="135" t="s">
        <v>302</v>
      </c>
      <c r="F49" s="152">
        <v>12.83</v>
      </c>
      <c r="G49" s="140"/>
      <c r="H49" s="140"/>
      <c r="I49" s="140"/>
      <c r="J49" s="140"/>
      <c r="K49" s="140"/>
      <c r="L49" s="140"/>
      <c r="M49" s="140"/>
      <c r="N49" s="140"/>
      <c r="O49" s="140"/>
      <c r="P49" s="129"/>
      <c r="Q49" s="129"/>
    </row>
    <row r="50" spans="2:17">
      <c r="B50" s="129"/>
      <c r="C50" s="151">
        <v>13</v>
      </c>
      <c r="D50" s="152">
        <v>11.84</v>
      </c>
      <c r="E50" s="135" t="s">
        <v>308</v>
      </c>
      <c r="F50" s="152">
        <v>11.84</v>
      </c>
      <c r="G50" s="140"/>
      <c r="H50" s="140"/>
      <c r="I50" s="140"/>
      <c r="J50" s="140"/>
      <c r="K50" s="140"/>
      <c r="L50" s="140"/>
      <c r="M50" s="140"/>
      <c r="N50" s="140"/>
      <c r="O50" s="140"/>
      <c r="P50" s="129"/>
      <c r="Q50" s="129"/>
    </row>
    <row r="51" spans="2:17">
      <c r="B51" s="129"/>
      <c r="C51" s="151">
        <v>14</v>
      </c>
      <c r="D51" s="152">
        <v>11</v>
      </c>
      <c r="E51" s="135" t="s">
        <v>314</v>
      </c>
      <c r="F51" s="152">
        <v>11</v>
      </c>
      <c r="G51" s="140"/>
      <c r="H51" s="140"/>
      <c r="I51" s="140"/>
      <c r="J51" s="140"/>
      <c r="K51" s="140"/>
      <c r="L51" s="140"/>
      <c r="M51" s="140"/>
      <c r="N51" s="140"/>
      <c r="O51" s="140"/>
      <c r="P51" s="129"/>
      <c r="Q51" s="129"/>
    </row>
    <row r="52" spans="2:17">
      <c r="B52" s="129"/>
      <c r="C52" s="151">
        <v>15</v>
      </c>
      <c r="D52" s="152">
        <v>10.26</v>
      </c>
      <c r="E52" s="135" t="s">
        <v>319</v>
      </c>
      <c r="F52" s="152">
        <v>10.26</v>
      </c>
      <c r="G52" s="140"/>
      <c r="H52" s="140"/>
      <c r="I52" s="140"/>
      <c r="J52" s="140"/>
      <c r="K52" s="140"/>
      <c r="L52" s="140"/>
      <c r="M52" s="140"/>
      <c r="N52" s="140"/>
      <c r="O52" s="140"/>
      <c r="P52" s="129"/>
      <c r="Q52" s="129"/>
    </row>
    <row r="53" spans="2:17">
      <c r="B53" s="129"/>
      <c r="C53" s="151">
        <v>20</v>
      </c>
      <c r="D53" s="152">
        <v>7.69</v>
      </c>
      <c r="E53" s="135" t="s">
        <v>324</v>
      </c>
      <c r="F53" s="152">
        <v>7.69</v>
      </c>
      <c r="G53" s="140"/>
      <c r="H53" s="140"/>
      <c r="I53" s="140"/>
      <c r="J53" s="140"/>
      <c r="K53" s="140"/>
      <c r="L53" s="140"/>
      <c r="M53" s="140"/>
      <c r="N53" s="140"/>
      <c r="O53" s="140"/>
      <c r="P53" s="129"/>
      <c r="Q53" s="129"/>
    </row>
    <row r="54" spans="2:17">
      <c r="B54" s="129"/>
      <c r="C54" s="154"/>
      <c r="D54" s="155"/>
      <c r="E54" s="156"/>
      <c r="F54" s="155"/>
      <c r="G54" s="140"/>
      <c r="H54" s="140"/>
      <c r="I54" s="140"/>
      <c r="J54" s="140"/>
      <c r="K54" s="140"/>
      <c r="L54" s="140"/>
      <c r="M54" s="140"/>
      <c r="N54" s="140"/>
      <c r="O54" s="140"/>
      <c r="P54" s="129"/>
      <c r="Q54" s="129"/>
    </row>
    <row r="55" spans="2:17">
      <c r="B55" s="129"/>
      <c r="C55" s="157"/>
      <c r="D55" s="158">
        <v>16</v>
      </c>
      <c r="E55" s="160"/>
      <c r="F55" s="158">
        <v>16</v>
      </c>
      <c r="G55" s="140"/>
      <c r="H55" s="140"/>
      <c r="I55" s="140"/>
      <c r="J55" s="140"/>
      <c r="K55" s="140"/>
      <c r="L55" s="140"/>
      <c r="M55" s="140"/>
      <c r="N55" s="140"/>
      <c r="O55" s="140"/>
      <c r="P55" s="129"/>
      <c r="Q55" s="129"/>
    </row>
    <row r="56" spans="2:17">
      <c r="B56" s="129"/>
      <c r="C56" s="151">
        <v>10</v>
      </c>
      <c r="D56" s="153">
        <v>20.100000000000001</v>
      </c>
      <c r="E56" s="139" t="s">
        <v>291</v>
      </c>
      <c r="F56" s="153">
        <v>20.100000000000001</v>
      </c>
      <c r="G56" s="140"/>
      <c r="H56" s="140"/>
      <c r="I56" s="140"/>
      <c r="J56" s="140"/>
      <c r="K56" s="140"/>
      <c r="L56" s="140"/>
      <c r="M56" s="140"/>
      <c r="N56" s="140"/>
      <c r="O56" s="140"/>
      <c r="P56" s="129"/>
      <c r="Q56" s="129"/>
    </row>
    <row r="57" spans="2:17">
      <c r="B57" s="129"/>
      <c r="C57" s="151">
        <v>11</v>
      </c>
      <c r="D57" s="153">
        <v>18.28</v>
      </c>
      <c r="E57" s="136" t="s">
        <v>297</v>
      </c>
      <c r="F57" s="153">
        <v>18.28</v>
      </c>
      <c r="G57" s="140"/>
      <c r="H57" s="140"/>
      <c r="I57" s="140"/>
      <c r="J57" s="140"/>
      <c r="K57" s="140"/>
      <c r="L57" s="140"/>
      <c r="M57" s="140"/>
      <c r="N57" s="140"/>
      <c r="O57" s="140"/>
      <c r="P57" s="129"/>
      <c r="Q57" s="129"/>
    </row>
    <row r="58" spans="2:17">
      <c r="B58" s="129"/>
      <c r="C58" s="151">
        <v>12</v>
      </c>
      <c r="D58" s="153">
        <v>16.760000000000002</v>
      </c>
      <c r="E58" s="136" t="s">
        <v>303</v>
      </c>
      <c r="F58" s="153">
        <v>16.760000000000002</v>
      </c>
      <c r="G58" s="140"/>
      <c r="H58" s="140"/>
      <c r="I58" s="140"/>
      <c r="J58" s="140"/>
      <c r="K58" s="140"/>
      <c r="L58" s="140"/>
      <c r="M58" s="140"/>
      <c r="N58" s="140"/>
      <c r="O58" s="140"/>
      <c r="P58" s="129"/>
      <c r="Q58" s="129"/>
    </row>
    <row r="59" spans="2:17">
      <c r="B59" s="129"/>
      <c r="C59" s="151">
        <v>13</v>
      </c>
      <c r="D59" s="153">
        <v>15.47</v>
      </c>
      <c r="E59" s="136" t="s">
        <v>309</v>
      </c>
      <c r="F59" s="153">
        <v>15.47</v>
      </c>
      <c r="G59" s="140"/>
      <c r="H59" s="140"/>
      <c r="I59" s="140"/>
      <c r="J59" s="140"/>
      <c r="K59" s="140"/>
      <c r="L59" s="140"/>
      <c r="M59" s="140"/>
      <c r="N59" s="140"/>
      <c r="O59" s="140"/>
      <c r="P59" s="129"/>
      <c r="Q59" s="129"/>
    </row>
    <row r="60" spans="2:17">
      <c r="B60" s="129"/>
      <c r="C60" s="151">
        <v>14</v>
      </c>
      <c r="D60" s="153">
        <v>14.36</v>
      </c>
      <c r="E60" s="136" t="s">
        <v>315</v>
      </c>
      <c r="F60" s="153">
        <v>14.36</v>
      </c>
      <c r="G60" s="140"/>
      <c r="H60" s="140"/>
      <c r="I60" s="140"/>
      <c r="J60" s="140"/>
      <c r="K60" s="140"/>
      <c r="L60" s="140"/>
      <c r="M60" s="140"/>
      <c r="N60" s="140"/>
      <c r="O60" s="140"/>
      <c r="P60" s="129"/>
      <c r="Q60" s="129"/>
    </row>
    <row r="61" spans="2:17">
      <c r="B61" s="129"/>
      <c r="C61" s="151">
        <v>15</v>
      </c>
      <c r="D61" s="153">
        <v>13.41</v>
      </c>
      <c r="E61" s="136" t="s">
        <v>320</v>
      </c>
      <c r="F61" s="153">
        <v>13.41</v>
      </c>
      <c r="G61" s="140"/>
      <c r="H61" s="140"/>
      <c r="I61" s="140"/>
      <c r="J61" s="140"/>
      <c r="K61" s="140"/>
      <c r="L61" s="140"/>
      <c r="M61" s="140"/>
      <c r="N61" s="140"/>
      <c r="O61" s="140"/>
      <c r="P61" s="129"/>
      <c r="Q61" s="129"/>
    </row>
    <row r="62" spans="2:17">
      <c r="B62" s="129"/>
      <c r="C62" s="151">
        <v>20</v>
      </c>
      <c r="D62" s="153">
        <v>10.050000000000001</v>
      </c>
      <c r="E62" s="136" t="s">
        <v>325</v>
      </c>
      <c r="F62" s="153">
        <v>10.050000000000001</v>
      </c>
      <c r="G62" s="140"/>
      <c r="H62" s="140"/>
      <c r="I62" s="140"/>
      <c r="J62" s="140"/>
      <c r="K62" s="140"/>
      <c r="L62" s="140"/>
      <c r="M62" s="140"/>
      <c r="N62" s="140"/>
      <c r="O62" s="140"/>
      <c r="P62" s="129"/>
      <c r="Q62" s="129"/>
    </row>
    <row r="63" spans="2:17">
      <c r="B63" s="129"/>
      <c r="C63" s="140"/>
      <c r="D63" s="140"/>
      <c r="E63" s="140"/>
      <c r="F63" s="140"/>
      <c r="G63" s="140"/>
      <c r="H63" s="140"/>
      <c r="I63" s="140"/>
      <c r="J63" s="140"/>
      <c r="K63" s="140"/>
      <c r="L63" s="140"/>
      <c r="M63" s="140"/>
      <c r="N63" s="140"/>
      <c r="O63" s="140"/>
      <c r="P63" s="129"/>
      <c r="Q63" s="129"/>
    </row>
    <row r="64" spans="2:17">
      <c r="B64" s="129"/>
      <c r="C64" s="140"/>
      <c r="D64" s="140"/>
      <c r="E64" s="140"/>
      <c r="F64" s="140"/>
      <c r="G64" s="140"/>
      <c r="H64" s="140"/>
      <c r="I64" s="140"/>
      <c r="J64" s="140"/>
      <c r="K64" s="140"/>
      <c r="L64" s="140"/>
      <c r="M64" s="140"/>
      <c r="N64" s="140"/>
      <c r="O64" s="140"/>
      <c r="P64" s="129"/>
      <c r="Q64" s="129"/>
    </row>
    <row r="65" spans="2:17">
      <c r="B65" s="129"/>
      <c r="C65" s="140"/>
      <c r="D65" s="140"/>
      <c r="E65" s="140"/>
      <c r="F65" s="140"/>
      <c r="G65" s="140"/>
      <c r="H65" s="140"/>
      <c r="I65" s="140"/>
      <c r="J65" s="140"/>
      <c r="K65" s="140"/>
      <c r="L65" s="140"/>
      <c r="M65" s="140"/>
      <c r="N65" s="140"/>
      <c r="O65" s="140"/>
      <c r="P65" s="129"/>
      <c r="Q65" s="129"/>
    </row>
    <row r="66" spans="2:17">
      <c r="B66" s="129"/>
      <c r="C66" s="129"/>
      <c r="D66" s="129"/>
      <c r="E66" s="129"/>
      <c r="F66" s="129"/>
      <c r="G66" s="129"/>
      <c r="H66" s="129"/>
      <c r="I66" s="129"/>
      <c r="J66" s="129"/>
      <c r="K66" s="129"/>
      <c r="L66" s="129"/>
      <c r="M66" s="129"/>
      <c r="N66" s="129"/>
      <c r="O66" s="129"/>
      <c r="P66" s="129"/>
      <c r="Q66" s="129"/>
    </row>
  </sheetData>
  <mergeCells count="1">
    <mergeCell ref="D7:E7"/>
  </mergeCells>
  <phoneticPr fontId="4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dimension ref="A1:T30"/>
  <sheetViews>
    <sheetView workbookViewId="0">
      <selection activeCell="H29" sqref="H29"/>
    </sheetView>
  </sheetViews>
  <sheetFormatPr defaultRowHeight="15"/>
  <cols>
    <col min="1" max="1" width="10.42578125" bestFit="1" customWidth="1"/>
    <col min="2" max="2" width="14.5703125" bestFit="1" customWidth="1"/>
    <col min="3" max="3" width="12.85546875" bestFit="1" customWidth="1"/>
    <col min="4" max="5" width="5.140625" bestFit="1" customWidth="1"/>
    <col min="9" max="9" width="13.85546875" customWidth="1"/>
    <col min="10" max="10" width="13.85546875" bestFit="1" customWidth="1"/>
    <col min="13" max="13" width="9.140625" style="20"/>
    <col min="17" max="17" width="12" style="20" customWidth="1"/>
  </cols>
  <sheetData>
    <row r="1" spans="1:20">
      <c r="A1" t="s">
        <v>110</v>
      </c>
      <c r="B1" t="s">
        <v>111</v>
      </c>
      <c r="C1" t="s">
        <v>112</v>
      </c>
      <c r="D1" t="s">
        <v>113</v>
      </c>
      <c r="E1" t="s">
        <v>114</v>
      </c>
      <c r="F1" t="s">
        <v>125</v>
      </c>
      <c r="G1" t="s">
        <v>132</v>
      </c>
      <c r="H1" t="s">
        <v>194</v>
      </c>
      <c r="I1" t="s">
        <v>195</v>
      </c>
      <c r="J1" t="s">
        <v>126</v>
      </c>
      <c r="K1" t="s">
        <v>130</v>
      </c>
      <c r="L1" t="s">
        <v>131</v>
      </c>
      <c r="M1" s="20" t="s">
        <v>191</v>
      </c>
      <c r="P1" t="s">
        <v>196</v>
      </c>
      <c r="Q1" s="20" t="s">
        <v>193</v>
      </c>
      <c r="R1" t="s">
        <v>130</v>
      </c>
      <c r="S1" t="s">
        <v>131</v>
      </c>
      <c r="T1" t="s">
        <v>197</v>
      </c>
    </row>
    <row r="2" spans="1:20">
      <c r="A2" t="s">
        <v>133</v>
      </c>
      <c r="B2" t="s">
        <v>134</v>
      </c>
      <c r="C2" t="s">
        <v>215</v>
      </c>
      <c r="D2">
        <v>3800</v>
      </c>
      <c r="E2">
        <v>5800</v>
      </c>
      <c r="F2">
        <f>#REF!*#REF!/1000000</f>
        <v>22.04</v>
      </c>
      <c r="G2">
        <v>4</v>
      </c>
      <c r="H2" s="53">
        <f>#REF!</f>
        <v>3800</v>
      </c>
      <c r="I2" s="50">
        <f>#REF!</f>
        <v>5800</v>
      </c>
      <c r="J2" s="50">
        <f>MAX(F2:F30)</f>
        <v>22.04</v>
      </c>
      <c r="K2" s="52">
        <f>VLOOKUP(J2,$F$2:$I$30,3,FALSE)</f>
        <v>3800</v>
      </c>
      <c r="L2" s="52">
        <f>VLOOKUP(J2,$F$2:$I$30,4,FALSE)</f>
        <v>5800</v>
      </c>
      <c r="M2" s="20">
        <f>#REF!/#REF!</f>
        <v>1.5263157894736843</v>
      </c>
      <c r="N2">
        <f>#REF!</f>
        <v>3800</v>
      </c>
      <c r="O2">
        <f>#REF!</f>
        <v>5800</v>
      </c>
      <c r="P2" t="str">
        <f>#REF!</f>
        <v>S1A</v>
      </c>
      <c r="Q2" s="20">
        <f>MAX(M2:M30)</f>
        <v>6</v>
      </c>
      <c r="R2" s="52">
        <f>VLOOKUP(Q2,M2:O30,2,FALSE)</f>
        <v>700</v>
      </c>
      <c r="S2" s="52">
        <f>VLOOKUP(Q2,M2:O30,3,FALSE)</f>
        <v>4200</v>
      </c>
      <c r="T2" t="str">
        <f>VLOOKUP(Q2,M2:P30,4,FALSE)</f>
        <v>S11</v>
      </c>
    </row>
    <row r="3" spans="1:20">
      <c r="A3" t="s">
        <v>135</v>
      </c>
      <c r="B3" t="s">
        <v>134</v>
      </c>
      <c r="C3" t="s">
        <v>218</v>
      </c>
      <c r="D3">
        <v>3800</v>
      </c>
      <c r="E3">
        <v>5800</v>
      </c>
      <c r="F3">
        <f>#REF!*#REF!/1000000</f>
        <v>22.04</v>
      </c>
      <c r="G3">
        <v>14</v>
      </c>
      <c r="H3" s="53">
        <f>#REF!</f>
        <v>3800</v>
      </c>
      <c r="I3" s="50">
        <f t="shared" ref="I3:I30" si="0">E3</f>
        <v>5800</v>
      </c>
      <c r="M3" s="20">
        <f>#REF!/#REF!</f>
        <v>1.5263157894736843</v>
      </c>
      <c r="N3">
        <f>#REF!</f>
        <v>3800</v>
      </c>
      <c r="O3">
        <f>#REF!</f>
        <v>5800</v>
      </c>
      <c r="P3" t="str">
        <f>#REF!</f>
        <v>S1B</v>
      </c>
    </row>
    <row r="4" spans="1:20">
      <c r="A4" t="s">
        <v>136</v>
      </c>
      <c r="B4" t="s">
        <v>134</v>
      </c>
      <c r="C4" t="s">
        <v>117</v>
      </c>
      <c r="D4">
        <v>3800</v>
      </c>
      <c r="E4">
        <v>5800</v>
      </c>
      <c r="F4">
        <f>#REF!*#REF!/1000000</f>
        <v>22.04</v>
      </c>
      <c r="G4">
        <v>18</v>
      </c>
      <c r="H4" s="53">
        <f>#REF!</f>
        <v>3800</v>
      </c>
      <c r="I4" s="50">
        <f t="shared" si="0"/>
        <v>5800</v>
      </c>
      <c r="M4" s="20">
        <f>#REF!/#REF!</f>
        <v>1.5263157894736843</v>
      </c>
      <c r="N4">
        <f>#REF!</f>
        <v>3800</v>
      </c>
      <c r="O4">
        <f>#REF!</f>
        <v>5800</v>
      </c>
      <c r="P4" t="str">
        <f>#REF!</f>
        <v>S1</v>
      </c>
    </row>
    <row r="5" spans="1:20">
      <c r="A5" t="s">
        <v>137</v>
      </c>
      <c r="B5" t="s">
        <v>134</v>
      </c>
      <c r="C5" t="s">
        <v>117</v>
      </c>
      <c r="D5">
        <v>3800</v>
      </c>
      <c r="E5">
        <v>5800</v>
      </c>
      <c r="F5">
        <f>#REF!*#REF!/1000000</f>
        <v>22.04</v>
      </c>
      <c r="G5">
        <v>19</v>
      </c>
      <c r="H5" s="53">
        <f>#REF!</f>
        <v>3800</v>
      </c>
      <c r="I5" s="50">
        <f t="shared" si="0"/>
        <v>5800</v>
      </c>
      <c r="M5" s="20">
        <f>#REF!/#REF!</f>
        <v>1.5263157894736843</v>
      </c>
      <c r="N5">
        <f>#REF!</f>
        <v>3800</v>
      </c>
      <c r="O5">
        <f>#REF!</f>
        <v>5800</v>
      </c>
      <c r="P5" t="str">
        <f>#REF!</f>
        <v>S1</v>
      </c>
    </row>
    <row r="6" spans="1:20">
      <c r="A6" t="s">
        <v>138</v>
      </c>
      <c r="B6" t="s">
        <v>134</v>
      </c>
      <c r="C6" t="s">
        <v>117</v>
      </c>
      <c r="D6">
        <v>3800</v>
      </c>
      <c r="E6">
        <v>5800</v>
      </c>
      <c r="F6">
        <f>#REF!*#REF!/1000000</f>
        <v>22.04</v>
      </c>
      <c r="G6">
        <v>25</v>
      </c>
      <c r="H6" s="53">
        <f>#REF!</f>
        <v>3800</v>
      </c>
      <c r="I6" s="50">
        <f t="shared" si="0"/>
        <v>5800</v>
      </c>
      <c r="M6" s="20">
        <f>#REF!/#REF!</f>
        <v>1.5263157894736843</v>
      </c>
      <c r="N6">
        <f>#REF!</f>
        <v>3800</v>
      </c>
      <c r="O6">
        <f>#REF!</f>
        <v>5800</v>
      </c>
      <c r="P6" t="str">
        <f>#REF!</f>
        <v>S1</v>
      </c>
    </row>
    <row r="7" spans="1:20">
      <c r="A7" t="s">
        <v>139</v>
      </c>
      <c r="B7" t="s">
        <v>134</v>
      </c>
      <c r="C7" t="s">
        <v>117</v>
      </c>
      <c r="D7">
        <v>3800</v>
      </c>
      <c r="E7">
        <v>5800</v>
      </c>
      <c r="F7">
        <f>#REF!*#REF!/1000000</f>
        <v>22.04</v>
      </c>
      <c r="G7">
        <v>26</v>
      </c>
      <c r="H7" s="53">
        <f>#REF!</f>
        <v>3800</v>
      </c>
      <c r="I7" s="50">
        <f t="shared" si="0"/>
        <v>5800</v>
      </c>
      <c r="M7" s="20">
        <f>#REF!/#REF!</f>
        <v>1.5263157894736843</v>
      </c>
      <c r="N7">
        <f>#REF!</f>
        <v>3800</v>
      </c>
      <c r="O7">
        <f>#REF!</f>
        <v>5800</v>
      </c>
      <c r="P7" t="str">
        <f>#REF!</f>
        <v>S1</v>
      </c>
    </row>
    <row r="8" spans="1:20">
      <c r="A8" t="s">
        <v>140</v>
      </c>
      <c r="B8" t="s">
        <v>141</v>
      </c>
      <c r="C8" t="s">
        <v>116</v>
      </c>
      <c r="D8">
        <v>3800</v>
      </c>
      <c r="E8">
        <v>5300</v>
      </c>
      <c r="F8">
        <f>#REF!*#REF!/1000000</f>
        <v>20.14</v>
      </c>
      <c r="G8">
        <v>1</v>
      </c>
      <c r="H8" s="53">
        <f>#REF!</f>
        <v>3800</v>
      </c>
      <c r="I8" s="50">
        <f t="shared" si="0"/>
        <v>5300</v>
      </c>
      <c r="M8" s="20">
        <f>#REF!/#REF!</f>
        <v>1.3947368421052631</v>
      </c>
      <c r="N8">
        <f>#REF!</f>
        <v>3800</v>
      </c>
      <c r="O8">
        <f>#REF!</f>
        <v>5300</v>
      </c>
      <c r="P8" t="str">
        <f>#REF!</f>
        <v>S3</v>
      </c>
    </row>
    <row r="9" spans="1:20">
      <c r="A9" t="s">
        <v>142</v>
      </c>
      <c r="B9" t="s">
        <v>143</v>
      </c>
      <c r="C9" t="s">
        <v>116</v>
      </c>
      <c r="D9">
        <v>3800</v>
      </c>
      <c r="E9">
        <v>5300</v>
      </c>
      <c r="F9">
        <f>#REF!*#REF!/1000000</f>
        <v>20.14</v>
      </c>
      <c r="G9">
        <v>5</v>
      </c>
      <c r="H9" s="53">
        <f>#REF!</f>
        <v>3800</v>
      </c>
      <c r="I9" s="50">
        <f t="shared" si="0"/>
        <v>5300</v>
      </c>
      <c r="M9" s="20">
        <f>#REF!/#REF!</f>
        <v>1.3947368421052631</v>
      </c>
      <c r="N9">
        <f>#REF!</f>
        <v>3800</v>
      </c>
      <c r="O9">
        <f>#REF!</f>
        <v>5300</v>
      </c>
      <c r="P9" t="str">
        <f>#REF!</f>
        <v>S3</v>
      </c>
    </row>
    <row r="10" spans="1:20">
      <c r="A10" t="s">
        <v>144</v>
      </c>
      <c r="B10" t="s">
        <v>141</v>
      </c>
      <c r="C10" t="s">
        <v>116</v>
      </c>
      <c r="D10">
        <v>3800</v>
      </c>
      <c r="E10">
        <v>5300</v>
      </c>
      <c r="F10">
        <f>#REF!*#REF!/1000000</f>
        <v>20.14</v>
      </c>
      <c r="G10">
        <v>11</v>
      </c>
      <c r="H10" s="53">
        <f>#REF!</f>
        <v>3800</v>
      </c>
      <c r="I10" s="50">
        <f t="shared" si="0"/>
        <v>5300</v>
      </c>
      <c r="M10" s="20">
        <f>#REF!/#REF!</f>
        <v>1.3947368421052631</v>
      </c>
      <c r="N10">
        <f>#REF!</f>
        <v>3800</v>
      </c>
      <c r="O10">
        <f>#REF!</f>
        <v>5300</v>
      </c>
      <c r="P10" t="str">
        <f>#REF!</f>
        <v>S3</v>
      </c>
    </row>
    <row r="11" spans="1:20">
      <c r="A11" t="s">
        <v>145</v>
      </c>
      <c r="B11" t="s">
        <v>143</v>
      </c>
      <c r="C11" t="s">
        <v>116</v>
      </c>
      <c r="D11">
        <v>3800</v>
      </c>
      <c r="E11">
        <v>5300</v>
      </c>
      <c r="F11">
        <f>#REF!*#REF!/1000000</f>
        <v>20.14</v>
      </c>
      <c r="G11">
        <v>15</v>
      </c>
      <c r="H11" s="53">
        <f>#REF!</f>
        <v>3800</v>
      </c>
      <c r="I11" s="50">
        <f t="shared" si="0"/>
        <v>5300</v>
      </c>
      <c r="M11" s="20">
        <f>#REF!/#REF!</f>
        <v>1.3947368421052631</v>
      </c>
      <c r="N11">
        <f>#REF!</f>
        <v>3800</v>
      </c>
      <c r="O11">
        <f>#REF!</f>
        <v>5300</v>
      </c>
      <c r="P11" t="str">
        <f>#REF!</f>
        <v>S3</v>
      </c>
    </row>
    <row r="12" spans="1:20">
      <c r="A12" t="s">
        <v>146</v>
      </c>
      <c r="B12" t="s">
        <v>147</v>
      </c>
      <c r="C12" t="s">
        <v>122</v>
      </c>
      <c r="D12">
        <v>3800</v>
      </c>
      <c r="E12">
        <v>3800</v>
      </c>
      <c r="F12">
        <f>#REF!*#REF!/1000000</f>
        <v>14.44</v>
      </c>
      <c r="G12">
        <v>22</v>
      </c>
      <c r="H12" s="53">
        <f>#REF!</f>
        <v>3800</v>
      </c>
      <c r="I12" s="50">
        <f t="shared" si="0"/>
        <v>3800</v>
      </c>
      <c r="M12" s="20">
        <f>#REF!/#REF!</f>
        <v>1</v>
      </c>
      <c r="N12">
        <f>#REF!</f>
        <v>3800</v>
      </c>
      <c r="O12">
        <f>#REF!</f>
        <v>3800</v>
      </c>
      <c r="P12" t="str">
        <f>#REF!</f>
        <v>S8</v>
      </c>
    </row>
    <row r="13" spans="1:20">
      <c r="A13" t="s">
        <v>148</v>
      </c>
      <c r="B13" t="s">
        <v>149</v>
      </c>
      <c r="C13" t="s">
        <v>115</v>
      </c>
      <c r="D13">
        <v>2800</v>
      </c>
      <c r="E13">
        <v>3800</v>
      </c>
      <c r="F13">
        <f>#REF!*#REF!/1000000</f>
        <v>10.64</v>
      </c>
      <c r="G13">
        <v>2</v>
      </c>
      <c r="H13" s="53">
        <f>#REF!</f>
        <v>2800</v>
      </c>
      <c r="I13" s="50">
        <f t="shared" si="0"/>
        <v>3800</v>
      </c>
      <c r="M13" s="20">
        <f>#REF!/#REF!</f>
        <v>1.3571428571428572</v>
      </c>
      <c r="N13">
        <f>#REF!</f>
        <v>2800</v>
      </c>
      <c r="O13">
        <f>#REF!</f>
        <v>3800</v>
      </c>
      <c r="P13" t="str">
        <f>#REF!</f>
        <v>S2</v>
      </c>
    </row>
    <row r="14" spans="1:20">
      <c r="A14" t="s">
        <v>150</v>
      </c>
      <c r="B14" t="s">
        <v>149</v>
      </c>
      <c r="C14" t="s">
        <v>115</v>
      </c>
      <c r="D14">
        <v>2800</v>
      </c>
      <c r="E14">
        <v>3800</v>
      </c>
      <c r="F14">
        <f>#REF!*#REF!/1000000</f>
        <v>10.64</v>
      </c>
      <c r="G14">
        <v>12</v>
      </c>
      <c r="H14" s="53">
        <f>#REF!</f>
        <v>2800</v>
      </c>
      <c r="I14" s="50">
        <f t="shared" si="0"/>
        <v>3800</v>
      </c>
      <c r="M14" s="20">
        <f>#REF!/#REF!</f>
        <v>1.3571428571428572</v>
      </c>
      <c r="N14">
        <f>#REF!</f>
        <v>2800</v>
      </c>
      <c r="O14">
        <f>#REF!</f>
        <v>3800</v>
      </c>
      <c r="P14" t="str">
        <f>#REF!</f>
        <v>S2</v>
      </c>
    </row>
    <row r="15" spans="1:20">
      <c r="A15" t="s">
        <v>151</v>
      </c>
      <c r="B15" t="s">
        <v>149</v>
      </c>
      <c r="C15" t="s">
        <v>115</v>
      </c>
      <c r="D15">
        <v>2800</v>
      </c>
      <c r="E15">
        <v>3800</v>
      </c>
      <c r="F15">
        <f>#REF!*#REF!/1000000</f>
        <v>10.64</v>
      </c>
      <c r="G15">
        <v>20</v>
      </c>
      <c r="H15" s="53">
        <f>#REF!</f>
        <v>2800</v>
      </c>
      <c r="I15" s="50">
        <f t="shared" si="0"/>
        <v>3800</v>
      </c>
      <c r="M15" s="20">
        <f>#REF!/#REF!</f>
        <v>1.3571428571428572</v>
      </c>
      <c r="N15">
        <f>#REF!</f>
        <v>2800</v>
      </c>
      <c r="O15">
        <f>#REF!</f>
        <v>3800</v>
      </c>
      <c r="P15" t="str">
        <f>#REF!</f>
        <v>S2</v>
      </c>
    </row>
    <row r="16" spans="1:20">
      <c r="A16" t="s">
        <v>152</v>
      </c>
      <c r="B16" t="s">
        <v>149</v>
      </c>
      <c r="C16" t="s">
        <v>115</v>
      </c>
      <c r="D16">
        <v>2800</v>
      </c>
      <c r="E16">
        <v>3800</v>
      </c>
      <c r="F16">
        <f>#REF!*#REF!/1000000</f>
        <v>10.64</v>
      </c>
      <c r="G16">
        <v>23</v>
      </c>
      <c r="H16" s="53">
        <f>#REF!</f>
        <v>2800</v>
      </c>
      <c r="I16" s="50">
        <f t="shared" si="0"/>
        <v>3800</v>
      </c>
      <c r="M16" s="20">
        <f>#REF!/#REF!</f>
        <v>1.3571428571428572</v>
      </c>
      <c r="N16">
        <f>#REF!</f>
        <v>2800</v>
      </c>
      <c r="O16">
        <f>#REF!</f>
        <v>3800</v>
      </c>
      <c r="P16" t="str">
        <f>#REF!</f>
        <v>S2</v>
      </c>
    </row>
    <row r="17" spans="1:16">
      <c r="A17" t="s">
        <v>153</v>
      </c>
      <c r="B17" t="s">
        <v>154</v>
      </c>
      <c r="C17" t="s">
        <v>120</v>
      </c>
      <c r="D17">
        <v>1800</v>
      </c>
      <c r="E17">
        <v>5800</v>
      </c>
      <c r="F17">
        <f>#REF!*#REF!/1000000</f>
        <v>10.44</v>
      </c>
      <c r="G17">
        <v>3</v>
      </c>
      <c r="H17" s="53">
        <f>#REF!</f>
        <v>1800</v>
      </c>
      <c r="I17" s="50">
        <f t="shared" si="0"/>
        <v>5800</v>
      </c>
      <c r="M17" s="57">
        <f>#REF!/#REF!</f>
        <v>3.2222222222222223</v>
      </c>
      <c r="N17" s="51">
        <f>#REF!</f>
        <v>1800</v>
      </c>
      <c r="O17" s="51">
        <f>#REF!</f>
        <v>5800</v>
      </c>
      <c r="P17" s="51" t="str">
        <f>#REF!</f>
        <v>S4</v>
      </c>
    </row>
    <row r="18" spans="1:16">
      <c r="A18" t="s">
        <v>155</v>
      </c>
      <c r="B18" t="s">
        <v>154</v>
      </c>
      <c r="C18" t="s">
        <v>120</v>
      </c>
      <c r="D18">
        <v>1800</v>
      </c>
      <c r="E18">
        <v>5800</v>
      </c>
      <c r="F18">
        <f>#REF!*#REF!/1000000</f>
        <v>10.44</v>
      </c>
      <c r="G18">
        <v>13</v>
      </c>
      <c r="H18" s="53">
        <f>#REF!</f>
        <v>1800</v>
      </c>
      <c r="I18" s="50">
        <f t="shared" si="0"/>
        <v>5800</v>
      </c>
      <c r="M18" s="57">
        <f>#REF!/#REF!</f>
        <v>3.2222222222222223</v>
      </c>
      <c r="N18" s="51">
        <f>#REF!</f>
        <v>1800</v>
      </c>
      <c r="O18" s="51">
        <f>#REF!</f>
        <v>5800</v>
      </c>
      <c r="P18" s="51" t="str">
        <f>#REF!</f>
        <v>S4</v>
      </c>
    </row>
    <row r="19" spans="1:16">
      <c r="A19" t="s">
        <v>156</v>
      </c>
      <c r="B19" t="s">
        <v>157</v>
      </c>
      <c r="C19" t="s">
        <v>123</v>
      </c>
      <c r="D19">
        <v>2700</v>
      </c>
      <c r="E19">
        <v>3800</v>
      </c>
      <c r="F19">
        <f>#REF!*#REF!/1000000</f>
        <v>10.26</v>
      </c>
      <c r="G19">
        <v>10</v>
      </c>
      <c r="H19" s="53">
        <f>#REF!</f>
        <v>2700</v>
      </c>
      <c r="I19" s="50">
        <f t="shared" si="0"/>
        <v>3800</v>
      </c>
      <c r="M19" s="20">
        <f>#REF!/#REF!</f>
        <v>1.4074074074074074</v>
      </c>
      <c r="N19">
        <f>#REF!</f>
        <v>2700</v>
      </c>
      <c r="O19">
        <f>#REF!</f>
        <v>3800</v>
      </c>
      <c r="P19" t="str">
        <f>#REF!</f>
        <v>S10</v>
      </c>
    </row>
    <row r="20" spans="1:16">
      <c r="A20" t="s">
        <v>158</v>
      </c>
      <c r="B20" t="s">
        <v>159</v>
      </c>
      <c r="C20" t="s">
        <v>118</v>
      </c>
      <c r="D20">
        <v>1800</v>
      </c>
      <c r="E20">
        <v>5300</v>
      </c>
      <c r="F20">
        <f>#REF!*#REF!/1000000</f>
        <v>9.5399999999999991</v>
      </c>
      <c r="G20">
        <v>6</v>
      </c>
      <c r="H20" s="53">
        <f>#REF!</f>
        <v>1800</v>
      </c>
      <c r="I20" s="50">
        <f t="shared" si="0"/>
        <v>5300</v>
      </c>
      <c r="M20" s="57">
        <f>#REF!/#REF!</f>
        <v>2.9444444444444446</v>
      </c>
      <c r="N20" s="51">
        <f>#REF!</f>
        <v>1800</v>
      </c>
      <c r="O20" s="51">
        <f>#REF!</f>
        <v>5300</v>
      </c>
      <c r="P20" s="51" t="str">
        <f>#REF!</f>
        <v>S6</v>
      </c>
    </row>
    <row r="21" spans="1:16">
      <c r="A21" t="s">
        <v>160</v>
      </c>
      <c r="B21" t="s">
        <v>159</v>
      </c>
      <c r="C21" t="s">
        <v>118</v>
      </c>
      <c r="D21">
        <v>1800</v>
      </c>
      <c r="E21">
        <v>5300</v>
      </c>
      <c r="F21">
        <f>#REF!*#REF!/1000000</f>
        <v>9.5399999999999991</v>
      </c>
      <c r="G21">
        <v>16</v>
      </c>
      <c r="H21" s="53">
        <f>#REF!</f>
        <v>1800</v>
      </c>
      <c r="I21" s="50">
        <f t="shared" si="0"/>
        <v>5300</v>
      </c>
      <c r="M21" s="57">
        <f>#REF!/#REF!</f>
        <v>2.9444444444444446</v>
      </c>
      <c r="N21" s="51">
        <f>#REF!</f>
        <v>1800</v>
      </c>
      <c r="O21" s="51">
        <f>#REF!</f>
        <v>5300</v>
      </c>
      <c r="P21" s="51" t="str">
        <f>#REF!</f>
        <v>S6</v>
      </c>
    </row>
    <row r="22" spans="1:16">
      <c r="A22" t="s">
        <v>161</v>
      </c>
      <c r="B22" t="s">
        <v>162</v>
      </c>
      <c r="C22" t="s">
        <v>121</v>
      </c>
      <c r="D22">
        <v>1800</v>
      </c>
      <c r="E22">
        <v>3800</v>
      </c>
      <c r="F22">
        <f>#REF!*#REF!/1000000</f>
        <v>6.84</v>
      </c>
      <c r="G22">
        <v>8</v>
      </c>
      <c r="H22" s="53">
        <f>#REF!</f>
        <v>1800</v>
      </c>
      <c r="I22" s="50">
        <f t="shared" si="0"/>
        <v>3800</v>
      </c>
      <c r="M22" s="57">
        <f>#REF!/#REF!</f>
        <v>2.1111111111111112</v>
      </c>
      <c r="N22" s="51">
        <f>#REF!</f>
        <v>1800</v>
      </c>
      <c r="O22" s="51">
        <f>#REF!</f>
        <v>3800</v>
      </c>
      <c r="P22" s="51" t="str">
        <f>#REF!</f>
        <v>S7</v>
      </c>
    </row>
    <row r="23" spans="1:16">
      <c r="A23" t="s">
        <v>163</v>
      </c>
      <c r="B23" t="s">
        <v>162</v>
      </c>
      <c r="C23" t="s">
        <v>121</v>
      </c>
      <c r="D23">
        <v>1800</v>
      </c>
      <c r="E23">
        <v>3800</v>
      </c>
      <c r="F23">
        <f>#REF!*#REF!/1000000</f>
        <v>6.84</v>
      </c>
      <c r="G23">
        <v>9</v>
      </c>
      <c r="H23" s="53">
        <f>#REF!</f>
        <v>1800</v>
      </c>
      <c r="I23" s="50">
        <f t="shared" si="0"/>
        <v>3800</v>
      </c>
      <c r="M23" s="57">
        <f>#REF!/#REF!</f>
        <v>2.1111111111111112</v>
      </c>
      <c r="N23" s="51">
        <f>#REF!</f>
        <v>1800</v>
      </c>
      <c r="O23" s="51">
        <f>#REF!</f>
        <v>3800</v>
      </c>
      <c r="P23" s="51" t="str">
        <f>#REF!</f>
        <v>S7</v>
      </c>
    </row>
    <row r="24" spans="1:16">
      <c r="A24" t="s">
        <v>164</v>
      </c>
      <c r="B24" t="s">
        <v>165</v>
      </c>
      <c r="C24" t="s">
        <v>119</v>
      </c>
      <c r="D24">
        <v>1800</v>
      </c>
      <c r="E24">
        <v>2800</v>
      </c>
      <c r="F24">
        <f>#REF!*#REF!/1000000</f>
        <v>5.04</v>
      </c>
      <c r="G24">
        <v>7</v>
      </c>
      <c r="H24" s="53">
        <f>#REF!</f>
        <v>1800</v>
      </c>
      <c r="I24" s="50">
        <f t="shared" si="0"/>
        <v>2800</v>
      </c>
      <c r="M24" s="20">
        <f>#REF!/#REF!</f>
        <v>1.5555555555555556</v>
      </c>
      <c r="N24">
        <f>#REF!</f>
        <v>1800</v>
      </c>
      <c r="O24">
        <f>#REF!</f>
        <v>2800</v>
      </c>
      <c r="P24" t="str">
        <f>#REF!</f>
        <v>S5</v>
      </c>
    </row>
    <row r="25" spans="1:16">
      <c r="A25" t="s">
        <v>166</v>
      </c>
      <c r="B25" t="s">
        <v>165</v>
      </c>
      <c r="C25" t="s">
        <v>119</v>
      </c>
      <c r="D25">
        <v>1800</v>
      </c>
      <c r="E25">
        <v>2800</v>
      </c>
      <c r="F25">
        <f>#REF!*#REF!/1000000</f>
        <v>5.04</v>
      </c>
      <c r="G25">
        <v>17</v>
      </c>
      <c r="H25" s="53">
        <f>#REF!</f>
        <v>1800</v>
      </c>
      <c r="I25" s="50">
        <f t="shared" si="0"/>
        <v>2800</v>
      </c>
      <c r="M25" s="20">
        <f>#REF!/#REF!</f>
        <v>1.5555555555555556</v>
      </c>
      <c r="N25">
        <f>#REF!</f>
        <v>1800</v>
      </c>
      <c r="O25">
        <f>#REF!</f>
        <v>2800</v>
      </c>
      <c r="P25" t="str">
        <f>#REF!</f>
        <v>S5</v>
      </c>
    </row>
    <row r="26" spans="1:16">
      <c r="A26" t="s">
        <v>167</v>
      </c>
      <c r="B26" t="s">
        <v>168</v>
      </c>
      <c r="C26" t="s">
        <v>124</v>
      </c>
      <c r="D26">
        <v>1800</v>
      </c>
      <c r="E26">
        <v>2500</v>
      </c>
      <c r="F26">
        <f>#REF!*#REF!/1000000</f>
        <v>4.5</v>
      </c>
      <c r="G26">
        <v>21</v>
      </c>
      <c r="H26" s="53">
        <f>#REF!</f>
        <v>1800</v>
      </c>
      <c r="I26" s="50">
        <f t="shared" si="0"/>
        <v>2500</v>
      </c>
      <c r="M26" s="20">
        <f>#REF!/#REF!</f>
        <v>1.3888888888888888</v>
      </c>
      <c r="N26">
        <f>#REF!</f>
        <v>1800</v>
      </c>
      <c r="O26">
        <f>#REF!</f>
        <v>2500</v>
      </c>
      <c r="P26" t="str">
        <f>#REF!</f>
        <v>S9</v>
      </c>
    </row>
    <row r="27" spans="1:16">
      <c r="A27" t="s">
        <v>480</v>
      </c>
      <c r="B27" t="s">
        <v>586</v>
      </c>
      <c r="C27" t="s">
        <v>478</v>
      </c>
      <c r="D27">
        <v>700</v>
      </c>
      <c r="E27">
        <v>4200</v>
      </c>
      <c r="F27" s="53">
        <f>#REF!*#REF!/1000000</f>
        <v>2.94</v>
      </c>
      <c r="G27" s="53"/>
      <c r="H27" s="53">
        <f>#REF!</f>
        <v>700</v>
      </c>
      <c r="I27" s="50">
        <f>E27</f>
        <v>4200</v>
      </c>
      <c r="M27" s="20">
        <f>#REF!/#REF!</f>
        <v>6</v>
      </c>
      <c r="N27">
        <f>#REF!</f>
        <v>700</v>
      </c>
      <c r="O27">
        <f>#REF!</f>
        <v>4200</v>
      </c>
      <c r="P27" t="str">
        <f>#REF!</f>
        <v>S11</v>
      </c>
    </row>
    <row r="28" spans="1:16">
      <c r="A28" t="s">
        <v>482</v>
      </c>
      <c r="B28" t="s">
        <v>481</v>
      </c>
      <c r="C28" t="s">
        <v>479</v>
      </c>
      <c r="D28">
        <v>700</v>
      </c>
      <c r="E28">
        <v>3600</v>
      </c>
      <c r="F28" s="53">
        <f>#REF!*#REF!/1000000</f>
        <v>2.52</v>
      </c>
      <c r="G28" s="53"/>
      <c r="H28" s="53">
        <f>#REF!</f>
        <v>700</v>
      </c>
      <c r="I28" s="50">
        <f>E28</f>
        <v>3600</v>
      </c>
      <c r="M28" s="20">
        <f>#REF!/#REF!</f>
        <v>5.1428571428571432</v>
      </c>
      <c r="N28">
        <f>#REF!</f>
        <v>700</v>
      </c>
      <c r="O28">
        <f>#REF!</f>
        <v>3600</v>
      </c>
      <c r="P28" t="str">
        <f>#REF!</f>
        <v>S12</v>
      </c>
    </row>
    <row r="29" spans="1:16">
      <c r="A29" t="s">
        <v>483</v>
      </c>
      <c r="B29" t="s">
        <v>481</v>
      </c>
      <c r="C29" t="s">
        <v>479</v>
      </c>
      <c r="D29">
        <v>700</v>
      </c>
      <c r="E29">
        <v>3600</v>
      </c>
      <c r="F29" s="53">
        <f>#REF!*#REF!/1000000</f>
        <v>2.52</v>
      </c>
      <c r="G29" s="53"/>
      <c r="H29" s="53">
        <f>#REF!</f>
        <v>700</v>
      </c>
      <c r="I29" s="50">
        <f>E29</f>
        <v>3600</v>
      </c>
      <c r="M29" s="20">
        <f>#REF!/#REF!</f>
        <v>5.1428571428571432</v>
      </c>
      <c r="N29">
        <f>#REF!</f>
        <v>700</v>
      </c>
      <c r="O29">
        <f>#REF!</f>
        <v>3600</v>
      </c>
      <c r="P29" t="str">
        <f>#REF!</f>
        <v>S12</v>
      </c>
    </row>
    <row r="30" spans="1:16">
      <c r="A30" t="s">
        <v>169</v>
      </c>
      <c r="B30" t="s">
        <v>168</v>
      </c>
      <c r="C30" t="s">
        <v>124</v>
      </c>
      <c r="D30">
        <v>1800</v>
      </c>
      <c r="E30">
        <v>2500</v>
      </c>
      <c r="F30">
        <f>#REF!*#REF!/1000000</f>
        <v>4.5</v>
      </c>
      <c r="G30">
        <v>24</v>
      </c>
      <c r="H30" s="53">
        <f>#REF!</f>
        <v>1800</v>
      </c>
      <c r="I30" s="50">
        <f t="shared" si="0"/>
        <v>2500</v>
      </c>
      <c r="M30" s="20">
        <f>#REF!/#REF!</f>
        <v>1.3888888888888888</v>
      </c>
      <c r="N30">
        <f>#REF!</f>
        <v>1800</v>
      </c>
      <c r="O30">
        <f>#REF!</f>
        <v>2500</v>
      </c>
      <c r="P30" t="str">
        <f>#REF!</f>
        <v>S9</v>
      </c>
    </row>
  </sheetData>
  <conditionalFormatting sqref="Q2">
    <cfRule type="cellIs" dxfId="0" priority="1" operator="lessThan">
      <formula>2</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dimension ref="A1:E30"/>
  <sheetViews>
    <sheetView workbookViewId="0">
      <selection activeCell="H19" sqref="H19"/>
    </sheetView>
  </sheetViews>
  <sheetFormatPr defaultRowHeight="15"/>
  <sheetData>
    <row r="1" spans="1:5">
      <c r="A1" t="s">
        <v>110</v>
      </c>
      <c r="B1" t="s">
        <v>111</v>
      </c>
      <c r="C1" t="s">
        <v>112</v>
      </c>
      <c r="D1" t="s">
        <v>113</v>
      </c>
      <c r="E1" t="s">
        <v>114</v>
      </c>
    </row>
    <row r="2" spans="1:5">
      <c r="A2" t="s">
        <v>140</v>
      </c>
      <c r="B2" t="s">
        <v>573</v>
      </c>
      <c r="C2" t="s">
        <v>116</v>
      </c>
      <c r="D2">
        <v>3800</v>
      </c>
      <c r="E2">
        <v>5300</v>
      </c>
    </row>
    <row r="3" spans="1:5">
      <c r="A3" t="s">
        <v>148</v>
      </c>
      <c r="B3" t="s">
        <v>574</v>
      </c>
      <c r="C3" t="s">
        <v>115</v>
      </c>
      <c r="D3">
        <v>2800</v>
      </c>
      <c r="E3">
        <v>3800</v>
      </c>
    </row>
    <row r="4" spans="1:5">
      <c r="A4" t="s">
        <v>153</v>
      </c>
      <c r="B4" t="s">
        <v>575</v>
      </c>
      <c r="C4" t="s">
        <v>120</v>
      </c>
      <c r="D4">
        <v>1800</v>
      </c>
      <c r="E4">
        <v>5800</v>
      </c>
    </row>
    <row r="5" spans="1:5">
      <c r="A5" t="s">
        <v>133</v>
      </c>
      <c r="B5" t="s">
        <v>576</v>
      </c>
      <c r="C5" t="s">
        <v>117</v>
      </c>
      <c r="D5">
        <v>3800</v>
      </c>
      <c r="E5">
        <v>5800</v>
      </c>
    </row>
    <row r="6" spans="1:5">
      <c r="A6" t="s">
        <v>142</v>
      </c>
      <c r="B6" t="s">
        <v>577</v>
      </c>
      <c r="C6" t="s">
        <v>116</v>
      </c>
      <c r="D6">
        <v>3800</v>
      </c>
      <c r="E6">
        <v>5300</v>
      </c>
    </row>
    <row r="7" spans="1:5">
      <c r="A7" t="s">
        <v>158</v>
      </c>
      <c r="B7" t="s">
        <v>578</v>
      </c>
      <c r="C7" t="s">
        <v>118</v>
      </c>
      <c r="D7">
        <v>1800</v>
      </c>
      <c r="E7">
        <v>5300</v>
      </c>
    </row>
    <row r="8" spans="1:5">
      <c r="A8" t="s">
        <v>164</v>
      </c>
      <c r="B8" t="s">
        <v>579</v>
      </c>
      <c r="C8" t="s">
        <v>119</v>
      </c>
      <c r="D8">
        <v>1800</v>
      </c>
      <c r="E8">
        <v>2800</v>
      </c>
    </row>
    <row r="9" spans="1:5">
      <c r="A9" t="s">
        <v>161</v>
      </c>
      <c r="B9" t="s">
        <v>580</v>
      </c>
      <c r="C9" t="s">
        <v>121</v>
      </c>
      <c r="D9">
        <v>1800</v>
      </c>
      <c r="E9">
        <v>3800</v>
      </c>
    </row>
    <row r="10" spans="1:5">
      <c r="A10" t="s">
        <v>163</v>
      </c>
      <c r="B10" t="s">
        <v>580</v>
      </c>
      <c r="C10" t="s">
        <v>121</v>
      </c>
      <c r="D10">
        <v>1800</v>
      </c>
      <c r="E10">
        <v>3800</v>
      </c>
    </row>
    <row r="11" spans="1:5">
      <c r="A11" t="s">
        <v>156</v>
      </c>
      <c r="B11" t="s">
        <v>581</v>
      </c>
      <c r="C11" t="s">
        <v>123</v>
      </c>
      <c r="D11">
        <v>2700</v>
      </c>
      <c r="E11">
        <v>3800</v>
      </c>
    </row>
    <row r="12" spans="1:5">
      <c r="A12" t="s">
        <v>144</v>
      </c>
      <c r="B12" t="s">
        <v>573</v>
      </c>
      <c r="C12" t="s">
        <v>116</v>
      </c>
      <c r="D12">
        <v>3800</v>
      </c>
      <c r="E12">
        <v>5300</v>
      </c>
    </row>
    <row r="13" spans="1:5">
      <c r="A13" t="s">
        <v>150</v>
      </c>
      <c r="B13" t="s">
        <v>574</v>
      </c>
      <c r="C13" t="s">
        <v>115</v>
      </c>
      <c r="D13">
        <v>2800</v>
      </c>
      <c r="E13">
        <v>3800</v>
      </c>
    </row>
    <row r="14" spans="1:5">
      <c r="A14" t="s">
        <v>155</v>
      </c>
      <c r="B14" t="s">
        <v>575</v>
      </c>
      <c r="C14" t="s">
        <v>120</v>
      </c>
      <c r="D14">
        <v>1800</v>
      </c>
      <c r="E14">
        <v>5800</v>
      </c>
    </row>
    <row r="15" spans="1:5">
      <c r="A15" t="s">
        <v>135</v>
      </c>
      <c r="B15" t="s">
        <v>576</v>
      </c>
      <c r="C15" t="s">
        <v>117</v>
      </c>
      <c r="D15">
        <v>3800</v>
      </c>
      <c r="E15">
        <v>5800</v>
      </c>
    </row>
    <row r="16" spans="1:5">
      <c r="A16" t="s">
        <v>145</v>
      </c>
      <c r="B16" t="s">
        <v>577</v>
      </c>
      <c r="C16" t="s">
        <v>116</v>
      </c>
      <c r="D16">
        <v>3800</v>
      </c>
      <c r="E16">
        <v>5300</v>
      </c>
    </row>
    <row r="17" spans="1:5">
      <c r="A17" t="s">
        <v>160</v>
      </c>
      <c r="B17" t="s">
        <v>578</v>
      </c>
      <c r="C17" t="s">
        <v>118</v>
      </c>
      <c r="D17">
        <v>1800</v>
      </c>
      <c r="E17">
        <v>5300</v>
      </c>
    </row>
    <row r="18" spans="1:5">
      <c r="A18" t="s">
        <v>166</v>
      </c>
      <c r="B18" t="s">
        <v>579</v>
      </c>
      <c r="C18" t="s">
        <v>119</v>
      </c>
      <c r="D18">
        <v>1800</v>
      </c>
      <c r="E18">
        <v>2800</v>
      </c>
    </row>
    <row r="19" spans="1:5">
      <c r="A19" t="s">
        <v>136</v>
      </c>
      <c r="B19" t="s">
        <v>576</v>
      </c>
      <c r="C19" t="s">
        <v>117</v>
      </c>
      <c r="D19">
        <v>3800</v>
      </c>
      <c r="E19">
        <v>5800</v>
      </c>
    </row>
    <row r="20" spans="1:5">
      <c r="A20" t="s">
        <v>137</v>
      </c>
      <c r="B20" t="s">
        <v>576</v>
      </c>
      <c r="C20" t="s">
        <v>117</v>
      </c>
      <c r="D20">
        <v>3800</v>
      </c>
      <c r="E20">
        <v>5800</v>
      </c>
    </row>
    <row r="21" spans="1:5">
      <c r="A21" t="s">
        <v>151</v>
      </c>
      <c r="B21" t="s">
        <v>574</v>
      </c>
      <c r="C21" t="s">
        <v>115</v>
      </c>
      <c r="D21">
        <v>2800</v>
      </c>
      <c r="E21">
        <v>3800</v>
      </c>
    </row>
    <row r="22" spans="1:5">
      <c r="A22" t="s">
        <v>167</v>
      </c>
      <c r="B22" t="s">
        <v>582</v>
      </c>
      <c r="C22" t="s">
        <v>124</v>
      </c>
      <c r="D22">
        <v>1800</v>
      </c>
      <c r="E22">
        <v>2500</v>
      </c>
    </row>
    <row r="23" spans="1:5">
      <c r="A23" t="s">
        <v>146</v>
      </c>
      <c r="B23" t="s">
        <v>583</v>
      </c>
      <c r="C23" t="s">
        <v>122</v>
      </c>
      <c r="D23">
        <v>3800</v>
      </c>
      <c r="E23">
        <v>3800</v>
      </c>
    </row>
    <row r="24" spans="1:5">
      <c r="A24" t="s">
        <v>152</v>
      </c>
      <c r="B24" t="s">
        <v>574</v>
      </c>
      <c r="C24" t="s">
        <v>115</v>
      </c>
      <c r="D24">
        <v>2800</v>
      </c>
      <c r="E24">
        <v>3800</v>
      </c>
    </row>
    <row r="25" spans="1:5">
      <c r="A25" t="s">
        <v>169</v>
      </c>
      <c r="B25" t="s">
        <v>582</v>
      </c>
      <c r="C25" t="s">
        <v>124</v>
      </c>
      <c r="D25">
        <v>1800</v>
      </c>
      <c r="E25">
        <v>2500</v>
      </c>
    </row>
    <row r="26" spans="1:5">
      <c r="A26" t="s">
        <v>138</v>
      </c>
      <c r="B26" t="s">
        <v>576</v>
      </c>
      <c r="C26" t="s">
        <v>584</v>
      </c>
      <c r="D26">
        <v>3800</v>
      </c>
      <c r="E26">
        <v>5800</v>
      </c>
    </row>
    <row r="27" spans="1:5">
      <c r="A27" t="s">
        <v>139</v>
      </c>
      <c r="B27" t="s">
        <v>576</v>
      </c>
      <c r="C27" t="s">
        <v>585</v>
      </c>
      <c r="D27">
        <v>3800</v>
      </c>
      <c r="E27">
        <v>5800</v>
      </c>
    </row>
    <row r="28" spans="1:5">
      <c r="A28" t="s">
        <v>480</v>
      </c>
      <c r="B28" t="s">
        <v>586</v>
      </c>
      <c r="C28" t="s">
        <v>478</v>
      </c>
      <c r="D28">
        <v>700</v>
      </c>
      <c r="E28">
        <v>4200</v>
      </c>
    </row>
    <row r="29" spans="1:5">
      <c r="A29" t="s">
        <v>482</v>
      </c>
      <c r="B29" t="s">
        <v>481</v>
      </c>
      <c r="C29" t="s">
        <v>479</v>
      </c>
      <c r="D29">
        <v>700</v>
      </c>
      <c r="E29">
        <v>3600</v>
      </c>
    </row>
    <row r="30" spans="1:5">
      <c r="A30" t="s">
        <v>483</v>
      </c>
      <c r="B30" t="s">
        <v>481</v>
      </c>
      <c r="C30" t="s">
        <v>479</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5</vt:i4>
      </vt:variant>
    </vt:vector>
  </HeadingPairs>
  <TitlesOfParts>
    <vt:vector size="28" baseType="lpstr">
      <vt:lpstr>TH</vt:lpstr>
      <vt:lpstr>config</vt:lpstr>
      <vt:lpstr>Cotthep</vt:lpstr>
      <vt:lpstr>betong</vt:lpstr>
      <vt:lpstr>tinhtai_san</vt:lpstr>
      <vt:lpstr>hoattai_san</vt:lpstr>
      <vt:lpstr>tải sàn</vt:lpstr>
      <vt:lpstr>momen 1p</vt:lpstr>
      <vt:lpstr>dam loai 1 T2</vt:lpstr>
      <vt:lpstr>dam loai 2 T2</vt:lpstr>
      <vt:lpstr>dam loai 3 T2</vt:lpstr>
      <vt:lpstr>TONG HOP T2</vt:lpstr>
      <vt:lpstr>dam loai 1 TD</vt:lpstr>
      <vt:lpstr>dam loai 2 TD</vt:lpstr>
      <vt:lpstr>dam loai 3 TD</vt:lpstr>
      <vt:lpstr>TONG HOP TD</vt:lpstr>
      <vt:lpstr>thepsan 1p</vt:lpstr>
      <vt:lpstr>momensan</vt:lpstr>
      <vt:lpstr>thepsan</vt:lpstr>
      <vt:lpstr>du lieu</vt:lpstr>
      <vt:lpstr>tra thep</vt:lpstr>
      <vt:lpstr>TINH TOAN</vt:lpstr>
      <vt:lpstr>Sheet1</vt:lpstr>
      <vt:lpstr>TH!_Toc445542596</vt:lpstr>
      <vt:lpstr>TH!_Toc445542641</vt:lpstr>
      <vt:lpstr>TH!_Toc44590596</vt:lpstr>
      <vt:lpstr>TH!_Toc44590676</vt:lpstr>
      <vt:lpstr>solethapphan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2020-07-18T15:50:53Z</dcterms:modified>
</cp:coreProperties>
</file>