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embeddings/oleObject20.bin" ContentType="application/vnd.openxmlformats-officedocument.oleObject"/>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embeddings/oleObject28.bin" ContentType="application/vnd.openxmlformats-officedocument.oleObject"/>
  <Override PartName="/xl/embeddings/oleObject29.bin" ContentType="application/vnd.openxmlformats-officedocument.oleObject"/>
  <Override PartName="/xl/embeddings/oleObject30.bin" ContentType="application/vnd.openxmlformats-officedocument.oleObject"/>
  <Override PartName="/xl/drawings/drawing11.xml" ContentType="application/vnd.openxmlformats-officedocument.drawing+xml"/>
  <Override PartName="/xl/drawings/drawing12.xml" ContentType="application/vnd.openxmlformats-officedocument.drawing+xml"/>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xl/embeddings/oleObject34.bin" ContentType="application/vnd.openxmlformats-officedocument.oleObject"/>
  <Override PartName="/xl/embeddings/oleObject35.bin" ContentType="application/vnd.openxmlformats-officedocument.oleObject"/>
  <Override PartName="/xl/embeddings/oleObject36.bin" ContentType="application/vnd.openxmlformats-officedocument.oleObject"/>
  <Override PartName="/xl/embeddings/oleObject37.bin" ContentType="application/vnd.openxmlformats-officedocument.oleObject"/>
  <Override PartName="/xl/embeddings/oleObject38.bin" ContentType="application/vnd.openxmlformats-officedocument.oleObject"/>
  <Override PartName="/xl/embeddings/oleObject39.bin" ContentType="application/vnd.openxmlformats-officedocument.oleObject"/>
  <Override PartName="/xl/embeddings/oleObject40.bin" ContentType="application/vnd.openxmlformats-officedocument.oleObject"/>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F:\LVTN\Thuyet minh\"/>
    </mc:Choice>
  </mc:AlternateContent>
  <xr:revisionPtr revIDLastSave="0" documentId="13_ncr:1_{92384CAD-5BA6-4203-89E9-464815687521}" xr6:coauthVersionLast="47" xr6:coauthVersionMax="47" xr10:uidLastSave="{00000000-0000-0000-0000-000000000000}"/>
  <bookViews>
    <workbookView xWindow="-110" yWindow="-110" windowWidth="38620" windowHeight="21100" tabRatio="805" firstSheet="4" activeTab="8" xr2:uid="{00000000-000D-0000-FFFF-FFFF00000000}"/>
  </bookViews>
  <sheets>
    <sheet name="momen 1p" sheetId="12" r:id="rId1"/>
    <sheet name="thepsan 1p" sheetId="13" r:id="rId2"/>
    <sheet name="SĐD_1 Phương" sheetId="31" r:id="rId3"/>
    <sheet name="TH" sheetId="1" r:id="rId4"/>
    <sheet name="TinhMong" sheetId="37" r:id="rId5"/>
    <sheet name="TinhMongM2XXX" sheetId="42" r:id="rId6"/>
    <sheet name="TinhMongM2" sheetId="43" r:id="rId7"/>
    <sheet name="TinhMongM2 (tinh tam giac)" sheetId="44" r:id="rId8"/>
    <sheet name="Co Ly dat" sheetId="38" r:id="rId9"/>
    <sheet name="Suc khang than coc" sheetId="41" r:id="rId10"/>
    <sheet name="Bangtinhmong" sheetId="40" r:id="rId11"/>
    <sheet name="Bangtra" sheetId="39" r:id="rId12"/>
    <sheet name="Giatricotdienhinh" sheetId="35" r:id="rId13"/>
    <sheet name="Tầng theo" sheetId="36" r:id="rId14"/>
    <sheet name="Tinh cot" sheetId="34" r:id="rId15"/>
    <sheet name="Sheet2" sheetId="32" r:id="rId16"/>
    <sheet name="SĐĐH_2 Phương" sheetId="30" r:id="rId17"/>
    <sheet name="thepsan" sheetId="17" r:id="rId18"/>
    <sheet name="BANGTINHCOT" sheetId="33" r:id="rId19"/>
    <sheet name="momensan" sheetId="16" r:id="rId20"/>
    <sheet name="Thong so vat lieu" sheetId="27" r:id="rId21"/>
    <sheet name="Bảng tra_VL" sheetId="28" r:id="rId22"/>
    <sheet name="Bảng tra hệ số ĐH" sheetId="29" r:id="rId23"/>
    <sheet name="config" sheetId="6" r:id="rId24"/>
    <sheet name="Cotthep" sheetId="3" r:id="rId25"/>
    <sheet name="betong" sheetId="4" r:id="rId26"/>
    <sheet name="tinhtai_san" sheetId="5" r:id="rId27"/>
    <sheet name="hoattai_san" sheetId="7" r:id="rId28"/>
    <sheet name="tải sàn" sheetId="11" r:id="rId29"/>
    <sheet name="dam loai 1 T2" sheetId="19" r:id="rId30"/>
    <sheet name="dam loai 2 T2" sheetId="20" r:id="rId31"/>
    <sheet name="dam loai 3 T2" sheetId="25" r:id="rId32"/>
    <sheet name="TONG HOP T2" sheetId="21" r:id="rId33"/>
    <sheet name="dam loai 1 TD" sheetId="22" r:id="rId34"/>
    <sheet name="dam loai 2 TD" sheetId="23" r:id="rId35"/>
    <sheet name="dam loai 3 TD" sheetId="26" r:id="rId36"/>
    <sheet name="TONG HOP TD" sheetId="24" r:id="rId37"/>
    <sheet name="du lieu" sheetId="15" r:id="rId38"/>
    <sheet name="tra thep" sheetId="14" r:id="rId39"/>
    <sheet name="TINH TOAN" sheetId="8" r:id="rId40"/>
    <sheet name="Sheet1" sheetId="18" r:id="rId41"/>
  </sheets>
  <externalReferences>
    <externalReference r:id="rId42"/>
    <externalReference r:id="rId43"/>
    <externalReference r:id="rId44"/>
    <externalReference r:id="rId45"/>
  </externalReferences>
  <definedNames>
    <definedName name="_Hlk46077046" localSheetId="18">BANGTINHCOT!$A$1</definedName>
    <definedName name="_Toc445542596" localSheetId="3">TH!$A$63</definedName>
    <definedName name="_Toc445542641" localSheetId="3">TH!$A$179</definedName>
    <definedName name="_Toc44590596" localSheetId="3">TH!$A$46</definedName>
    <definedName name="_Toc44590676" localSheetId="3">TH!$A$242</definedName>
    <definedName name="_Toc44590707" localSheetId="4">TinhMong!$A$77</definedName>
    <definedName name="_Toc44590707" localSheetId="6">TinhMongM2!$A$77</definedName>
    <definedName name="_Toc44590707" localSheetId="7">'TinhMongM2 (tinh tam giac)'!$A$77</definedName>
    <definedName name="_Toc44590707" localSheetId="5">TinhMongM2XXX!$A$77</definedName>
    <definedName name="_Toc44590737" localSheetId="4">TinhMong!$A$183</definedName>
    <definedName name="_Toc44590739" localSheetId="4">TinhMong!$A$188</definedName>
    <definedName name="_Toc44590740" localSheetId="4">TinhMong!$A$200</definedName>
    <definedName name="B_BT">'Thong so vat lieu'!$E$36:$O$40</definedName>
    <definedName name="B_CT">'Thong so vat lieu'!$E$44:$K$49</definedName>
    <definedName name="Ebt">'Thong so vat lieu'!$G$6</definedName>
    <definedName name="ExternalData_1" localSheetId="39" hidden="1">'TINH TOAN'!$A$1:$H$31</definedName>
    <definedName name="h0_san">TH!$I$45</definedName>
    <definedName name="KH_SAN">'TINH TOAN'!$C$2:$E$31</definedName>
    <definedName name="KH_SAN2">'tải sàn'!$B$5:$F$19</definedName>
    <definedName name="MBT">'Thong so vat lieu'!$E$36:$O$36</definedName>
    <definedName name="MBT_2">[1]DATA!$J$9:$T$9</definedName>
    <definedName name="MT">'Thong so vat lieu'!$E$44:$K$45</definedName>
    <definedName name="Rb">'Thong so vat lieu'!$G$4</definedName>
    <definedName name="Rbt">'Thong so vat lieu'!$G$5</definedName>
    <definedName name="Rs_1">'Thong so vat lieu'!$G$8</definedName>
    <definedName name="Rs_2">'Thong so vat lieu'!$G$15</definedName>
    <definedName name="Rsc_1">'Thong so vat lieu'!$G$9</definedName>
    <definedName name="Rsc_2">'Thong so vat lieu'!$G$16</definedName>
    <definedName name="solethapphan">config!$B$1</definedName>
    <definedName name="tb_colydat">'Co Ly dat'!$A$7:$AH$14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162" i="44" l="1"/>
  <c r="B112" i="1"/>
  <c r="B98" i="44"/>
  <c r="B97" i="44"/>
  <c r="B96" i="44"/>
  <c r="H96" i="44"/>
  <c r="F96" i="44"/>
  <c r="D97" i="44"/>
  <c r="C187" i="44"/>
  <c r="C185" i="44"/>
  <c r="D184" i="44"/>
  <c r="E183" i="44"/>
  <c r="E182" i="44"/>
  <c r="B179" i="44"/>
  <c r="S174" i="44"/>
  <c r="C173" i="44"/>
  <c r="W172" i="44"/>
  <c r="J172" i="44"/>
  <c r="AA171" i="44"/>
  <c r="W171" i="44"/>
  <c r="C171" i="44"/>
  <c r="W170" i="44"/>
  <c r="M170" i="44"/>
  <c r="N170" i="44" s="1"/>
  <c r="J170" i="44"/>
  <c r="D170" i="44"/>
  <c r="AA169" i="44"/>
  <c r="W169" i="44"/>
  <c r="W168" i="44"/>
  <c r="AA167" i="44"/>
  <c r="W167" i="44"/>
  <c r="W166" i="44"/>
  <c r="AA165" i="44"/>
  <c r="W165" i="44"/>
  <c r="B165" i="44"/>
  <c r="W164" i="44"/>
  <c r="AA163" i="44"/>
  <c r="W163" i="44"/>
  <c r="AA162" i="44"/>
  <c r="W162" i="44"/>
  <c r="W161" i="44"/>
  <c r="C155" i="44"/>
  <c r="B154" i="44"/>
  <c r="C154" i="44" s="1"/>
  <c r="H153" i="44"/>
  <c r="C153" i="44"/>
  <c r="B153" i="44"/>
  <c r="H152" i="44"/>
  <c r="H151" i="44"/>
  <c r="K145" i="44"/>
  <c r="L145" i="44" s="1"/>
  <c r="H144" i="44"/>
  <c r="H143" i="44"/>
  <c r="J140" i="44"/>
  <c r="J142" i="44" s="1"/>
  <c r="H140" i="44"/>
  <c r="K139" i="44"/>
  <c r="J139" i="44"/>
  <c r="I139" i="44"/>
  <c r="H139" i="44"/>
  <c r="B138" i="44"/>
  <c r="J136" i="44"/>
  <c r="B136" i="44"/>
  <c r="J135" i="44"/>
  <c r="I135" i="44"/>
  <c r="B135" i="44"/>
  <c r="H134" i="44"/>
  <c r="H135" i="44" s="1"/>
  <c r="B134" i="44"/>
  <c r="G131" i="44"/>
  <c r="E131" i="44"/>
  <c r="B121" i="44"/>
  <c r="K119" i="44"/>
  <c r="I119" i="44" s="1"/>
  <c r="K118" i="44"/>
  <c r="I118" i="44"/>
  <c r="B114" i="44"/>
  <c r="F113" i="44"/>
  <c r="B113" i="44"/>
  <c r="F116" i="44" s="1"/>
  <c r="Q111" i="44"/>
  <c r="K111" i="44"/>
  <c r="J111" i="44"/>
  <c r="G111" i="44"/>
  <c r="S111" i="44" s="1"/>
  <c r="F111" i="44"/>
  <c r="R111" i="44" s="1"/>
  <c r="E111" i="44"/>
  <c r="S110" i="44"/>
  <c r="Q110" i="44"/>
  <c r="K110" i="44"/>
  <c r="J110" i="44"/>
  <c r="I110" i="44"/>
  <c r="U110" i="44" s="1"/>
  <c r="G110" i="44"/>
  <c r="E110" i="44"/>
  <c r="S109" i="44"/>
  <c r="K109" i="44"/>
  <c r="J109" i="44"/>
  <c r="G109" i="44"/>
  <c r="E109" i="44"/>
  <c r="Q109" i="44" s="1"/>
  <c r="Q107" i="44"/>
  <c r="K106" i="44"/>
  <c r="U103" i="44"/>
  <c r="T103" i="44"/>
  <c r="S103" i="44"/>
  <c r="R103" i="44"/>
  <c r="I103" i="44"/>
  <c r="I111" i="44" s="1"/>
  <c r="U111" i="44" s="1"/>
  <c r="H103" i="44"/>
  <c r="H111" i="44" s="1"/>
  <c r="T111" i="44" s="1"/>
  <c r="S102" i="44"/>
  <c r="Q102" i="44"/>
  <c r="I102" i="44"/>
  <c r="U102" i="44" s="1"/>
  <c r="S101" i="44"/>
  <c r="Q101" i="44"/>
  <c r="I101" i="44"/>
  <c r="I104" i="44" s="1"/>
  <c r="Q100" i="44"/>
  <c r="B95" i="44"/>
  <c r="D115" i="44" s="1"/>
  <c r="B115" i="44" s="1"/>
  <c r="M94" i="44"/>
  <c r="K94" i="44"/>
  <c r="J94" i="44"/>
  <c r="I94" i="44"/>
  <c r="L94" i="44" s="1"/>
  <c r="H94" i="44"/>
  <c r="G94" i="44"/>
  <c r="E94" i="44"/>
  <c r="K93" i="44"/>
  <c r="M93" i="44" s="1"/>
  <c r="J93" i="44"/>
  <c r="L93" i="44" s="1"/>
  <c r="I93" i="44"/>
  <c r="H93" i="44"/>
  <c r="G93" i="44"/>
  <c r="E93" i="44"/>
  <c r="B93" i="44"/>
  <c r="F101" i="44" s="1"/>
  <c r="M92" i="44"/>
  <c r="K92" i="44"/>
  <c r="J92" i="44"/>
  <c r="I92" i="44"/>
  <c r="L92" i="44" s="1"/>
  <c r="H92" i="44"/>
  <c r="G92" i="44"/>
  <c r="E92" i="44"/>
  <c r="K91" i="44"/>
  <c r="J91" i="44"/>
  <c r="I91" i="44"/>
  <c r="L91" i="44" s="1"/>
  <c r="H91" i="44"/>
  <c r="M91" i="44" s="1"/>
  <c r="G91" i="44"/>
  <c r="E91" i="44"/>
  <c r="M90" i="44"/>
  <c r="B127" i="44" s="1"/>
  <c r="K90" i="44"/>
  <c r="J90" i="44"/>
  <c r="I90" i="44"/>
  <c r="L90" i="44" s="1"/>
  <c r="B126" i="44" s="1"/>
  <c r="H90" i="44"/>
  <c r="G90" i="44"/>
  <c r="E90" i="44"/>
  <c r="L79" i="44"/>
  <c r="L78" i="44"/>
  <c r="K77" i="44"/>
  <c r="L77" i="44" s="1"/>
  <c r="B76" i="44"/>
  <c r="B68" i="44"/>
  <c r="D68" i="44" s="1"/>
  <c r="R63" i="44"/>
  <c r="R62" i="44"/>
  <c r="B62" i="44"/>
  <c r="D62" i="44" s="1"/>
  <c r="R61" i="44"/>
  <c r="N61" i="44"/>
  <c r="N62" i="44" s="1"/>
  <c r="N63" i="44" s="1"/>
  <c r="B61" i="44"/>
  <c r="F69" i="44" s="1"/>
  <c r="B54" i="44"/>
  <c r="B53" i="44"/>
  <c r="B52" i="44"/>
  <c r="B60" i="44" s="1"/>
  <c r="B58" i="44" s="1"/>
  <c r="B57" i="44" s="1"/>
  <c r="B63" i="44" s="1"/>
  <c r="B51" i="44"/>
  <c r="B50" i="44"/>
  <c r="H133" i="44" s="1"/>
  <c r="B49" i="44"/>
  <c r="O64" i="44" s="1"/>
  <c r="B48" i="44"/>
  <c r="B47" i="44"/>
  <c r="B46" i="44"/>
  <c r="D46" i="44" s="1"/>
  <c r="B45" i="44"/>
  <c r="P43" i="44"/>
  <c r="O43" i="44"/>
  <c r="N43" i="44"/>
  <c r="M43" i="44"/>
  <c r="J174" i="44" s="1"/>
  <c r="L43" i="44"/>
  <c r="K43" i="44"/>
  <c r="J43" i="44"/>
  <c r="I43" i="44"/>
  <c r="B79" i="44" s="1"/>
  <c r="H43" i="44"/>
  <c r="G43" i="44"/>
  <c r="F43" i="44"/>
  <c r="E43" i="44"/>
  <c r="D43" i="44"/>
  <c r="C43" i="44"/>
  <c r="D40" i="44"/>
  <c r="D39" i="44"/>
  <c r="B94" i="44" s="1"/>
  <c r="I37" i="44"/>
  <c r="H37" i="44"/>
  <c r="G37" i="44"/>
  <c r="F37" i="44"/>
  <c r="E37" i="44"/>
  <c r="D37" i="44"/>
  <c r="C37" i="44"/>
  <c r="B37" i="44"/>
  <c r="A37" i="44"/>
  <c r="I36" i="44"/>
  <c r="H36" i="44"/>
  <c r="G36" i="44"/>
  <c r="F36" i="44"/>
  <c r="E36" i="44"/>
  <c r="D36" i="44"/>
  <c r="C36" i="44"/>
  <c r="B36" i="44"/>
  <c r="A36" i="44"/>
  <c r="I35" i="44"/>
  <c r="H35" i="44"/>
  <c r="G35" i="44"/>
  <c r="F35" i="44"/>
  <c r="E35" i="44"/>
  <c r="D35" i="44"/>
  <c r="C35" i="44"/>
  <c r="B35" i="44"/>
  <c r="A35" i="44"/>
  <c r="I34" i="44"/>
  <c r="H34" i="44"/>
  <c r="G34" i="44"/>
  <c r="F34" i="44"/>
  <c r="E34" i="44"/>
  <c r="D34" i="44"/>
  <c r="C34" i="44"/>
  <c r="B34" i="44"/>
  <c r="A34" i="44"/>
  <c r="I33" i="44"/>
  <c r="H33" i="44"/>
  <c r="G33" i="44"/>
  <c r="F33" i="44"/>
  <c r="E33" i="44"/>
  <c r="D33" i="44"/>
  <c r="C33" i="44"/>
  <c r="B33" i="44"/>
  <c r="A33" i="44"/>
  <c r="I32" i="44"/>
  <c r="H32" i="44"/>
  <c r="G32" i="44"/>
  <c r="F32" i="44"/>
  <c r="E32" i="44"/>
  <c r="D32" i="44"/>
  <c r="C32" i="44"/>
  <c r="B32" i="44"/>
  <c r="A32" i="44"/>
  <c r="I31" i="44"/>
  <c r="H31" i="44"/>
  <c r="G31" i="44"/>
  <c r="F31" i="44"/>
  <c r="E31" i="44"/>
  <c r="D31" i="44"/>
  <c r="C31" i="44"/>
  <c r="B31" i="44"/>
  <c r="A31" i="44"/>
  <c r="I30" i="44"/>
  <c r="H30" i="44"/>
  <c r="G30" i="44"/>
  <c r="F30" i="44"/>
  <c r="E30" i="44"/>
  <c r="D30" i="44"/>
  <c r="C30" i="44"/>
  <c r="B30" i="44"/>
  <c r="A30" i="44"/>
  <c r="I29" i="44"/>
  <c r="H29" i="44"/>
  <c r="G29" i="44"/>
  <c r="F29" i="44"/>
  <c r="E29" i="44"/>
  <c r="D29" i="44"/>
  <c r="C29" i="44"/>
  <c r="B29" i="44"/>
  <c r="A29" i="44"/>
  <c r="I28" i="44"/>
  <c r="H28" i="44"/>
  <c r="G28" i="44"/>
  <c r="F28" i="44"/>
  <c r="E28" i="44"/>
  <c r="D28" i="44"/>
  <c r="C28" i="44"/>
  <c r="B28" i="44"/>
  <c r="A28" i="44"/>
  <c r="I27" i="44"/>
  <c r="H27" i="44"/>
  <c r="G27" i="44"/>
  <c r="F27" i="44"/>
  <c r="E27" i="44"/>
  <c r="D27" i="44"/>
  <c r="C27" i="44"/>
  <c r="B27" i="44"/>
  <c r="A27" i="44"/>
  <c r="I26" i="44"/>
  <c r="H26" i="44"/>
  <c r="G26" i="44"/>
  <c r="F26" i="44"/>
  <c r="E26" i="44"/>
  <c r="D26" i="44"/>
  <c r="C26" i="44"/>
  <c r="B26" i="44"/>
  <c r="A26" i="44"/>
  <c r="I25" i="44"/>
  <c r="H25" i="44"/>
  <c r="G25" i="44"/>
  <c r="F25" i="44"/>
  <c r="E25" i="44"/>
  <c r="D25" i="44"/>
  <c r="C25" i="44"/>
  <c r="B25" i="44"/>
  <c r="A25" i="44"/>
  <c r="I24" i="44"/>
  <c r="G24" i="44"/>
  <c r="F24" i="44"/>
  <c r="E24" i="44"/>
  <c r="D24" i="44"/>
  <c r="C24" i="44"/>
  <c r="B24" i="44"/>
  <c r="H24" i="44" s="1"/>
  <c r="A24" i="44"/>
  <c r="I23" i="44"/>
  <c r="G23" i="44"/>
  <c r="F23" i="44"/>
  <c r="E23" i="44"/>
  <c r="D23" i="44"/>
  <c r="C23" i="44"/>
  <c r="B23" i="44"/>
  <c r="H23" i="44" s="1"/>
  <c r="A23" i="44"/>
  <c r="I22" i="44"/>
  <c r="H22" i="44"/>
  <c r="G22" i="44"/>
  <c r="F22" i="44"/>
  <c r="E22" i="44"/>
  <c r="D22" i="44"/>
  <c r="C22" i="44"/>
  <c r="A22" i="44"/>
  <c r="I21" i="44"/>
  <c r="H21" i="44"/>
  <c r="G21" i="44"/>
  <c r="F21" i="44"/>
  <c r="E21" i="44"/>
  <c r="D21" i="44"/>
  <c r="A21" i="44"/>
  <c r="I20" i="44"/>
  <c r="H20" i="44"/>
  <c r="G20" i="44"/>
  <c r="F20" i="44"/>
  <c r="E20" i="44"/>
  <c r="D20" i="44"/>
  <c r="C20" i="44"/>
  <c r="B20" i="44"/>
  <c r="A20" i="44"/>
  <c r="I19" i="44"/>
  <c r="H19" i="44"/>
  <c r="G19" i="44"/>
  <c r="F19" i="44"/>
  <c r="E19" i="44"/>
  <c r="D19" i="44"/>
  <c r="C19" i="44"/>
  <c r="B19" i="44"/>
  <c r="A19" i="44"/>
  <c r="I18" i="44"/>
  <c r="H18" i="44"/>
  <c r="G18" i="44"/>
  <c r="F18" i="44"/>
  <c r="E18" i="44"/>
  <c r="D18" i="44"/>
  <c r="C18" i="44"/>
  <c r="B18" i="44"/>
  <c r="A18" i="44"/>
  <c r="I17" i="44"/>
  <c r="H17" i="44"/>
  <c r="G17" i="44"/>
  <c r="F17" i="44"/>
  <c r="E17" i="44"/>
  <c r="D17" i="44"/>
  <c r="C17" i="44"/>
  <c r="B17" i="44"/>
  <c r="A17" i="44"/>
  <c r="I16" i="44"/>
  <c r="H16" i="44"/>
  <c r="G16" i="44"/>
  <c r="F16" i="44"/>
  <c r="E16" i="44"/>
  <c r="D16" i="44"/>
  <c r="C16" i="44"/>
  <c r="B16" i="44"/>
  <c r="A16" i="44"/>
  <c r="I15" i="44"/>
  <c r="H15" i="44"/>
  <c r="G15" i="44"/>
  <c r="F15" i="44"/>
  <c r="E15" i="44"/>
  <c r="D15" i="44"/>
  <c r="C15" i="44"/>
  <c r="B15" i="44"/>
  <c r="A15" i="44"/>
  <c r="I14" i="44"/>
  <c r="H14" i="44"/>
  <c r="G14" i="44"/>
  <c r="F14" i="44"/>
  <c r="E14" i="44"/>
  <c r="D14" i="44"/>
  <c r="C14" i="44"/>
  <c r="B14" i="44"/>
  <c r="A14" i="44"/>
  <c r="I13" i="44"/>
  <c r="H13" i="44"/>
  <c r="G13" i="44"/>
  <c r="F13" i="44"/>
  <c r="E13" i="44"/>
  <c r="D13" i="44"/>
  <c r="C13" i="44"/>
  <c r="B13" i="44"/>
  <c r="A13" i="44"/>
  <c r="I12" i="44"/>
  <c r="H12" i="44"/>
  <c r="G12" i="44"/>
  <c r="F12" i="44"/>
  <c r="E12" i="44"/>
  <c r="D12" i="44"/>
  <c r="C12" i="44"/>
  <c r="B12" i="44"/>
  <c r="A12" i="44"/>
  <c r="I11" i="44"/>
  <c r="H11" i="44"/>
  <c r="G11" i="44"/>
  <c r="F11" i="44"/>
  <c r="E11" i="44"/>
  <c r="D11" i="44"/>
  <c r="C11" i="44"/>
  <c r="B11" i="44"/>
  <c r="A11" i="44"/>
  <c r="I10" i="44"/>
  <c r="H10" i="44"/>
  <c r="G10" i="44"/>
  <c r="F10" i="44"/>
  <c r="E10" i="44"/>
  <c r="D10" i="44"/>
  <c r="C10" i="44"/>
  <c r="B10" i="44"/>
  <c r="A10" i="44"/>
  <c r="I9" i="44"/>
  <c r="H9" i="44"/>
  <c r="G9" i="44"/>
  <c r="F9" i="44"/>
  <c r="E9" i="44"/>
  <c r="D9" i="44"/>
  <c r="C9" i="44"/>
  <c r="B9" i="44"/>
  <c r="A9" i="44"/>
  <c r="I8" i="44"/>
  <c r="H8" i="44"/>
  <c r="G8" i="44"/>
  <c r="F8" i="44"/>
  <c r="E8" i="44"/>
  <c r="D8" i="44"/>
  <c r="C8" i="44"/>
  <c r="B8" i="44"/>
  <c r="A8" i="44"/>
  <c r="I7" i="44"/>
  <c r="H7" i="44"/>
  <c r="G7" i="44"/>
  <c r="F7" i="44"/>
  <c r="E7" i="44"/>
  <c r="D7" i="44"/>
  <c r="C7" i="44"/>
  <c r="B7" i="44"/>
  <c r="A7" i="44"/>
  <c r="I6" i="44"/>
  <c r="H6" i="44"/>
  <c r="G6" i="44"/>
  <c r="F6" i="44"/>
  <c r="E6" i="44"/>
  <c r="D6" i="44"/>
  <c r="C6" i="44"/>
  <c r="B6" i="44"/>
  <c r="A6" i="44"/>
  <c r="I5" i="44"/>
  <c r="H5" i="44"/>
  <c r="G5" i="44"/>
  <c r="F5" i="44"/>
  <c r="E5" i="44"/>
  <c r="D5" i="44"/>
  <c r="C5" i="44"/>
  <c r="B5" i="44"/>
  <c r="A5" i="44"/>
  <c r="I4" i="44"/>
  <c r="H4" i="44"/>
  <c r="G4" i="44"/>
  <c r="F4" i="44"/>
  <c r="E4" i="44"/>
  <c r="D4" i="44"/>
  <c r="C4" i="44"/>
  <c r="B4" i="44"/>
  <c r="A4" i="44"/>
  <c r="I3" i="44"/>
  <c r="H3" i="44"/>
  <c r="G3" i="44"/>
  <c r="F3" i="44"/>
  <c r="E3" i="44"/>
  <c r="D3" i="44"/>
  <c r="C3" i="44"/>
  <c r="B3" i="44"/>
  <c r="A3" i="44"/>
  <c r="I2" i="44"/>
  <c r="H2" i="44"/>
  <c r="G2" i="44"/>
  <c r="F2" i="44"/>
  <c r="E2" i="44"/>
  <c r="D2" i="44"/>
  <c r="C2" i="44"/>
  <c r="B2" i="44"/>
  <c r="A2" i="44"/>
  <c r="I1" i="44"/>
  <c r="H1" i="44"/>
  <c r="G1" i="44"/>
  <c r="F1" i="44"/>
  <c r="E1" i="44"/>
  <c r="D1" i="44"/>
  <c r="C1" i="44"/>
  <c r="B1" i="44"/>
  <c r="A1" i="44"/>
  <c r="C187" i="43"/>
  <c r="C185" i="43"/>
  <c r="D184" i="43"/>
  <c r="E183" i="43"/>
  <c r="E182" i="43"/>
  <c r="B179" i="43"/>
  <c r="S174" i="43"/>
  <c r="C173" i="43"/>
  <c r="W172" i="43"/>
  <c r="W171" i="43"/>
  <c r="C171" i="43"/>
  <c r="W170" i="43"/>
  <c r="M170" i="43"/>
  <c r="N170" i="43" s="1"/>
  <c r="D170" i="43"/>
  <c r="W169" i="43"/>
  <c r="W168" i="43"/>
  <c r="W167" i="43"/>
  <c r="W166" i="43"/>
  <c r="W165" i="43"/>
  <c r="B165" i="43"/>
  <c r="W164" i="43"/>
  <c r="W163" i="43"/>
  <c r="W162" i="43"/>
  <c r="W161" i="43"/>
  <c r="C155" i="43"/>
  <c r="B154" i="43"/>
  <c r="C154" i="43" s="1"/>
  <c r="H153" i="43"/>
  <c r="C153" i="43"/>
  <c r="B153" i="43"/>
  <c r="H152" i="43"/>
  <c r="H151" i="43"/>
  <c r="K145" i="43"/>
  <c r="L145" i="43" s="1"/>
  <c r="H144" i="43"/>
  <c r="H143" i="43"/>
  <c r="J140" i="43"/>
  <c r="J142" i="43" s="1"/>
  <c r="H140" i="43"/>
  <c r="K139" i="43"/>
  <c r="J139" i="43"/>
  <c r="I139" i="43"/>
  <c r="H139" i="43"/>
  <c r="B138" i="43"/>
  <c r="J136" i="43"/>
  <c r="B136" i="43"/>
  <c r="J135" i="43"/>
  <c r="I135" i="43"/>
  <c r="B135" i="43"/>
  <c r="H134" i="43"/>
  <c r="H135" i="43" s="1"/>
  <c r="B134" i="43"/>
  <c r="G131" i="43"/>
  <c r="I131" i="43" s="1"/>
  <c r="E131" i="43"/>
  <c r="B121" i="43"/>
  <c r="K119" i="43"/>
  <c r="I119" i="43" s="1"/>
  <c r="K118" i="43"/>
  <c r="I118" i="43"/>
  <c r="B114" i="43"/>
  <c r="F113" i="43"/>
  <c r="G113" i="43" s="1"/>
  <c r="H113" i="43" s="1"/>
  <c r="B113" i="43"/>
  <c r="F116" i="43" s="1"/>
  <c r="Q111" i="43"/>
  <c r="K111" i="43"/>
  <c r="J111" i="43"/>
  <c r="G111" i="43"/>
  <c r="S111" i="43" s="1"/>
  <c r="F111" i="43"/>
  <c r="R111" i="43" s="1"/>
  <c r="E111" i="43"/>
  <c r="S110" i="43"/>
  <c r="Q110" i="43"/>
  <c r="K110" i="43"/>
  <c r="J110" i="43"/>
  <c r="I110" i="43"/>
  <c r="U110" i="43" s="1"/>
  <c r="G110" i="43"/>
  <c r="E110" i="43"/>
  <c r="S109" i="43"/>
  <c r="K109" i="43"/>
  <c r="J109" i="43"/>
  <c r="G109" i="43"/>
  <c r="E109" i="43"/>
  <c r="Q109" i="43" s="1"/>
  <c r="Q107" i="43"/>
  <c r="K106" i="43"/>
  <c r="U103" i="43"/>
  <c r="T103" i="43"/>
  <c r="S103" i="43"/>
  <c r="R103" i="43"/>
  <c r="I103" i="43"/>
  <c r="I111" i="43" s="1"/>
  <c r="U111" i="43" s="1"/>
  <c r="H103" i="43"/>
  <c r="H111" i="43" s="1"/>
  <c r="T111" i="43" s="1"/>
  <c r="S102" i="43"/>
  <c r="Q102" i="43"/>
  <c r="I102" i="43"/>
  <c r="U102" i="43" s="1"/>
  <c r="S101" i="43"/>
  <c r="Q101" i="43"/>
  <c r="I101" i="43"/>
  <c r="I104" i="43" s="1"/>
  <c r="Q100" i="43"/>
  <c r="B95" i="43"/>
  <c r="D115" i="43" s="1"/>
  <c r="B115" i="43" s="1"/>
  <c r="M94" i="43"/>
  <c r="K94" i="43"/>
  <c r="J94" i="43"/>
  <c r="I94" i="43"/>
  <c r="L94" i="43" s="1"/>
  <c r="H94" i="43"/>
  <c r="G94" i="43"/>
  <c r="E94" i="43"/>
  <c r="K93" i="43"/>
  <c r="J93" i="43"/>
  <c r="L93" i="43" s="1"/>
  <c r="I93" i="43"/>
  <c r="H93" i="43"/>
  <c r="M93" i="43" s="1"/>
  <c r="G93" i="43"/>
  <c r="E93" i="43"/>
  <c r="B93" i="43"/>
  <c r="F101" i="43" s="1"/>
  <c r="M92" i="43"/>
  <c r="K92" i="43"/>
  <c r="J92" i="43"/>
  <c r="I92" i="43"/>
  <c r="L92" i="43" s="1"/>
  <c r="H92" i="43"/>
  <c r="G92" i="43"/>
  <c r="E92" i="43"/>
  <c r="K91" i="43"/>
  <c r="J91" i="43"/>
  <c r="I91" i="43"/>
  <c r="L91" i="43" s="1"/>
  <c r="H91" i="43"/>
  <c r="M91" i="43" s="1"/>
  <c r="G91" i="43"/>
  <c r="E91" i="43"/>
  <c r="M90" i="43"/>
  <c r="B127" i="43" s="1"/>
  <c r="K90" i="43"/>
  <c r="J90" i="43"/>
  <c r="I90" i="43"/>
  <c r="L90" i="43" s="1"/>
  <c r="B126" i="43" s="1"/>
  <c r="H90" i="43"/>
  <c r="G90" i="43"/>
  <c r="E90" i="43"/>
  <c r="L79" i="43"/>
  <c r="L78" i="43"/>
  <c r="K77" i="43"/>
  <c r="L77" i="43" s="1"/>
  <c r="B76" i="43"/>
  <c r="B68" i="43"/>
  <c r="D68" i="43" s="1"/>
  <c r="R63" i="43"/>
  <c r="R62" i="43"/>
  <c r="B62" i="43"/>
  <c r="D62" i="43" s="1"/>
  <c r="R61" i="43"/>
  <c r="N61" i="43"/>
  <c r="N62" i="43" s="1"/>
  <c r="N63" i="43" s="1"/>
  <c r="N64" i="43" s="1"/>
  <c r="B61" i="43"/>
  <c r="F69" i="43" s="1"/>
  <c r="B54" i="43"/>
  <c r="B53" i="43"/>
  <c r="B52" i="43"/>
  <c r="B60" i="43" s="1"/>
  <c r="B58" i="43" s="1"/>
  <c r="B57" i="43" s="1"/>
  <c r="B63" i="43" s="1"/>
  <c r="B51" i="43"/>
  <c r="B50" i="43"/>
  <c r="H133" i="43" s="1"/>
  <c r="B49" i="43"/>
  <c r="O64" i="43" s="1"/>
  <c r="B48" i="43"/>
  <c r="B47" i="43"/>
  <c r="B46" i="43"/>
  <c r="D46" i="43" s="1"/>
  <c r="B45" i="43"/>
  <c r="P43" i="43"/>
  <c r="O43" i="43"/>
  <c r="N43" i="43"/>
  <c r="M43" i="43"/>
  <c r="J174" i="43" s="1"/>
  <c r="L43" i="43"/>
  <c r="K43" i="43"/>
  <c r="J43" i="43"/>
  <c r="I43" i="43"/>
  <c r="B79" i="43" s="1"/>
  <c r="H43" i="43"/>
  <c r="G43" i="43"/>
  <c r="F43" i="43"/>
  <c r="E43" i="43"/>
  <c r="D43" i="43"/>
  <c r="C43" i="43"/>
  <c r="D40" i="43"/>
  <c r="D39" i="43"/>
  <c r="B94" i="43" s="1"/>
  <c r="B97" i="43" s="1"/>
  <c r="I37" i="43"/>
  <c r="H37" i="43"/>
  <c r="G37" i="43"/>
  <c r="F37" i="43"/>
  <c r="E37" i="43"/>
  <c r="D37" i="43"/>
  <c r="C37" i="43"/>
  <c r="B37" i="43"/>
  <c r="A37" i="43"/>
  <c r="I36" i="43"/>
  <c r="H36" i="43"/>
  <c r="G36" i="43"/>
  <c r="F36" i="43"/>
  <c r="E36" i="43"/>
  <c r="D36" i="43"/>
  <c r="C36" i="43"/>
  <c r="B36" i="43"/>
  <c r="A36" i="43"/>
  <c r="I35" i="43"/>
  <c r="H35" i="43"/>
  <c r="G35" i="43"/>
  <c r="F35" i="43"/>
  <c r="E35" i="43"/>
  <c r="D35" i="43"/>
  <c r="C35" i="43"/>
  <c r="B35" i="43"/>
  <c r="A35" i="43"/>
  <c r="I34" i="43"/>
  <c r="H34" i="43"/>
  <c r="G34" i="43"/>
  <c r="F34" i="43"/>
  <c r="E34" i="43"/>
  <c r="D34" i="43"/>
  <c r="C34" i="43"/>
  <c r="B34" i="43"/>
  <c r="A34" i="43"/>
  <c r="I33" i="43"/>
  <c r="H33" i="43"/>
  <c r="G33" i="43"/>
  <c r="F33" i="43"/>
  <c r="E33" i="43"/>
  <c r="D33" i="43"/>
  <c r="C33" i="43"/>
  <c r="B33" i="43"/>
  <c r="A33" i="43"/>
  <c r="I32" i="43"/>
  <c r="H32" i="43"/>
  <c r="G32" i="43"/>
  <c r="F32" i="43"/>
  <c r="E32" i="43"/>
  <c r="D32" i="43"/>
  <c r="C32" i="43"/>
  <c r="B32" i="43"/>
  <c r="A32" i="43"/>
  <c r="I31" i="43"/>
  <c r="H31" i="43"/>
  <c r="G31" i="43"/>
  <c r="F31" i="43"/>
  <c r="E31" i="43"/>
  <c r="D31" i="43"/>
  <c r="C31" i="43"/>
  <c r="B31" i="43"/>
  <c r="A31" i="43"/>
  <c r="I30" i="43"/>
  <c r="H30" i="43"/>
  <c r="G30" i="43"/>
  <c r="F30" i="43"/>
  <c r="E30" i="43"/>
  <c r="D30" i="43"/>
  <c r="C30" i="43"/>
  <c r="B30" i="43"/>
  <c r="A30" i="43"/>
  <c r="I29" i="43"/>
  <c r="H29" i="43"/>
  <c r="G29" i="43"/>
  <c r="F29" i="43"/>
  <c r="E29" i="43"/>
  <c r="D29" i="43"/>
  <c r="C29" i="43"/>
  <c r="B29" i="43"/>
  <c r="A29" i="43"/>
  <c r="I28" i="43"/>
  <c r="H28" i="43"/>
  <c r="G28" i="43"/>
  <c r="F28" i="43"/>
  <c r="E28" i="43"/>
  <c r="D28" i="43"/>
  <c r="C28" i="43"/>
  <c r="B28" i="43"/>
  <c r="A28" i="43"/>
  <c r="I27" i="43"/>
  <c r="H27" i="43"/>
  <c r="G27" i="43"/>
  <c r="F27" i="43"/>
  <c r="E27" i="43"/>
  <c r="D27" i="43"/>
  <c r="C27" i="43"/>
  <c r="B27" i="43"/>
  <c r="A27" i="43"/>
  <c r="I26" i="43"/>
  <c r="H26" i="43"/>
  <c r="G26" i="43"/>
  <c r="F26" i="43"/>
  <c r="E26" i="43"/>
  <c r="D26" i="43"/>
  <c r="C26" i="43"/>
  <c r="B26" i="43"/>
  <c r="A26" i="43"/>
  <c r="I25" i="43"/>
  <c r="H25" i="43"/>
  <c r="G25" i="43"/>
  <c r="F25" i="43"/>
  <c r="E25" i="43"/>
  <c r="D25" i="43"/>
  <c r="C25" i="43"/>
  <c r="B25" i="43"/>
  <c r="A25" i="43"/>
  <c r="I24" i="43"/>
  <c r="G24" i="43"/>
  <c r="F24" i="43"/>
  <c r="E24" i="43"/>
  <c r="D24" i="43"/>
  <c r="C24" i="43"/>
  <c r="B24" i="43"/>
  <c r="H24" i="43" s="1"/>
  <c r="A24" i="43"/>
  <c r="I23" i="43"/>
  <c r="G23" i="43"/>
  <c r="F23" i="43"/>
  <c r="E23" i="43"/>
  <c r="D23" i="43"/>
  <c r="C23" i="43"/>
  <c r="B23" i="43"/>
  <c r="H23" i="43" s="1"/>
  <c r="A23" i="43"/>
  <c r="I22" i="43"/>
  <c r="H22" i="43"/>
  <c r="G22" i="43"/>
  <c r="F22" i="43"/>
  <c r="E22" i="43"/>
  <c r="D22" i="43"/>
  <c r="C22" i="43"/>
  <c r="A22" i="43"/>
  <c r="I21" i="43"/>
  <c r="H21" i="43"/>
  <c r="G21" i="43"/>
  <c r="F21" i="43"/>
  <c r="E21" i="43"/>
  <c r="D21" i="43"/>
  <c r="A21" i="43"/>
  <c r="I20" i="43"/>
  <c r="H20" i="43"/>
  <c r="G20" i="43"/>
  <c r="F20" i="43"/>
  <c r="E20" i="43"/>
  <c r="D20" i="43"/>
  <c r="C20" i="43"/>
  <c r="B20" i="43"/>
  <c r="A20" i="43"/>
  <c r="I19" i="43"/>
  <c r="H19" i="43"/>
  <c r="G19" i="43"/>
  <c r="F19" i="43"/>
  <c r="E19" i="43"/>
  <c r="D19" i="43"/>
  <c r="C19" i="43"/>
  <c r="B19" i="43"/>
  <c r="A19" i="43"/>
  <c r="I18" i="43"/>
  <c r="H18" i="43"/>
  <c r="G18" i="43"/>
  <c r="F18" i="43"/>
  <c r="E18" i="43"/>
  <c r="D18" i="43"/>
  <c r="C18" i="43"/>
  <c r="B18" i="43"/>
  <c r="A18" i="43"/>
  <c r="I17" i="43"/>
  <c r="H17" i="43"/>
  <c r="G17" i="43"/>
  <c r="F17" i="43"/>
  <c r="E17" i="43"/>
  <c r="D17" i="43"/>
  <c r="C17" i="43"/>
  <c r="B17" i="43"/>
  <c r="A17" i="43"/>
  <c r="I16" i="43"/>
  <c r="H16" i="43"/>
  <c r="G16" i="43"/>
  <c r="F16" i="43"/>
  <c r="E16" i="43"/>
  <c r="D16" i="43"/>
  <c r="C16" i="43"/>
  <c r="B16" i="43"/>
  <c r="A16" i="43"/>
  <c r="I15" i="43"/>
  <c r="H15" i="43"/>
  <c r="G15" i="43"/>
  <c r="F15" i="43"/>
  <c r="E15" i="43"/>
  <c r="D15" i="43"/>
  <c r="C15" i="43"/>
  <c r="B15" i="43"/>
  <c r="A15" i="43"/>
  <c r="I14" i="43"/>
  <c r="H14" i="43"/>
  <c r="G14" i="43"/>
  <c r="F14" i="43"/>
  <c r="E14" i="43"/>
  <c r="D14" i="43"/>
  <c r="C14" i="43"/>
  <c r="B14" i="43"/>
  <c r="A14" i="43"/>
  <c r="I13" i="43"/>
  <c r="H13" i="43"/>
  <c r="G13" i="43"/>
  <c r="F13" i="43"/>
  <c r="E13" i="43"/>
  <c r="D13" i="43"/>
  <c r="C13" i="43"/>
  <c r="B13" i="43"/>
  <c r="A13" i="43"/>
  <c r="I12" i="43"/>
  <c r="H12" i="43"/>
  <c r="G12" i="43"/>
  <c r="F12" i="43"/>
  <c r="E12" i="43"/>
  <c r="D12" i="43"/>
  <c r="C12" i="43"/>
  <c r="B12" i="43"/>
  <c r="A12" i="43"/>
  <c r="I11" i="43"/>
  <c r="H11" i="43"/>
  <c r="G11" i="43"/>
  <c r="F11" i="43"/>
  <c r="E11" i="43"/>
  <c r="D11" i="43"/>
  <c r="C11" i="43"/>
  <c r="B11" i="43"/>
  <c r="A11" i="43"/>
  <c r="I10" i="43"/>
  <c r="H10" i="43"/>
  <c r="G10" i="43"/>
  <c r="F10" i="43"/>
  <c r="E10" i="43"/>
  <c r="D10" i="43"/>
  <c r="C10" i="43"/>
  <c r="B10" i="43"/>
  <c r="A10" i="43"/>
  <c r="I9" i="43"/>
  <c r="H9" i="43"/>
  <c r="G9" i="43"/>
  <c r="F9" i="43"/>
  <c r="E9" i="43"/>
  <c r="D9" i="43"/>
  <c r="C9" i="43"/>
  <c r="B9" i="43"/>
  <c r="A9" i="43"/>
  <c r="I8" i="43"/>
  <c r="H8" i="43"/>
  <c r="G8" i="43"/>
  <c r="F8" i="43"/>
  <c r="E8" i="43"/>
  <c r="D8" i="43"/>
  <c r="C8" i="43"/>
  <c r="B8" i="43"/>
  <c r="A8" i="43"/>
  <c r="I7" i="43"/>
  <c r="H7" i="43"/>
  <c r="G7" i="43"/>
  <c r="F7" i="43"/>
  <c r="E7" i="43"/>
  <c r="D7" i="43"/>
  <c r="C7" i="43"/>
  <c r="B7" i="43"/>
  <c r="A7" i="43"/>
  <c r="I6" i="43"/>
  <c r="H6" i="43"/>
  <c r="G6" i="43"/>
  <c r="F6" i="43"/>
  <c r="E6" i="43"/>
  <c r="D6" i="43"/>
  <c r="C6" i="43"/>
  <c r="B6" i="43"/>
  <c r="A6" i="43"/>
  <c r="I5" i="43"/>
  <c r="H5" i="43"/>
  <c r="G5" i="43"/>
  <c r="F5" i="43"/>
  <c r="E5" i="43"/>
  <c r="D5" i="43"/>
  <c r="C5" i="43"/>
  <c r="B5" i="43"/>
  <c r="A5" i="43"/>
  <c r="I4" i="43"/>
  <c r="H4" i="43"/>
  <c r="G4" i="43"/>
  <c r="F4" i="43"/>
  <c r="E4" i="43"/>
  <c r="D4" i="43"/>
  <c r="C4" i="43"/>
  <c r="B4" i="43"/>
  <c r="A4" i="43"/>
  <c r="I3" i="43"/>
  <c r="H3" i="43"/>
  <c r="G3" i="43"/>
  <c r="F3" i="43"/>
  <c r="E3" i="43"/>
  <c r="D3" i="43"/>
  <c r="C3" i="43"/>
  <c r="B3" i="43"/>
  <c r="A3" i="43"/>
  <c r="I2" i="43"/>
  <c r="H2" i="43"/>
  <c r="G2" i="43"/>
  <c r="F2" i="43"/>
  <c r="E2" i="43"/>
  <c r="D2" i="43"/>
  <c r="C2" i="43"/>
  <c r="B2" i="43"/>
  <c r="A2" i="43"/>
  <c r="I1" i="43"/>
  <c r="H1" i="43"/>
  <c r="G1" i="43"/>
  <c r="F1" i="43"/>
  <c r="E1" i="43"/>
  <c r="D1" i="43"/>
  <c r="C1" i="43"/>
  <c r="B1" i="43"/>
  <c r="A1" i="43"/>
  <c r="C204" i="42"/>
  <c r="D203" i="42"/>
  <c r="C198" i="42"/>
  <c r="C197" i="42"/>
  <c r="B197" i="42"/>
  <c r="B185" i="42"/>
  <c r="E182" i="42"/>
  <c r="E183" i="42" s="1"/>
  <c r="C181" i="42"/>
  <c r="S174" i="42"/>
  <c r="C173" i="42"/>
  <c r="W172" i="42"/>
  <c r="W171" i="42"/>
  <c r="C171" i="42"/>
  <c r="W170" i="42"/>
  <c r="N170" i="42"/>
  <c r="M170" i="42"/>
  <c r="D170" i="42"/>
  <c r="W169" i="42"/>
  <c r="AA168" i="42"/>
  <c r="W168" i="42"/>
  <c r="W167" i="42"/>
  <c r="W166" i="42"/>
  <c r="W165" i="42"/>
  <c r="W164" i="42"/>
  <c r="W163" i="42"/>
  <c r="W162" i="42"/>
  <c r="W161" i="42"/>
  <c r="C155" i="42"/>
  <c r="H154" i="42"/>
  <c r="F154" i="42"/>
  <c r="B154" i="42"/>
  <c r="C154" i="42" s="1"/>
  <c r="H153" i="42"/>
  <c r="H155" i="42" s="1"/>
  <c r="B153" i="42"/>
  <c r="C153" i="42" s="1"/>
  <c r="H152" i="42"/>
  <c r="H151" i="42"/>
  <c r="L145" i="42"/>
  <c r="K145" i="42"/>
  <c r="H144" i="42"/>
  <c r="H143" i="42"/>
  <c r="H140" i="42"/>
  <c r="J139" i="42"/>
  <c r="J140" i="42" s="1"/>
  <c r="J142" i="42" s="1"/>
  <c r="I139" i="42"/>
  <c r="K139" i="42" s="1"/>
  <c r="H139" i="42"/>
  <c r="B138" i="42"/>
  <c r="J136" i="42"/>
  <c r="B136" i="42"/>
  <c r="J135" i="42"/>
  <c r="I135" i="42"/>
  <c r="B135" i="42"/>
  <c r="H134" i="42"/>
  <c r="H135" i="42" s="1"/>
  <c r="B134" i="42"/>
  <c r="H133" i="42"/>
  <c r="E132" i="42"/>
  <c r="E131" i="42"/>
  <c r="B121" i="42"/>
  <c r="K119" i="42"/>
  <c r="I119" i="42"/>
  <c r="K118" i="42"/>
  <c r="I118" i="42"/>
  <c r="G113" i="42"/>
  <c r="H113" i="42" s="1"/>
  <c r="F113" i="42"/>
  <c r="B113" i="42"/>
  <c r="U110" i="42"/>
  <c r="S110" i="42"/>
  <c r="Q110" i="42"/>
  <c r="I110" i="42"/>
  <c r="S109" i="42"/>
  <c r="Q109" i="42"/>
  <c r="I109" i="42"/>
  <c r="U109" i="42" s="1"/>
  <c r="Q107" i="42"/>
  <c r="I107" i="42"/>
  <c r="K106" i="42"/>
  <c r="S103" i="42"/>
  <c r="Q103" i="42"/>
  <c r="I103" i="42"/>
  <c r="U103" i="42" s="1"/>
  <c r="S102" i="42"/>
  <c r="Q102" i="42"/>
  <c r="I102" i="42"/>
  <c r="I104" i="42" s="1"/>
  <c r="Q101" i="42"/>
  <c r="B95" i="42"/>
  <c r="E115" i="42" s="1"/>
  <c r="K94" i="42"/>
  <c r="J94" i="42"/>
  <c r="I94" i="42"/>
  <c r="H94" i="42"/>
  <c r="G94" i="42"/>
  <c r="E94" i="42"/>
  <c r="K93" i="42"/>
  <c r="J93" i="42"/>
  <c r="I93" i="42"/>
  <c r="H93" i="42"/>
  <c r="G93" i="42"/>
  <c r="E93" i="42"/>
  <c r="B93" i="42"/>
  <c r="F109" i="42" s="1"/>
  <c r="K92" i="42"/>
  <c r="J92" i="42"/>
  <c r="I92" i="42"/>
  <c r="H92" i="42"/>
  <c r="G92" i="42"/>
  <c r="E92" i="42"/>
  <c r="K91" i="42"/>
  <c r="J91" i="42"/>
  <c r="I91" i="42"/>
  <c r="H91" i="42"/>
  <c r="G91" i="42"/>
  <c r="E91" i="42"/>
  <c r="K90" i="42"/>
  <c r="J90" i="42"/>
  <c r="I90" i="42"/>
  <c r="H90" i="42"/>
  <c r="G90" i="42"/>
  <c r="E90" i="42"/>
  <c r="L79" i="42"/>
  <c r="L78" i="42"/>
  <c r="K77" i="42"/>
  <c r="L77" i="42" s="1"/>
  <c r="B76" i="42"/>
  <c r="B68" i="42"/>
  <c r="D68" i="42" s="1"/>
  <c r="AA64" i="42"/>
  <c r="Z64" i="42"/>
  <c r="W64" i="42"/>
  <c r="V64" i="42"/>
  <c r="U64" i="42"/>
  <c r="R64" i="42"/>
  <c r="AB64" i="42" s="1"/>
  <c r="O64" i="42"/>
  <c r="O65" i="42" s="1"/>
  <c r="AA63" i="42"/>
  <c r="Z63" i="42"/>
  <c r="Y63" i="42"/>
  <c r="W63" i="42"/>
  <c r="V63" i="42"/>
  <c r="U63" i="42"/>
  <c r="R63" i="42"/>
  <c r="AB63" i="42" s="1"/>
  <c r="AB62" i="42"/>
  <c r="AA62" i="42"/>
  <c r="Z62" i="42"/>
  <c r="Y62" i="42"/>
  <c r="W62" i="42"/>
  <c r="V62" i="42"/>
  <c r="U62" i="42"/>
  <c r="R62" i="42"/>
  <c r="D62" i="42"/>
  <c r="B62" i="42"/>
  <c r="AB61" i="42"/>
  <c r="AA61" i="42"/>
  <c r="Z61" i="42"/>
  <c r="Y61" i="42"/>
  <c r="X61" i="42"/>
  <c r="W61" i="42"/>
  <c r="V61" i="42"/>
  <c r="U61" i="42"/>
  <c r="R61" i="42"/>
  <c r="N61" i="42"/>
  <c r="N62" i="42" s="1"/>
  <c r="AB60" i="42"/>
  <c r="AA60" i="42"/>
  <c r="Z60" i="42"/>
  <c r="Y60" i="42"/>
  <c r="X60" i="42"/>
  <c r="W60" i="42"/>
  <c r="V60" i="42"/>
  <c r="U60" i="42"/>
  <c r="B51" i="42"/>
  <c r="B114" i="42" s="1"/>
  <c r="B48" i="42"/>
  <c r="G50" i="42" s="1"/>
  <c r="D46" i="42"/>
  <c r="P43" i="42"/>
  <c r="O43" i="42"/>
  <c r="N43" i="42"/>
  <c r="M43" i="42"/>
  <c r="AA171" i="42" s="1"/>
  <c r="L43" i="42"/>
  <c r="K43" i="42"/>
  <c r="J43" i="42"/>
  <c r="I43" i="42"/>
  <c r="B79" i="42" s="1"/>
  <c r="H43" i="42"/>
  <c r="G43" i="42"/>
  <c r="F43" i="42"/>
  <c r="E43" i="42"/>
  <c r="B47" i="42" s="1"/>
  <c r="D43" i="42"/>
  <c r="C43" i="42"/>
  <c r="D40" i="42"/>
  <c r="D39" i="42"/>
  <c r="B192" i="42" s="1"/>
  <c r="B193" i="42" s="1"/>
  <c r="I37" i="42"/>
  <c r="H37" i="42"/>
  <c r="G37" i="42"/>
  <c r="F37" i="42"/>
  <c r="E37" i="42"/>
  <c r="D37" i="42"/>
  <c r="C37" i="42"/>
  <c r="B37" i="42"/>
  <c r="A37" i="42"/>
  <c r="I36" i="42"/>
  <c r="H36" i="42"/>
  <c r="G36" i="42"/>
  <c r="F36" i="42"/>
  <c r="E36" i="42"/>
  <c r="D36" i="42"/>
  <c r="C36" i="42"/>
  <c r="B36" i="42"/>
  <c r="A36" i="42"/>
  <c r="I35" i="42"/>
  <c r="H35" i="42"/>
  <c r="G35" i="42"/>
  <c r="F35" i="42"/>
  <c r="E35" i="42"/>
  <c r="D35" i="42"/>
  <c r="C35" i="42"/>
  <c r="B35" i="42"/>
  <c r="A35" i="42"/>
  <c r="I34" i="42"/>
  <c r="H34" i="42"/>
  <c r="G34" i="42"/>
  <c r="F34" i="42"/>
  <c r="E34" i="42"/>
  <c r="D34" i="42"/>
  <c r="C34" i="42"/>
  <c r="B34" i="42"/>
  <c r="A34" i="42"/>
  <c r="I33" i="42"/>
  <c r="H33" i="42"/>
  <c r="G33" i="42"/>
  <c r="F33" i="42"/>
  <c r="E33" i="42"/>
  <c r="D33" i="42"/>
  <c r="C33" i="42"/>
  <c r="B33" i="42"/>
  <c r="A33" i="42"/>
  <c r="I32" i="42"/>
  <c r="H32" i="42"/>
  <c r="G32" i="42"/>
  <c r="F32" i="42"/>
  <c r="E32" i="42"/>
  <c r="D32" i="42"/>
  <c r="C32" i="42"/>
  <c r="B32" i="42"/>
  <c r="A32" i="42"/>
  <c r="I31" i="42"/>
  <c r="H31" i="42"/>
  <c r="G31" i="42"/>
  <c r="F31" i="42"/>
  <c r="E31" i="42"/>
  <c r="D31" i="42"/>
  <c r="C31" i="42"/>
  <c r="B31" i="42"/>
  <c r="A31" i="42"/>
  <c r="I30" i="42"/>
  <c r="H30" i="42"/>
  <c r="G30" i="42"/>
  <c r="F30" i="42"/>
  <c r="E30" i="42"/>
  <c r="D30" i="42"/>
  <c r="C30" i="42"/>
  <c r="B30" i="42"/>
  <c r="A30" i="42"/>
  <c r="I29" i="42"/>
  <c r="H29" i="42"/>
  <c r="G29" i="42"/>
  <c r="F29" i="42"/>
  <c r="E29" i="42"/>
  <c r="D29" i="42"/>
  <c r="C29" i="42"/>
  <c r="B29" i="42"/>
  <c r="A29" i="42"/>
  <c r="I28" i="42"/>
  <c r="H28" i="42"/>
  <c r="G28" i="42"/>
  <c r="F28" i="42"/>
  <c r="E28" i="42"/>
  <c r="D28" i="42"/>
  <c r="C28" i="42"/>
  <c r="B28" i="42"/>
  <c r="A28" i="42"/>
  <c r="I27" i="42"/>
  <c r="H27" i="42"/>
  <c r="G27" i="42"/>
  <c r="F27" i="42"/>
  <c r="E27" i="42"/>
  <c r="D27" i="42"/>
  <c r="C27" i="42"/>
  <c r="B27" i="42"/>
  <c r="A27" i="42"/>
  <c r="I26" i="42"/>
  <c r="H26" i="42"/>
  <c r="G26" i="42"/>
  <c r="F26" i="42"/>
  <c r="E26" i="42"/>
  <c r="D26" i="42"/>
  <c r="C26" i="42"/>
  <c r="B26" i="42"/>
  <c r="A26" i="42"/>
  <c r="I25" i="42"/>
  <c r="H25" i="42"/>
  <c r="G25" i="42"/>
  <c r="F25" i="42"/>
  <c r="E25" i="42"/>
  <c r="D25" i="42"/>
  <c r="C25" i="42"/>
  <c r="B25" i="42"/>
  <c r="A25" i="42"/>
  <c r="I24" i="42"/>
  <c r="G24" i="42"/>
  <c r="F24" i="42"/>
  <c r="E24" i="42"/>
  <c r="D24" i="42"/>
  <c r="C24" i="42"/>
  <c r="B24" i="42"/>
  <c r="H24" i="42" s="1"/>
  <c r="A24" i="42"/>
  <c r="I23" i="42"/>
  <c r="G23" i="42"/>
  <c r="F23" i="42"/>
  <c r="E23" i="42"/>
  <c r="D23" i="42"/>
  <c r="C23" i="42"/>
  <c r="B23" i="42"/>
  <c r="H23" i="42" s="1"/>
  <c r="A23" i="42"/>
  <c r="I22" i="42"/>
  <c r="H22" i="42"/>
  <c r="G22" i="42"/>
  <c r="F22" i="42"/>
  <c r="E22" i="42"/>
  <c r="D22" i="42"/>
  <c r="C22" i="42"/>
  <c r="A22" i="42"/>
  <c r="I21" i="42"/>
  <c r="H21" i="42"/>
  <c r="G21" i="42"/>
  <c r="F21" i="42"/>
  <c r="E21" i="42"/>
  <c r="D21" i="42"/>
  <c r="A21" i="42"/>
  <c r="I20" i="42"/>
  <c r="H20" i="42"/>
  <c r="G20" i="42"/>
  <c r="F20" i="42"/>
  <c r="E20" i="42"/>
  <c r="D20" i="42"/>
  <c r="C20" i="42"/>
  <c r="B20" i="42"/>
  <c r="A20" i="42"/>
  <c r="I19" i="42"/>
  <c r="H19" i="42"/>
  <c r="G19" i="42"/>
  <c r="F19" i="42"/>
  <c r="E19" i="42"/>
  <c r="D19" i="42"/>
  <c r="C19" i="42"/>
  <c r="B19" i="42"/>
  <c r="A19" i="42"/>
  <c r="I18" i="42"/>
  <c r="H18" i="42"/>
  <c r="G18" i="42"/>
  <c r="F18" i="42"/>
  <c r="E18" i="42"/>
  <c r="D18" i="42"/>
  <c r="C18" i="42"/>
  <c r="B18" i="42"/>
  <c r="A18" i="42"/>
  <c r="I17" i="42"/>
  <c r="H17" i="42"/>
  <c r="G17" i="42"/>
  <c r="F17" i="42"/>
  <c r="E17" i="42"/>
  <c r="D17" i="42"/>
  <c r="C17" i="42"/>
  <c r="B17" i="42"/>
  <c r="A17" i="42"/>
  <c r="I16" i="42"/>
  <c r="H16" i="42"/>
  <c r="G16" i="42"/>
  <c r="F16" i="42"/>
  <c r="E16" i="42"/>
  <c r="D16" i="42"/>
  <c r="C16" i="42"/>
  <c r="B16" i="42"/>
  <c r="A16" i="42"/>
  <c r="I15" i="42"/>
  <c r="H15" i="42"/>
  <c r="G15" i="42"/>
  <c r="F15" i="42"/>
  <c r="E15" i="42"/>
  <c r="D15" i="42"/>
  <c r="C15" i="42"/>
  <c r="B15" i="42"/>
  <c r="A15" i="42"/>
  <c r="I14" i="42"/>
  <c r="H14" i="42"/>
  <c r="G14" i="42"/>
  <c r="F14" i="42"/>
  <c r="E14" i="42"/>
  <c r="D14" i="42"/>
  <c r="C14" i="42"/>
  <c r="B14" i="42"/>
  <c r="A14" i="42"/>
  <c r="I13" i="42"/>
  <c r="H13" i="42"/>
  <c r="G13" i="42"/>
  <c r="F13" i="42"/>
  <c r="E13" i="42"/>
  <c r="D13" i="42"/>
  <c r="C13" i="42"/>
  <c r="B13" i="42"/>
  <c r="A13" i="42"/>
  <c r="I12" i="42"/>
  <c r="H12" i="42"/>
  <c r="G12" i="42"/>
  <c r="F12" i="42"/>
  <c r="E12" i="42"/>
  <c r="D12" i="42"/>
  <c r="C12" i="42"/>
  <c r="B12" i="42"/>
  <c r="A12" i="42"/>
  <c r="I11" i="42"/>
  <c r="H11" i="42"/>
  <c r="G11" i="42"/>
  <c r="F11" i="42"/>
  <c r="E11" i="42"/>
  <c r="D11" i="42"/>
  <c r="C11" i="42"/>
  <c r="B11" i="42"/>
  <c r="A11" i="42"/>
  <c r="I10" i="42"/>
  <c r="H10" i="42"/>
  <c r="G10" i="42"/>
  <c r="F10" i="42"/>
  <c r="E10" i="42"/>
  <c r="D10" i="42"/>
  <c r="C10" i="42"/>
  <c r="B10" i="42"/>
  <c r="A10" i="42"/>
  <c r="I9" i="42"/>
  <c r="H9" i="42"/>
  <c r="G9" i="42"/>
  <c r="F9" i="42"/>
  <c r="E9" i="42"/>
  <c r="D9" i="42"/>
  <c r="C9" i="42"/>
  <c r="B9" i="42"/>
  <c r="A9" i="42"/>
  <c r="I8" i="42"/>
  <c r="H8" i="42"/>
  <c r="G8" i="42"/>
  <c r="F8" i="42"/>
  <c r="E8" i="42"/>
  <c r="D8" i="42"/>
  <c r="C8" i="42"/>
  <c r="B8" i="42"/>
  <c r="A8" i="42"/>
  <c r="I7" i="42"/>
  <c r="H7" i="42"/>
  <c r="G7" i="42"/>
  <c r="F7" i="42"/>
  <c r="E7" i="42"/>
  <c r="D7" i="42"/>
  <c r="C7" i="42"/>
  <c r="B7" i="42"/>
  <c r="A7" i="42"/>
  <c r="I6" i="42"/>
  <c r="H6" i="42"/>
  <c r="G6" i="42"/>
  <c r="F6" i="42"/>
  <c r="E6" i="42"/>
  <c r="D6" i="42"/>
  <c r="C6" i="42"/>
  <c r="B6" i="42"/>
  <c r="A6" i="42"/>
  <c r="I5" i="42"/>
  <c r="H5" i="42"/>
  <c r="G5" i="42"/>
  <c r="F5" i="42"/>
  <c r="E5" i="42"/>
  <c r="D5" i="42"/>
  <c r="C5" i="42"/>
  <c r="B5" i="42"/>
  <c r="A5" i="42"/>
  <c r="I4" i="42"/>
  <c r="H4" i="42"/>
  <c r="G4" i="42"/>
  <c r="F4" i="42"/>
  <c r="E4" i="42"/>
  <c r="D4" i="42"/>
  <c r="C4" i="42"/>
  <c r="B4" i="42"/>
  <c r="A4" i="42"/>
  <c r="I3" i="42"/>
  <c r="H3" i="42"/>
  <c r="G3" i="42"/>
  <c r="F3" i="42"/>
  <c r="E3" i="42"/>
  <c r="D3" i="42"/>
  <c r="C3" i="42"/>
  <c r="B3" i="42"/>
  <c r="A3" i="42"/>
  <c r="I2" i="42"/>
  <c r="H2" i="42"/>
  <c r="G2" i="42"/>
  <c r="F2" i="42"/>
  <c r="E2" i="42"/>
  <c r="D2" i="42"/>
  <c r="C2" i="42"/>
  <c r="B2" i="42"/>
  <c r="A2" i="42"/>
  <c r="I1" i="42"/>
  <c r="H1" i="42"/>
  <c r="G1" i="42"/>
  <c r="F1" i="42"/>
  <c r="E1" i="42"/>
  <c r="D1" i="42"/>
  <c r="C1" i="42"/>
  <c r="B1" i="42"/>
  <c r="A1" i="42"/>
  <c r="C204" i="37"/>
  <c r="D203" i="37"/>
  <c r="C198" i="37"/>
  <c r="C197" i="37"/>
  <c r="B197" i="37"/>
  <c r="B185" i="37"/>
  <c r="E182" i="37"/>
  <c r="E183" i="37" s="1"/>
  <c r="C181" i="37"/>
  <c r="S174" i="37"/>
  <c r="C173" i="37"/>
  <c r="AA172" i="37"/>
  <c r="W172" i="37"/>
  <c r="AA171" i="37"/>
  <c r="W171" i="37"/>
  <c r="C171" i="37"/>
  <c r="W170" i="37"/>
  <c r="N170" i="37"/>
  <c r="M170" i="37"/>
  <c r="D170" i="37"/>
  <c r="W169" i="37"/>
  <c r="W168" i="37"/>
  <c r="W167" i="37"/>
  <c r="W166" i="37"/>
  <c r="W165" i="37"/>
  <c r="W164" i="37"/>
  <c r="W163" i="37"/>
  <c r="W162" i="37"/>
  <c r="W161" i="37"/>
  <c r="C155" i="37"/>
  <c r="H154" i="37"/>
  <c r="F154" i="37"/>
  <c r="B154" i="37"/>
  <c r="C154" i="37" s="1"/>
  <c r="H153" i="37"/>
  <c r="B153" i="37"/>
  <c r="C153" i="37" s="1"/>
  <c r="H152" i="37"/>
  <c r="H155" i="37" s="1"/>
  <c r="H151" i="37"/>
  <c r="L145" i="37"/>
  <c r="K145" i="37"/>
  <c r="H144" i="37"/>
  <c r="H143" i="37"/>
  <c r="H140" i="37"/>
  <c r="J139" i="37"/>
  <c r="J140" i="37" s="1"/>
  <c r="J142" i="37" s="1"/>
  <c r="I139" i="37"/>
  <c r="H139" i="37"/>
  <c r="B138" i="37"/>
  <c r="J136" i="37"/>
  <c r="B136" i="37"/>
  <c r="J135" i="37"/>
  <c r="I135" i="37"/>
  <c r="H135" i="37"/>
  <c r="B135" i="37"/>
  <c r="H134" i="37"/>
  <c r="B134" i="37"/>
  <c r="H133" i="37"/>
  <c r="E132" i="37"/>
  <c r="E131" i="37"/>
  <c r="B121" i="37"/>
  <c r="K119" i="37"/>
  <c r="I119" i="37"/>
  <c r="K118" i="37"/>
  <c r="I118" i="37"/>
  <c r="F116" i="37"/>
  <c r="G113" i="37"/>
  <c r="F113" i="37"/>
  <c r="H113" i="37" s="1"/>
  <c r="C113" i="37"/>
  <c r="D113" i="37" s="1"/>
  <c r="B113" i="37"/>
  <c r="U110" i="37"/>
  <c r="S110" i="37"/>
  <c r="Q110" i="37"/>
  <c r="I110" i="37"/>
  <c r="S109" i="37"/>
  <c r="Q109" i="37"/>
  <c r="I109" i="37"/>
  <c r="U109" i="37" s="1"/>
  <c r="Q107" i="37"/>
  <c r="I107" i="37"/>
  <c r="K106" i="37"/>
  <c r="S103" i="37"/>
  <c r="Q103" i="37"/>
  <c r="I103" i="37"/>
  <c r="U103" i="37" s="1"/>
  <c r="S102" i="37"/>
  <c r="Q102" i="37"/>
  <c r="I102" i="37"/>
  <c r="I104" i="37" s="1"/>
  <c r="Q101" i="37"/>
  <c r="B95" i="37"/>
  <c r="E115" i="37" s="1"/>
  <c r="K94" i="37"/>
  <c r="J94" i="37"/>
  <c r="I94" i="37"/>
  <c r="H94" i="37"/>
  <c r="G94" i="37"/>
  <c r="E94" i="37"/>
  <c r="K93" i="37"/>
  <c r="J93" i="37"/>
  <c r="I93" i="37"/>
  <c r="H93" i="37"/>
  <c r="G93" i="37"/>
  <c r="E93" i="37"/>
  <c r="B93" i="37"/>
  <c r="F109" i="37" s="1"/>
  <c r="K92" i="37"/>
  <c r="J92" i="37"/>
  <c r="I92" i="37"/>
  <c r="H92" i="37"/>
  <c r="G92" i="37"/>
  <c r="E92" i="37"/>
  <c r="K91" i="37"/>
  <c r="J91" i="37"/>
  <c r="I91" i="37"/>
  <c r="H91" i="37"/>
  <c r="G91" i="37"/>
  <c r="E91" i="37"/>
  <c r="K90" i="37"/>
  <c r="J90" i="37"/>
  <c r="I90" i="37"/>
  <c r="H90" i="37"/>
  <c r="G90" i="37"/>
  <c r="E90" i="37"/>
  <c r="L79" i="37"/>
  <c r="L78" i="37"/>
  <c r="L77" i="37"/>
  <c r="K77" i="37"/>
  <c r="B76" i="37"/>
  <c r="D68" i="37"/>
  <c r="B68" i="37"/>
  <c r="O65" i="37"/>
  <c r="AA64" i="37"/>
  <c r="Z64" i="37"/>
  <c r="W64" i="37"/>
  <c r="V64" i="37"/>
  <c r="U64" i="37"/>
  <c r="O64" i="37"/>
  <c r="R64" i="37" s="1"/>
  <c r="AB64" i="37" s="1"/>
  <c r="AB63" i="37"/>
  <c r="AA63" i="37"/>
  <c r="Z63" i="37"/>
  <c r="Y63" i="37"/>
  <c r="W63" i="37"/>
  <c r="V63" i="37"/>
  <c r="U63" i="37"/>
  <c r="R63" i="37"/>
  <c r="AB62" i="37"/>
  <c r="AA62" i="37"/>
  <c r="Z62" i="37"/>
  <c r="Y62" i="37"/>
  <c r="W62" i="37"/>
  <c r="V62" i="37"/>
  <c r="U62" i="37"/>
  <c r="R62" i="37"/>
  <c r="B62" i="37"/>
  <c r="D62" i="37" s="1"/>
  <c r="AB61" i="37"/>
  <c r="AA61" i="37"/>
  <c r="Z61" i="37"/>
  <c r="Y61" i="37"/>
  <c r="W61" i="37"/>
  <c r="V61" i="37"/>
  <c r="U61" i="37"/>
  <c r="R61" i="37"/>
  <c r="N61" i="37"/>
  <c r="N62" i="37" s="1"/>
  <c r="AB60" i="37"/>
  <c r="AA60" i="37"/>
  <c r="Z60" i="37"/>
  <c r="Y60" i="37"/>
  <c r="X60" i="37"/>
  <c r="W60" i="37"/>
  <c r="V60" i="37"/>
  <c r="U60" i="37"/>
  <c r="B51" i="37"/>
  <c r="B114" i="37" s="1"/>
  <c r="B48" i="37"/>
  <c r="G50" i="37" s="1"/>
  <c r="D46" i="37"/>
  <c r="P43" i="37"/>
  <c r="M43" i="37"/>
  <c r="J172" i="37" s="1"/>
  <c r="L43" i="37"/>
  <c r="K43" i="37"/>
  <c r="J43" i="37"/>
  <c r="I43" i="37"/>
  <c r="B79" i="37" s="1"/>
  <c r="H43" i="37"/>
  <c r="G43" i="37"/>
  <c r="F43" i="37"/>
  <c r="E43" i="37"/>
  <c r="B47" i="37" s="1"/>
  <c r="D43" i="37"/>
  <c r="C43" i="37"/>
  <c r="D40" i="37"/>
  <c r="D39" i="37"/>
  <c r="B192" i="37" s="1"/>
  <c r="B193" i="37" s="1"/>
  <c r="I37" i="37"/>
  <c r="H37" i="37"/>
  <c r="G37" i="37"/>
  <c r="F37" i="37"/>
  <c r="E37" i="37"/>
  <c r="D37" i="37"/>
  <c r="C37" i="37"/>
  <c r="B37" i="37"/>
  <c r="A37" i="37"/>
  <c r="I36" i="37"/>
  <c r="H36" i="37"/>
  <c r="G36" i="37"/>
  <c r="F36" i="37"/>
  <c r="E36" i="37"/>
  <c r="D36" i="37"/>
  <c r="C36" i="37"/>
  <c r="B36" i="37"/>
  <c r="A36" i="37"/>
  <c r="I35" i="37"/>
  <c r="H35" i="37"/>
  <c r="G35" i="37"/>
  <c r="F35" i="37"/>
  <c r="E35" i="37"/>
  <c r="D35" i="37"/>
  <c r="C35" i="37"/>
  <c r="B35" i="37"/>
  <c r="A35" i="37"/>
  <c r="I34" i="37"/>
  <c r="H34" i="37"/>
  <c r="G34" i="37"/>
  <c r="F34" i="37"/>
  <c r="E34" i="37"/>
  <c r="D34" i="37"/>
  <c r="C34" i="37"/>
  <c r="B34" i="37"/>
  <c r="A34" i="37"/>
  <c r="I33" i="37"/>
  <c r="H33" i="37"/>
  <c r="G33" i="37"/>
  <c r="F33" i="37"/>
  <c r="E33" i="37"/>
  <c r="D33" i="37"/>
  <c r="C33" i="37"/>
  <c r="B33" i="37"/>
  <c r="A33" i="37"/>
  <c r="I32" i="37"/>
  <c r="H32" i="37"/>
  <c r="G32" i="37"/>
  <c r="F32" i="37"/>
  <c r="E32" i="37"/>
  <c r="D32" i="37"/>
  <c r="C32" i="37"/>
  <c r="B32" i="37"/>
  <c r="A32" i="37"/>
  <c r="I31" i="37"/>
  <c r="H31" i="37"/>
  <c r="G31" i="37"/>
  <c r="F31" i="37"/>
  <c r="E31" i="37"/>
  <c r="D31" i="37"/>
  <c r="C31" i="37"/>
  <c r="B31" i="37"/>
  <c r="A31" i="37"/>
  <c r="I30" i="37"/>
  <c r="H30" i="37"/>
  <c r="G30" i="37"/>
  <c r="F30" i="37"/>
  <c r="E30" i="37"/>
  <c r="D30" i="37"/>
  <c r="C30" i="37"/>
  <c r="B30" i="37"/>
  <c r="A30" i="37"/>
  <c r="I29" i="37"/>
  <c r="H29" i="37"/>
  <c r="G29" i="37"/>
  <c r="F29" i="37"/>
  <c r="E29" i="37"/>
  <c r="D29" i="37"/>
  <c r="C29" i="37"/>
  <c r="B29" i="37"/>
  <c r="A29" i="37"/>
  <c r="I28" i="37"/>
  <c r="H28" i="37"/>
  <c r="G28" i="37"/>
  <c r="F28" i="37"/>
  <c r="E28" i="37"/>
  <c r="D28" i="37"/>
  <c r="C28" i="37"/>
  <c r="B28" i="37"/>
  <c r="A28" i="37"/>
  <c r="I27" i="37"/>
  <c r="H27" i="37"/>
  <c r="G27" i="37"/>
  <c r="F27" i="37"/>
  <c r="E27" i="37"/>
  <c r="D27" i="37"/>
  <c r="C27" i="37"/>
  <c r="B27" i="37"/>
  <c r="A27" i="37"/>
  <c r="I26" i="37"/>
  <c r="H26" i="37"/>
  <c r="G26" i="37"/>
  <c r="F26" i="37"/>
  <c r="E26" i="37"/>
  <c r="D26" i="37"/>
  <c r="C26" i="37"/>
  <c r="B26" i="37"/>
  <c r="A26" i="37"/>
  <c r="I25" i="37"/>
  <c r="H25" i="37"/>
  <c r="G25" i="37"/>
  <c r="F25" i="37"/>
  <c r="E25" i="37"/>
  <c r="D25" i="37"/>
  <c r="C25" i="37"/>
  <c r="B25" i="37"/>
  <c r="A25" i="37"/>
  <c r="I24" i="37"/>
  <c r="G24" i="37"/>
  <c r="F24" i="37"/>
  <c r="E24" i="37"/>
  <c r="D24" i="37"/>
  <c r="C24" i="37"/>
  <c r="B24" i="37"/>
  <c r="H24" i="37" s="1"/>
  <c r="A24" i="37"/>
  <c r="I23" i="37"/>
  <c r="G23" i="37"/>
  <c r="F23" i="37"/>
  <c r="E23" i="37"/>
  <c r="D23" i="37"/>
  <c r="C23" i="37"/>
  <c r="B23" i="37"/>
  <c r="H23" i="37" s="1"/>
  <c r="A23" i="37"/>
  <c r="I22" i="37"/>
  <c r="H22" i="37"/>
  <c r="G22" i="37"/>
  <c r="F22" i="37"/>
  <c r="E22" i="37"/>
  <c r="D22" i="37"/>
  <c r="C22" i="37"/>
  <c r="A22" i="37"/>
  <c r="I21" i="37"/>
  <c r="H21" i="37"/>
  <c r="G21" i="37"/>
  <c r="F21" i="37"/>
  <c r="E21" i="37"/>
  <c r="D21" i="37"/>
  <c r="A21" i="37"/>
  <c r="I20" i="37"/>
  <c r="H20" i="37"/>
  <c r="G20" i="37"/>
  <c r="F20" i="37"/>
  <c r="E20" i="37"/>
  <c r="D20" i="37"/>
  <c r="C20" i="37"/>
  <c r="B20" i="37"/>
  <c r="A20" i="37"/>
  <c r="I19" i="37"/>
  <c r="H19" i="37"/>
  <c r="G19" i="37"/>
  <c r="F19" i="37"/>
  <c r="E19" i="37"/>
  <c r="D19" i="37"/>
  <c r="C19" i="37"/>
  <c r="B19" i="37"/>
  <c r="A19" i="37"/>
  <c r="I18" i="37"/>
  <c r="H18" i="37"/>
  <c r="G18" i="37"/>
  <c r="F18" i="37"/>
  <c r="E18" i="37"/>
  <c r="D18" i="37"/>
  <c r="C18" i="37"/>
  <c r="B18" i="37"/>
  <c r="A18" i="37"/>
  <c r="I17" i="37"/>
  <c r="H17" i="37"/>
  <c r="G17" i="37"/>
  <c r="F17" i="37"/>
  <c r="E17" i="37"/>
  <c r="D17" i="37"/>
  <c r="C17" i="37"/>
  <c r="B17" i="37"/>
  <c r="A17" i="37"/>
  <c r="I16" i="37"/>
  <c r="H16" i="37"/>
  <c r="G16" i="37"/>
  <c r="F16" i="37"/>
  <c r="E16" i="37"/>
  <c r="D16" i="37"/>
  <c r="C16" i="37"/>
  <c r="B16" i="37"/>
  <c r="A16" i="37"/>
  <c r="I15" i="37"/>
  <c r="H15" i="37"/>
  <c r="G15" i="37"/>
  <c r="F15" i="37"/>
  <c r="E15" i="37"/>
  <c r="D15" i="37"/>
  <c r="C15" i="37"/>
  <c r="B15" i="37"/>
  <c r="A15" i="37"/>
  <c r="I14" i="37"/>
  <c r="H14" i="37"/>
  <c r="G14" i="37"/>
  <c r="F14" i="37"/>
  <c r="E14" i="37"/>
  <c r="D14" i="37"/>
  <c r="C14" i="37"/>
  <c r="B14" i="37"/>
  <c r="A14" i="37"/>
  <c r="I13" i="37"/>
  <c r="H13" i="37"/>
  <c r="G13" i="37"/>
  <c r="F13" i="37"/>
  <c r="E13" i="37"/>
  <c r="D13" i="37"/>
  <c r="C13" i="37"/>
  <c r="B13" i="37"/>
  <c r="A13" i="37"/>
  <c r="I12" i="37"/>
  <c r="H12" i="37"/>
  <c r="G12" i="37"/>
  <c r="F12" i="37"/>
  <c r="E12" i="37"/>
  <c r="D12" i="37"/>
  <c r="C12" i="37"/>
  <c r="B12" i="37"/>
  <c r="A12" i="37"/>
  <c r="I11" i="37"/>
  <c r="H11" i="37"/>
  <c r="G11" i="37"/>
  <c r="F11" i="37"/>
  <c r="E11" i="37"/>
  <c r="D11" i="37"/>
  <c r="C11" i="37"/>
  <c r="B11" i="37"/>
  <c r="A11" i="37"/>
  <c r="I10" i="37"/>
  <c r="H10" i="37"/>
  <c r="G10" i="37"/>
  <c r="F10" i="37"/>
  <c r="E10" i="37"/>
  <c r="D10" i="37"/>
  <c r="C10" i="37"/>
  <c r="B10" i="37"/>
  <c r="A10" i="37"/>
  <c r="I9" i="37"/>
  <c r="H9" i="37"/>
  <c r="G9" i="37"/>
  <c r="F9" i="37"/>
  <c r="E9" i="37"/>
  <c r="D9" i="37"/>
  <c r="C9" i="37"/>
  <c r="B9" i="37"/>
  <c r="A9" i="37"/>
  <c r="I8" i="37"/>
  <c r="H8" i="37"/>
  <c r="G8" i="37"/>
  <c r="F8" i="37"/>
  <c r="E8" i="37"/>
  <c r="D8" i="37"/>
  <c r="C8" i="37"/>
  <c r="B8" i="37"/>
  <c r="A8" i="37"/>
  <c r="I7" i="37"/>
  <c r="H7" i="37"/>
  <c r="G7" i="37"/>
  <c r="F7" i="37"/>
  <c r="E7" i="37"/>
  <c r="D7" i="37"/>
  <c r="C7" i="37"/>
  <c r="B7" i="37"/>
  <c r="A7" i="37"/>
  <c r="I6" i="37"/>
  <c r="H6" i="37"/>
  <c r="G6" i="37"/>
  <c r="F6" i="37"/>
  <c r="E6" i="37"/>
  <c r="D6" i="37"/>
  <c r="C6" i="37"/>
  <c r="B6" i="37"/>
  <c r="A6" i="37"/>
  <c r="I5" i="37"/>
  <c r="H5" i="37"/>
  <c r="G5" i="37"/>
  <c r="F5" i="37"/>
  <c r="E5" i="37"/>
  <c r="D5" i="37"/>
  <c r="C5" i="37"/>
  <c r="B5" i="37"/>
  <c r="A5" i="37"/>
  <c r="I4" i="37"/>
  <c r="H4" i="37"/>
  <c r="G4" i="37"/>
  <c r="F4" i="37"/>
  <c r="E4" i="37"/>
  <c r="D4" i="37"/>
  <c r="C4" i="37"/>
  <c r="B4" i="37"/>
  <c r="A4" i="37"/>
  <c r="I3" i="37"/>
  <c r="H3" i="37"/>
  <c r="G3" i="37"/>
  <c r="F3" i="37"/>
  <c r="E3" i="37"/>
  <c r="D3" i="37"/>
  <c r="C3" i="37"/>
  <c r="B3" i="37"/>
  <c r="A3" i="37"/>
  <c r="I2" i="37"/>
  <c r="H2" i="37"/>
  <c r="G2" i="37"/>
  <c r="F2" i="37"/>
  <c r="E2" i="37"/>
  <c r="D2" i="37"/>
  <c r="C2" i="37"/>
  <c r="B2" i="37"/>
  <c r="A2" i="37"/>
  <c r="I1" i="37"/>
  <c r="H1" i="37"/>
  <c r="G1" i="37"/>
  <c r="F1" i="37"/>
  <c r="E1" i="37"/>
  <c r="D1" i="37"/>
  <c r="C1" i="37"/>
  <c r="B1" i="37"/>
  <c r="A1" i="37"/>
  <c r="I131" i="44" l="1"/>
  <c r="N64" i="44"/>
  <c r="H101" i="44"/>
  <c r="R101" i="44"/>
  <c r="F109" i="44"/>
  <c r="R109" i="44" s="1"/>
  <c r="H113" i="44"/>
  <c r="G132" i="44"/>
  <c r="B161" i="44"/>
  <c r="T162" i="44" s="1"/>
  <c r="B142" i="44"/>
  <c r="B147" i="44" s="1"/>
  <c r="B129" i="44"/>
  <c r="U161" i="44"/>
  <c r="J133" i="44"/>
  <c r="E133" i="44" s="1"/>
  <c r="B156" i="44" s="1"/>
  <c r="B157" i="44" s="1"/>
  <c r="E132" i="44"/>
  <c r="I132" i="44" s="1"/>
  <c r="E115" i="44"/>
  <c r="B116" i="44" s="1"/>
  <c r="B104" i="44"/>
  <c r="B105" i="44" s="1"/>
  <c r="R64" i="44"/>
  <c r="O65" i="44"/>
  <c r="R67" i="44"/>
  <c r="E74" i="44" s="1"/>
  <c r="U101" i="44"/>
  <c r="C113" i="44"/>
  <c r="D113" i="44" s="1"/>
  <c r="J170" i="43"/>
  <c r="AA162" i="43"/>
  <c r="G50" i="44"/>
  <c r="F102" i="44"/>
  <c r="F154" i="44"/>
  <c r="H154" i="44" s="1"/>
  <c r="H155" i="44" s="1"/>
  <c r="AA163" i="37"/>
  <c r="AA168" i="37"/>
  <c r="AA172" i="42"/>
  <c r="AA167" i="43"/>
  <c r="B72" i="44"/>
  <c r="I109" i="44"/>
  <c r="U109" i="44" s="1"/>
  <c r="G113" i="44"/>
  <c r="AA168" i="44"/>
  <c r="AA172" i="44"/>
  <c r="AA164" i="44"/>
  <c r="AA166" i="44"/>
  <c r="AA170" i="44"/>
  <c r="G132" i="43"/>
  <c r="H101" i="43"/>
  <c r="R101" i="43"/>
  <c r="F109" i="43"/>
  <c r="R109" i="43" s="1"/>
  <c r="B161" i="43"/>
  <c r="T162" i="43" s="1"/>
  <c r="B117" i="43"/>
  <c r="U161" i="43"/>
  <c r="B142" i="43"/>
  <c r="B147" i="43" s="1"/>
  <c r="J133" i="43"/>
  <c r="E133" i="43" s="1"/>
  <c r="B156" i="43" s="1"/>
  <c r="B157" i="43" s="1"/>
  <c r="E132" i="43"/>
  <c r="I132" i="43" s="1"/>
  <c r="E115" i="43"/>
  <c r="B116" i="43" s="1"/>
  <c r="B98" i="43"/>
  <c r="B104" i="43" s="1"/>
  <c r="B105" i="43" s="1"/>
  <c r="R64" i="43"/>
  <c r="R67" i="43" s="1"/>
  <c r="E74" i="43" s="1"/>
  <c r="O65" i="43"/>
  <c r="U101" i="43"/>
  <c r="C113" i="43"/>
  <c r="D113" i="43" s="1"/>
  <c r="AA165" i="43"/>
  <c r="AA169" i="43"/>
  <c r="J172" i="43"/>
  <c r="G50" i="43"/>
  <c r="F102" i="43"/>
  <c r="F154" i="43"/>
  <c r="H154" i="43" s="1"/>
  <c r="H155" i="43" s="1"/>
  <c r="AA163" i="43"/>
  <c r="AA171" i="43"/>
  <c r="B72" i="43"/>
  <c r="I109" i="43"/>
  <c r="U109" i="43" s="1"/>
  <c r="AA168" i="43"/>
  <c r="AA172" i="43"/>
  <c r="AA164" i="43"/>
  <c r="AA166" i="43"/>
  <c r="AA170" i="43"/>
  <c r="G131" i="42"/>
  <c r="I131" i="42" s="1"/>
  <c r="J133" i="42" s="1"/>
  <c r="E133" i="42" s="1"/>
  <c r="B116" i="42"/>
  <c r="L161" i="42"/>
  <c r="L162" i="42" s="1"/>
  <c r="L163" i="42" s="1"/>
  <c r="L164" i="42" s="1"/>
  <c r="Y161" i="42"/>
  <c r="G132" i="42"/>
  <c r="I132" i="42" s="1"/>
  <c r="M70" i="42"/>
  <c r="N70" i="42" s="1"/>
  <c r="B69" i="42" s="1"/>
  <c r="H109" i="42"/>
  <c r="R109" i="42"/>
  <c r="N63" i="42"/>
  <c r="X62" i="42"/>
  <c r="U102" i="42"/>
  <c r="B52" i="42"/>
  <c r="Y64" i="42"/>
  <c r="R67" i="42"/>
  <c r="B96" i="42"/>
  <c r="I111" i="42"/>
  <c r="F116" i="42"/>
  <c r="AA164" i="42"/>
  <c r="AA166" i="42"/>
  <c r="AA170" i="42"/>
  <c r="J174" i="42"/>
  <c r="B61" i="42"/>
  <c r="F69" i="42" s="1"/>
  <c r="F103" i="42"/>
  <c r="F110" i="42"/>
  <c r="B72" i="42"/>
  <c r="B94" i="42"/>
  <c r="C113" i="42"/>
  <c r="D113" i="42" s="1"/>
  <c r="AA162" i="42"/>
  <c r="B165" i="42"/>
  <c r="AA167" i="42"/>
  <c r="J170" i="42"/>
  <c r="F102" i="42"/>
  <c r="AA165" i="42"/>
  <c r="AA169" i="42"/>
  <c r="J172" i="42"/>
  <c r="AA163" i="42"/>
  <c r="M70" i="37"/>
  <c r="N70" i="37" s="1"/>
  <c r="B69" i="37" s="1"/>
  <c r="G131" i="37"/>
  <c r="I131" i="37" s="1"/>
  <c r="J133" i="37" s="1"/>
  <c r="E133" i="37" s="1"/>
  <c r="G132" i="37"/>
  <c r="H109" i="37"/>
  <c r="R109" i="37"/>
  <c r="I132" i="37"/>
  <c r="N63" i="37"/>
  <c r="X62" i="37"/>
  <c r="R67" i="37"/>
  <c r="B116" i="37"/>
  <c r="L161" i="37"/>
  <c r="L162" i="37" s="1"/>
  <c r="L163" i="37" s="1"/>
  <c r="L164" i="37" s="1"/>
  <c r="Y161" i="37"/>
  <c r="B52" i="37"/>
  <c r="Y64" i="37"/>
  <c r="B96" i="37"/>
  <c r="I111" i="37"/>
  <c r="AA164" i="37"/>
  <c r="AA166" i="37"/>
  <c r="AA170" i="37"/>
  <c r="J174" i="37"/>
  <c r="U102" i="37"/>
  <c r="B61" i="37"/>
  <c r="F69" i="37" s="1"/>
  <c r="X61" i="37"/>
  <c r="F103" i="37"/>
  <c r="F110" i="37"/>
  <c r="K139" i="37"/>
  <c r="B72" i="37"/>
  <c r="B94" i="37"/>
  <c r="AA162" i="37"/>
  <c r="B165" i="37"/>
  <c r="AA167" i="37"/>
  <c r="J170" i="37"/>
  <c r="F102" i="37"/>
  <c r="AA165" i="37"/>
  <c r="AA169" i="37"/>
  <c r="J12" i="35"/>
  <c r="K12" i="35"/>
  <c r="P12" i="35" s="1"/>
  <c r="L12" i="35"/>
  <c r="Q12" i="35" s="1"/>
  <c r="M12" i="35"/>
  <c r="N12" i="35"/>
  <c r="O12" i="35"/>
  <c r="Z12" i="35"/>
  <c r="AA12" i="35"/>
  <c r="AO12" i="35"/>
  <c r="AP12" i="35"/>
  <c r="J13" i="35"/>
  <c r="M13" i="35" s="1"/>
  <c r="K13" i="35"/>
  <c r="P13" i="35" s="1"/>
  <c r="R13" i="35" s="1"/>
  <c r="T13" i="35" s="1"/>
  <c r="L13" i="35"/>
  <c r="Q13" i="35" s="1"/>
  <c r="O13" i="35"/>
  <c r="Z13" i="35"/>
  <c r="AA13" i="35"/>
  <c r="AO13" i="35"/>
  <c r="AP13" i="35"/>
  <c r="J14" i="35"/>
  <c r="K14" i="35"/>
  <c r="P14" i="35" s="1"/>
  <c r="R14" i="35" s="1"/>
  <c r="T14" i="35" s="1"/>
  <c r="L14" i="35"/>
  <c r="Q14" i="35" s="1"/>
  <c r="S14" i="35" s="1"/>
  <c r="U14" i="35" s="1"/>
  <c r="M14" i="35"/>
  <c r="N14" i="35"/>
  <c r="O14" i="35"/>
  <c r="Z14" i="35"/>
  <c r="AA14" i="35"/>
  <c r="AO14" i="35"/>
  <c r="AP14" i="35"/>
  <c r="J15" i="35"/>
  <c r="M15" i="35" s="1"/>
  <c r="K15" i="35"/>
  <c r="P15" i="35" s="1"/>
  <c r="R15" i="35" s="1"/>
  <c r="T15" i="35" s="1"/>
  <c r="L15" i="35"/>
  <c r="Q15" i="35" s="1"/>
  <c r="S15" i="35" s="1"/>
  <c r="U15" i="35" s="1"/>
  <c r="N15" i="35"/>
  <c r="O15" i="35"/>
  <c r="Z15" i="35"/>
  <c r="AA15" i="35"/>
  <c r="AO15" i="35"/>
  <c r="AP15" i="35"/>
  <c r="J16" i="35"/>
  <c r="K16" i="35"/>
  <c r="P16" i="35" s="1"/>
  <c r="R16" i="35" s="1"/>
  <c r="T16" i="35" s="1"/>
  <c r="L16" i="35"/>
  <c r="Q16" i="35" s="1"/>
  <c r="S16" i="35" s="1"/>
  <c r="U16" i="35" s="1"/>
  <c r="M16" i="35"/>
  <c r="N16" i="35"/>
  <c r="O16" i="35"/>
  <c r="Z16" i="35"/>
  <c r="AA16" i="35"/>
  <c r="AO16" i="35"/>
  <c r="AP16" i="35"/>
  <c r="J17" i="35"/>
  <c r="M17" i="35" s="1"/>
  <c r="K17" i="35"/>
  <c r="P17" i="35" s="1"/>
  <c r="L17" i="35"/>
  <c r="Q17" i="35" s="1"/>
  <c r="S17" i="35" s="1"/>
  <c r="U17" i="35" s="1"/>
  <c r="N17" i="35"/>
  <c r="O17" i="35"/>
  <c r="Z17" i="35"/>
  <c r="AA17" i="35"/>
  <c r="AO17" i="35"/>
  <c r="AP17" i="35"/>
  <c r="J18" i="35"/>
  <c r="K18" i="35"/>
  <c r="P18" i="35" s="1"/>
  <c r="R18" i="35" s="1"/>
  <c r="T18" i="35" s="1"/>
  <c r="L18" i="35"/>
  <c r="Q18" i="35" s="1"/>
  <c r="S18" i="35" s="1"/>
  <c r="U18" i="35" s="1"/>
  <c r="M18" i="35"/>
  <c r="N18" i="35"/>
  <c r="O18" i="35"/>
  <c r="Z18" i="35"/>
  <c r="AA18" i="35"/>
  <c r="AO18" i="35"/>
  <c r="AP18" i="35"/>
  <c r="J19" i="35"/>
  <c r="M19" i="35" s="1"/>
  <c r="K19" i="35"/>
  <c r="P19" i="35" s="1"/>
  <c r="R19" i="35" s="1"/>
  <c r="T19" i="35" s="1"/>
  <c r="L19" i="35"/>
  <c r="Q19" i="35" s="1"/>
  <c r="S19" i="35" s="1"/>
  <c r="U19" i="35" s="1"/>
  <c r="N19" i="35"/>
  <c r="O19" i="35"/>
  <c r="Z19" i="35"/>
  <c r="AA19" i="35"/>
  <c r="AO19" i="35"/>
  <c r="AP19" i="35"/>
  <c r="J20" i="35"/>
  <c r="K20" i="35"/>
  <c r="P20" i="35" s="1"/>
  <c r="R20" i="35" s="1"/>
  <c r="T20" i="35" s="1"/>
  <c r="L20" i="35"/>
  <c r="Q20" i="35" s="1"/>
  <c r="S20" i="35" s="1"/>
  <c r="U20" i="35" s="1"/>
  <c r="M20" i="35"/>
  <c r="N20" i="35"/>
  <c r="O20" i="35"/>
  <c r="Z20" i="35"/>
  <c r="AA20" i="35"/>
  <c r="AO20" i="35"/>
  <c r="AP20" i="35"/>
  <c r="J21" i="35"/>
  <c r="M21" i="35" s="1"/>
  <c r="K21" i="35"/>
  <c r="P21" i="35" s="1"/>
  <c r="R21" i="35" s="1"/>
  <c r="T21" i="35" s="1"/>
  <c r="L21" i="35"/>
  <c r="Q21" i="35" s="1"/>
  <c r="S21" i="35" s="1"/>
  <c r="U21" i="35" s="1"/>
  <c r="N21" i="35"/>
  <c r="O21" i="35"/>
  <c r="Z21" i="35"/>
  <c r="AA21" i="35"/>
  <c r="AO21" i="35"/>
  <c r="AP21" i="35"/>
  <c r="J22" i="35"/>
  <c r="K22" i="35"/>
  <c r="P22" i="35" s="1"/>
  <c r="R22" i="35" s="1"/>
  <c r="T22" i="35" s="1"/>
  <c r="L22" i="35"/>
  <c r="Q22" i="35" s="1"/>
  <c r="S22" i="35" s="1"/>
  <c r="U22" i="35" s="1"/>
  <c r="M22" i="35"/>
  <c r="N22" i="35"/>
  <c r="O22" i="35"/>
  <c r="Z22" i="35"/>
  <c r="AA22" i="35"/>
  <c r="AO22" i="35"/>
  <c r="AP22" i="35"/>
  <c r="J23" i="35"/>
  <c r="M23" i="35" s="1"/>
  <c r="K23" i="35"/>
  <c r="P23" i="35" s="1"/>
  <c r="R23" i="35" s="1"/>
  <c r="T23" i="35" s="1"/>
  <c r="L23" i="35"/>
  <c r="Q23" i="35" s="1"/>
  <c r="S23" i="35" s="1"/>
  <c r="U23" i="35" s="1"/>
  <c r="N23" i="35"/>
  <c r="O23" i="35"/>
  <c r="Z23" i="35"/>
  <c r="AA23" i="35"/>
  <c r="AO23" i="35"/>
  <c r="AP23" i="35"/>
  <c r="J24" i="35"/>
  <c r="K24" i="35"/>
  <c r="P24" i="35" s="1"/>
  <c r="R24" i="35" s="1"/>
  <c r="T24" i="35" s="1"/>
  <c r="L24" i="35"/>
  <c r="Q24" i="35" s="1"/>
  <c r="S24" i="35" s="1"/>
  <c r="U24" i="35" s="1"/>
  <c r="M24" i="35"/>
  <c r="N24" i="35"/>
  <c r="O24" i="35"/>
  <c r="Z24" i="35"/>
  <c r="AA24" i="35"/>
  <c r="AO24" i="35"/>
  <c r="AP24" i="35"/>
  <c r="J25" i="35"/>
  <c r="M25" i="35" s="1"/>
  <c r="K25" i="35"/>
  <c r="P25" i="35" s="1"/>
  <c r="R25" i="35" s="1"/>
  <c r="T25" i="35" s="1"/>
  <c r="L25" i="35"/>
  <c r="Q25" i="35" s="1"/>
  <c r="S25" i="35" s="1"/>
  <c r="U25" i="35" s="1"/>
  <c r="N25" i="35"/>
  <c r="O25" i="35"/>
  <c r="Z25" i="35"/>
  <c r="AA25" i="35"/>
  <c r="AO25" i="35"/>
  <c r="AP25" i="35"/>
  <c r="J26" i="35"/>
  <c r="K26" i="35"/>
  <c r="P26" i="35" s="1"/>
  <c r="R26" i="35" s="1"/>
  <c r="T26" i="35" s="1"/>
  <c r="L26" i="35"/>
  <c r="Q26" i="35" s="1"/>
  <c r="S26" i="35" s="1"/>
  <c r="U26" i="35" s="1"/>
  <c r="M26" i="35"/>
  <c r="N26" i="35"/>
  <c r="O26" i="35"/>
  <c r="Z26" i="35"/>
  <c r="AA26" i="35"/>
  <c r="AO26" i="35"/>
  <c r="AP26" i="35"/>
  <c r="J11" i="35"/>
  <c r="J10" i="35"/>
  <c r="Y161" i="44" l="1"/>
  <c r="Y162" i="44" s="1"/>
  <c r="L161" i="44"/>
  <c r="L162" i="44" s="1"/>
  <c r="L163" i="44" s="1"/>
  <c r="L164" i="44" s="1"/>
  <c r="B120" i="44"/>
  <c r="B87" i="44"/>
  <c r="H102" i="44"/>
  <c r="F110" i="44"/>
  <c r="R110" i="44" s="1"/>
  <c r="R102" i="44"/>
  <c r="H50" i="44"/>
  <c r="M70" i="44"/>
  <c r="N70" i="44" s="1"/>
  <c r="B69" i="44" s="1"/>
  <c r="M110" i="44"/>
  <c r="W110" i="44" s="1"/>
  <c r="O109" i="44"/>
  <c r="Y109" i="44" s="1"/>
  <c r="L103" i="44"/>
  <c r="V103" i="44" s="1"/>
  <c r="O111" i="44"/>
  <c r="Y111" i="44" s="1"/>
  <c r="L109" i="44"/>
  <c r="V109" i="44" s="1"/>
  <c r="T163" i="44"/>
  <c r="U162" i="44"/>
  <c r="H163" i="44"/>
  <c r="I163" i="44" s="1"/>
  <c r="V161" i="44"/>
  <c r="H164" i="44"/>
  <c r="I164" i="44" s="1"/>
  <c r="H162" i="44"/>
  <c r="I162" i="44" s="1"/>
  <c r="H161" i="44"/>
  <c r="I161" i="44" s="1"/>
  <c r="B117" i="44"/>
  <c r="B158" i="44"/>
  <c r="B159" i="44" s="1"/>
  <c r="B160" i="44" s="1"/>
  <c r="B128" i="44"/>
  <c r="H104" i="44"/>
  <c r="O110" i="44" s="1"/>
  <c r="Y110" i="44" s="1"/>
  <c r="H109" i="44"/>
  <c r="T109" i="44" s="1"/>
  <c r="T101" i="44"/>
  <c r="Y161" i="43"/>
  <c r="Y162" i="43" s="1"/>
  <c r="L161" i="43"/>
  <c r="L162" i="43" s="1"/>
  <c r="L163" i="43" s="1"/>
  <c r="L164" i="43" s="1"/>
  <c r="H104" i="43"/>
  <c r="L110" i="43" s="1"/>
  <c r="V110" i="43" s="1"/>
  <c r="T101" i="43"/>
  <c r="H109" i="43"/>
  <c r="T109" i="43" s="1"/>
  <c r="B120" i="43"/>
  <c r="B87" i="43"/>
  <c r="N110" i="43"/>
  <c r="X110" i="43" s="1"/>
  <c r="L102" i="43"/>
  <c r="V102" i="43" s="1"/>
  <c r="M110" i="43"/>
  <c r="W110" i="43" s="1"/>
  <c r="O109" i="43"/>
  <c r="Y109" i="43" s="1"/>
  <c r="L103" i="43"/>
  <c r="V103" i="43" s="1"/>
  <c r="L109" i="43"/>
  <c r="V109" i="43" s="1"/>
  <c r="M111" i="43"/>
  <c r="W111" i="43" s="1"/>
  <c r="O111" i="43"/>
  <c r="Y111" i="43" s="1"/>
  <c r="N111" i="43"/>
  <c r="X111" i="43" s="1"/>
  <c r="O110" i="43"/>
  <c r="Y110" i="43" s="1"/>
  <c r="B158" i="43"/>
  <c r="B159" i="43" s="1"/>
  <c r="B160" i="43" s="1"/>
  <c r="H163" i="43"/>
  <c r="I163" i="43" s="1"/>
  <c r="H164" i="43"/>
  <c r="I164" i="43" s="1"/>
  <c r="V161" i="43"/>
  <c r="H162" i="43"/>
  <c r="I162" i="43" s="1"/>
  <c r="H161" i="43"/>
  <c r="I161" i="43" s="1"/>
  <c r="B128" i="43"/>
  <c r="H50" i="43"/>
  <c r="M70" i="43"/>
  <c r="N70" i="43" s="1"/>
  <c r="B69" i="43" s="1"/>
  <c r="D122" i="43"/>
  <c r="B119" i="43"/>
  <c r="B122" i="43"/>
  <c r="T163" i="43"/>
  <c r="U162" i="43"/>
  <c r="H102" i="43"/>
  <c r="F110" i="43"/>
  <c r="R110" i="43" s="1"/>
  <c r="R102" i="43"/>
  <c r="B129" i="43"/>
  <c r="B156" i="42"/>
  <c r="B45" i="42"/>
  <c r="D69" i="42"/>
  <c r="B73" i="42"/>
  <c r="B75" i="42" s="1"/>
  <c r="B86" i="42" s="1"/>
  <c r="B88" i="42" s="1"/>
  <c r="H102" i="42"/>
  <c r="R102" i="42"/>
  <c r="B60" i="42"/>
  <c r="B58" i="42" s="1"/>
  <c r="B57" i="42" s="1"/>
  <c r="B63" i="42" s="1"/>
  <c r="B54" i="42"/>
  <c r="B120" i="42"/>
  <c r="B87" i="42"/>
  <c r="D115" i="42"/>
  <c r="B115" i="42" s="1"/>
  <c r="B98" i="42"/>
  <c r="B104" i="42" s="1"/>
  <c r="B105" i="42" s="1"/>
  <c r="N64" i="42"/>
  <c r="X64" i="42" s="1"/>
  <c r="X63" i="42"/>
  <c r="R110" i="42"/>
  <c r="H110" i="42"/>
  <c r="T110" i="42" s="1"/>
  <c r="E74" i="42"/>
  <c r="AB65" i="42"/>
  <c r="H163" i="42"/>
  <c r="I163" i="42" s="1"/>
  <c r="V161" i="42"/>
  <c r="H162" i="42"/>
  <c r="I162" i="42" s="1"/>
  <c r="H103" i="42"/>
  <c r="T103" i="42" s="1"/>
  <c r="R103" i="42"/>
  <c r="T109" i="42"/>
  <c r="H111" i="42"/>
  <c r="B156" i="37"/>
  <c r="B45" i="37"/>
  <c r="H102" i="37"/>
  <c r="R102" i="37"/>
  <c r="B120" i="37"/>
  <c r="B87" i="37"/>
  <c r="R110" i="37"/>
  <c r="H110" i="37"/>
  <c r="T110" i="37" s="1"/>
  <c r="D115" i="37"/>
  <c r="B115" i="37" s="1"/>
  <c r="H163" i="37" s="1"/>
  <c r="I163" i="37" s="1"/>
  <c r="B98" i="37"/>
  <c r="B104" i="37" s="1"/>
  <c r="B105" i="37" s="1"/>
  <c r="H111" i="37"/>
  <c r="T109" i="37"/>
  <c r="H103" i="37"/>
  <c r="T103" i="37" s="1"/>
  <c r="R103" i="37"/>
  <c r="E74" i="37"/>
  <c r="AB65" i="37"/>
  <c r="B60" i="37"/>
  <c r="B58" i="37" s="1"/>
  <c r="B57" i="37" s="1"/>
  <c r="B63" i="37" s="1"/>
  <c r="B54" i="37"/>
  <c r="D69" i="37"/>
  <c r="B73" i="37"/>
  <c r="B75" i="37" s="1"/>
  <c r="B86" i="37" s="1"/>
  <c r="B88" i="37" s="1"/>
  <c r="N64" i="37"/>
  <c r="X64" i="37" s="1"/>
  <c r="X63" i="37"/>
  <c r="S12" i="35"/>
  <c r="U12" i="35" s="1"/>
  <c r="R12" i="35"/>
  <c r="T12" i="35" s="1"/>
  <c r="V12" i="35" s="1"/>
  <c r="W20" i="35"/>
  <c r="Y20" i="35"/>
  <c r="X25" i="35"/>
  <c r="AD25" i="35" s="1"/>
  <c r="V25" i="35"/>
  <c r="W18" i="35"/>
  <c r="Y18" i="35"/>
  <c r="V23" i="35"/>
  <c r="X23" i="35"/>
  <c r="AD23" i="35" s="1"/>
  <c r="V18" i="35"/>
  <c r="X18" i="35"/>
  <c r="AD18" i="35" s="1"/>
  <c r="W26" i="35"/>
  <c r="Y26" i="35"/>
  <c r="X21" i="35"/>
  <c r="AD21" i="35" s="1"/>
  <c r="V21" i="35"/>
  <c r="Y19" i="35"/>
  <c r="AE19" i="35" s="1"/>
  <c r="AH19" i="35" s="1"/>
  <c r="W19" i="35"/>
  <c r="V16" i="35"/>
  <c r="X16" i="35"/>
  <c r="AD16" i="35" s="1"/>
  <c r="W14" i="35"/>
  <c r="Y14" i="35"/>
  <c r="AE14" i="35" s="1"/>
  <c r="AH14" i="35" s="1"/>
  <c r="W12" i="35"/>
  <c r="Y12" i="35"/>
  <c r="AE12" i="35" s="1"/>
  <c r="AH12" i="35" s="1"/>
  <c r="V13" i="35"/>
  <c r="X13" i="35"/>
  <c r="AD13" i="35" s="1"/>
  <c r="AE20" i="35"/>
  <c r="AH20" i="35" s="1"/>
  <c r="AE25" i="35"/>
  <c r="AH25" i="35" s="1"/>
  <c r="Y25" i="35"/>
  <c r="W25" i="35"/>
  <c r="V22" i="35"/>
  <c r="X22" i="35"/>
  <c r="AD22" i="35" s="1"/>
  <c r="V15" i="35"/>
  <c r="X15" i="35"/>
  <c r="AD15" i="35" s="1"/>
  <c r="Y23" i="35"/>
  <c r="AE23" i="35" s="1"/>
  <c r="AH23" i="35" s="1"/>
  <c r="W23" i="35"/>
  <c r="V20" i="35"/>
  <c r="X20" i="35"/>
  <c r="AD20" i="35" s="1"/>
  <c r="Y21" i="35"/>
  <c r="AE21" i="35" s="1"/>
  <c r="AH21" i="35" s="1"/>
  <c r="W21" i="35"/>
  <c r="AE18" i="35"/>
  <c r="AH18" i="35" s="1"/>
  <c r="W16" i="35"/>
  <c r="Y16" i="35"/>
  <c r="AE16" i="35" s="1"/>
  <c r="AH16" i="35" s="1"/>
  <c r="AE26" i="35"/>
  <c r="AH26" i="35" s="1"/>
  <c r="V26" i="35"/>
  <c r="X26" i="35"/>
  <c r="AD26" i="35" s="1"/>
  <c r="W24" i="35"/>
  <c r="Y24" i="35"/>
  <c r="X19" i="35"/>
  <c r="AD19" i="35" s="1"/>
  <c r="V19" i="35"/>
  <c r="Y17" i="35"/>
  <c r="AE17" i="35" s="1"/>
  <c r="AH17" i="35" s="1"/>
  <c r="W17" i="35"/>
  <c r="V14" i="35"/>
  <c r="X14" i="35"/>
  <c r="AD14" i="35" s="1"/>
  <c r="AE24" i="35"/>
  <c r="AH24" i="35" s="1"/>
  <c r="V24" i="35"/>
  <c r="X24" i="35"/>
  <c r="AD24" i="35" s="1"/>
  <c r="W22" i="35"/>
  <c r="Y22" i="35"/>
  <c r="AE22" i="35" s="1"/>
  <c r="AH22" i="35" s="1"/>
  <c r="R17" i="35"/>
  <c r="T17" i="35" s="1"/>
  <c r="Y15" i="35"/>
  <c r="AE15" i="35" s="1"/>
  <c r="AH15" i="35" s="1"/>
  <c r="W15" i="35"/>
  <c r="AC25" i="35"/>
  <c r="AC21" i="35"/>
  <c r="AC19" i="35"/>
  <c r="AC15" i="35"/>
  <c r="AC13" i="35"/>
  <c r="AC23" i="35"/>
  <c r="AC17" i="35"/>
  <c r="AB25" i="35"/>
  <c r="AB23" i="35"/>
  <c r="AB21" i="35"/>
  <c r="AB19" i="35"/>
  <c r="AB17" i="35"/>
  <c r="AB15" i="35"/>
  <c r="AB13" i="35"/>
  <c r="AC26" i="35"/>
  <c r="AC24" i="35"/>
  <c r="AC22" i="35"/>
  <c r="AC20" i="35"/>
  <c r="AC18" i="35"/>
  <c r="AC16" i="35"/>
  <c r="AC14" i="35"/>
  <c r="N13" i="35"/>
  <c r="S13" i="35" s="1"/>
  <c r="U13" i="35" s="1"/>
  <c r="AC12" i="35"/>
  <c r="AB26" i="35"/>
  <c r="AB24" i="35"/>
  <c r="AB22" i="35"/>
  <c r="AB20" i="35"/>
  <c r="AB18" i="35"/>
  <c r="AB16" i="35"/>
  <c r="AB14" i="35"/>
  <c r="AB12" i="35"/>
  <c r="T164" i="44" l="1"/>
  <c r="U163" i="44"/>
  <c r="Y163" i="44"/>
  <c r="N111" i="44"/>
  <c r="X111" i="44" s="1"/>
  <c r="N109" i="44"/>
  <c r="X109" i="44" s="1"/>
  <c r="N110" i="44"/>
  <c r="X110" i="44" s="1"/>
  <c r="H110" i="44"/>
  <c r="T110" i="44" s="1"/>
  <c r="T102" i="44"/>
  <c r="M111" i="44"/>
  <c r="W111" i="44" s="1"/>
  <c r="L110" i="44"/>
  <c r="V110" i="44" s="1"/>
  <c r="L111" i="44"/>
  <c r="V111" i="44" s="1"/>
  <c r="L101" i="44"/>
  <c r="L102" i="44"/>
  <c r="V102" i="44" s="1"/>
  <c r="B73" i="44"/>
  <c r="B75" i="44" s="1"/>
  <c r="B86" i="44" s="1"/>
  <c r="B88" i="44" s="1"/>
  <c r="D69" i="44"/>
  <c r="D122" i="44"/>
  <c r="B119" i="44"/>
  <c r="B122" i="44"/>
  <c r="M109" i="44"/>
  <c r="W109" i="44" s="1"/>
  <c r="T164" i="43"/>
  <c r="U163" i="43"/>
  <c r="B123" i="43"/>
  <c r="B125" i="43" s="1"/>
  <c r="H110" i="43"/>
  <c r="T110" i="43" s="1"/>
  <c r="T102" i="43"/>
  <c r="L101" i="43"/>
  <c r="N109" i="43"/>
  <c r="X109" i="43" s="1"/>
  <c r="L111" i="43"/>
  <c r="V111" i="43" s="1"/>
  <c r="B73" i="43"/>
  <c r="B75" i="43" s="1"/>
  <c r="B86" i="43" s="1"/>
  <c r="B88" i="43" s="1"/>
  <c r="D69" i="43"/>
  <c r="M109" i="43"/>
  <c r="W109" i="43" s="1"/>
  <c r="Y163" i="43"/>
  <c r="Y164" i="43" s="1"/>
  <c r="T102" i="42"/>
  <c r="H104" i="42"/>
  <c r="B142" i="42"/>
  <c r="B147" i="42" s="1"/>
  <c r="B129" i="42"/>
  <c r="B128" i="42"/>
  <c r="U161" i="42"/>
  <c r="B161" i="42"/>
  <c r="T162" i="42" s="1"/>
  <c r="B117" i="42"/>
  <c r="B106" i="42"/>
  <c r="C91" i="42"/>
  <c r="B91" i="42"/>
  <c r="L110" i="42"/>
  <c r="V110" i="42" s="1"/>
  <c r="M110" i="42"/>
  <c r="W110" i="42" s="1"/>
  <c r="B184" i="42"/>
  <c r="B186" i="42"/>
  <c r="B201" i="42"/>
  <c r="B202" i="42" s="1"/>
  <c r="C202" i="42" s="1"/>
  <c r="B189" i="42"/>
  <c r="H164" i="42"/>
  <c r="I164" i="42" s="1"/>
  <c r="L93" i="42"/>
  <c r="M91" i="42"/>
  <c r="L109" i="42" s="1"/>
  <c r="V109" i="42" s="1"/>
  <c r="M92" i="42"/>
  <c r="M109" i="42" s="1"/>
  <c r="W109" i="42" s="1"/>
  <c r="M94" i="42"/>
  <c r="O109" i="42" s="1"/>
  <c r="Y109" i="42" s="1"/>
  <c r="L94" i="42"/>
  <c r="L91" i="42"/>
  <c r="L90" i="42"/>
  <c r="B126" i="42" s="1"/>
  <c r="M90" i="42"/>
  <c r="B127" i="42" s="1"/>
  <c r="L92" i="42"/>
  <c r="M93" i="42"/>
  <c r="N110" i="42" s="1"/>
  <c r="X110" i="42" s="1"/>
  <c r="H50" i="42"/>
  <c r="H161" i="42"/>
  <c r="I161" i="42" s="1"/>
  <c r="B158" i="42"/>
  <c r="B157" i="42"/>
  <c r="B159" i="42" s="1"/>
  <c r="B160" i="42" s="1"/>
  <c r="V161" i="37"/>
  <c r="L110" i="37"/>
  <c r="V110" i="37" s="1"/>
  <c r="L103" i="37"/>
  <c r="V103" i="37" s="1"/>
  <c r="O109" i="37"/>
  <c r="Y109" i="37" s="1"/>
  <c r="N110" i="37"/>
  <c r="X110" i="37" s="1"/>
  <c r="L109" i="37"/>
  <c r="V109" i="37" s="1"/>
  <c r="B106" i="37"/>
  <c r="B91" i="37"/>
  <c r="C91" i="37"/>
  <c r="B142" i="37"/>
  <c r="B147" i="37" s="1"/>
  <c r="B129" i="37"/>
  <c r="B128" i="37"/>
  <c r="U161" i="37"/>
  <c r="B161" i="37"/>
  <c r="T162" i="37" s="1"/>
  <c r="B117" i="37"/>
  <c r="H164" i="37"/>
  <c r="I164" i="37" s="1"/>
  <c r="T102" i="37"/>
  <c r="H104" i="37"/>
  <c r="B184" i="37"/>
  <c r="B189" i="37"/>
  <c r="B186" i="37"/>
  <c r="B201" i="37"/>
  <c r="B202" i="37" s="1"/>
  <c r="C202" i="37" s="1"/>
  <c r="H161" i="37"/>
  <c r="I161" i="37" s="1"/>
  <c r="M91" i="37"/>
  <c r="H50" i="37"/>
  <c r="M93" i="37"/>
  <c r="N109" i="37" s="1"/>
  <c r="X109" i="37" s="1"/>
  <c r="M94" i="37"/>
  <c r="O110" i="37" s="1"/>
  <c r="Y110" i="37" s="1"/>
  <c r="L93" i="37"/>
  <c r="L94" i="37"/>
  <c r="M90" i="37"/>
  <c r="B127" i="37" s="1"/>
  <c r="L90" i="37"/>
  <c r="B126" i="37" s="1"/>
  <c r="M92" i="37"/>
  <c r="M110" i="37" s="1"/>
  <c r="W110" i="37" s="1"/>
  <c r="L92" i="37"/>
  <c r="L91" i="37"/>
  <c r="H162" i="37"/>
  <c r="I162" i="37" s="1"/>
  <c r="B157" i="37"/>
  <c r="B159" i="37" s="1"/>
  <c r="B160" i="37" s="1"/>
  <c r="B158" i="37"/>
  <c r="X12" i="35"/>
  <c r="AD12" i="35" s="1"/>
  <c r="Y13" i="35"/>
  <c r="AE13" i="35" s="1"/>
  <c r="AH13" i="35" s="1"/>
  <c r="W13" i="35"/>
  <c r="AJ24" i="35"/>
  <c r="AF24" i="35"/>
  <c r="AJ14" i="35"/>
  <c r="AF14" i="35"/>
  <c r="AJ18" i="35"/>
  <c r="AF18" i="35"/>
  <c r="AJ22" i="35"/>
  <c r="AF22" i="35"/>
  <c r="AJ20" i="35"/>
  <c r="AF20" i="35"/>
  <c r="AF13" i="35"/>
  <c r="AJ13" i="35"/>
  <c r="AJ16" i="35"/>
  <c r="AF16" i="35"/>
  <c r="AF21" i="35"/>
  <c r="AJ21" i="35"/>
  <c r="AF23" i="35"/>
  <c r="AJ23" i="35"/>
  <c r="AJ12" i="35"/>
  <c r="AF12" i="35"/>
  <c r="AF19" i="35"/>
  <c r="AJ19" i="35"/>
  <c r="AF15" i="35"/>
  <c r="AJ15" i="35"/>
  <c r="AF25" i="35"/>
  <c r="AJ25" i="35"/>
  <c r="V17" i="35"/>
  <c r="X17" i="35"/>
  <c r="AD17" i="35" s="1"/>
  <c r="AJ26" i="35"/>
  <c r="AF26" i="35"/>
  <c r="U164" i="44" l="1"/>
  <c r="T165" i="44"/>
  <c r="L105" i="44"/>
  <c r="V101" i="44"/>
  <c r="L104" i="44"/>
  <c r="B123" i="44"/>
  <c r="B125" i="44" s="1"/>
  <c r="Y164" i="44"/>
  <c r="B106" i="44"/>
  <c r="B91" i="44"/>
  <c r="C91" i="44"/>
  <c r="L105" i="43"/>
  <c r="V101" i="43"/>
  <c r="L104" i="43"/>
  <c r="B106" i="43"/>
  <c r="C91" i="43"/>
  <c r="B91" i="43"/>
  <c r="B146" i="43"/>
  <c r="B144" i="43"/>
  <c r="B150" i="43" s="1"/>
  <c r="B145" i="43"/>
  <c r="U164" i="43"/>
  <c r="T165" i="43"/>
  <c r="O110" i="42"/>
  <c r="Y110" i="42" s="1"/>
  <c r="L102" i="42"/>
  <c r="N109" i="42"/>
  <c r="X109" i="42" s="1"/>
  <c r="D122" i="42"/>
  <c r="B119" i="42"/>
  <c r="B122" i="42"/>
  <c r="B191" i="42"/>
  <c r="B194" i="42" s="1"/>
  <c r="B195" i="42" s="1"/>
  <c r="B196" i="42"/>
  <c r="C196" i="42" s="1"/>
  <c r="L103" i="42"/>
  <c r="V103" i="42" s="1"/>
  <c r="T163" i="42"/>
  <c r="U162" i="42"/>
  <c r="Y162" i="42"/>
  <c r="Y163" i="42" s="1"/>
  <c r="D122" i="37"/>
  <c r="B119" i="37"/>
  <c r="B122" i="37"/>
  <c r="M109" i="37"/>
  <c r="W109" i="37" s="1"/>
  <c r="L102" i="37"/>
  <c r="B191" i="37"/>
  <c r="B194" i="37" s="1"/>
  <c r="B195" i="37" s="1"/>
  <c r="B196" i="37"/>
  <c r="C196" i="37" s="1"/>
  <c r="T163" i="37"/>
  <c r="U162" i="37"/>
  <c r="Y162" i="37"/>
  <c r="Y163" i="37" s="1"/>
  <c r="AF17" i="35"/>
  <c r="AJ17" i="35"/>
  <c r="B146" i="44" l="1"/>
  <c r="B144" i="44"/>
  <c r="B150" i="44" s="1"/>
  <c r="B145" i="44"/>
  <c r="B164" i="44"/>
  <c r="B178" i="44"/>
  <c r="T166" i="44"/>
  <c r="U165" i="44"/>
  <c r="Y165" i="44"/>
  <c r="T166" i="43"/>
  <c r="U165" i="43"/>
  <c r="B164" i="43"/>
  <c r="B178" i="43"/>
  <c r="K163" i="43"/>
  <c r="X171" i="43"/>
  <c r="K162" i="43"/>
  <c r="K161" i="43"/>
  <c r="K164" i="43"/>
  <c r="X163" i="43"/>
  <c r="X172" i="43"/>
  <c r="X166" i="43"/>
  <c r="X161" i="43"/>
  <c r="X162" i="43"/>
  <c r="X164" i="43"/>
  <c r="X169" i="43"/>
  <c r="X167" i="43"/>
  <c r="X168" i="43"/>
  <c r="X170" i="43"/>
  <c r="X165" i="43"/>
  <c r="Y165" i="43"/>
  <c r="Y166" i="43" s="1"/>
  <c r="B123" i="42"/>
  <c r="B125" i="42" s="1"/>
  <c r="T164" i="42"/>
  <c r="U163" i="42"/>
  <c r="L105" i="42"/>
  <c r="L104" i="42"/>
  <c r="B164" i="42" s="1"/>
  <c r="V102" i="42"/>
  <c r="L105" i="37"/>
  <c r="L104" i="37"/>
  <c r="B164" i="37" s="1"/>
  <c r="V102" i="37"/>
  <c r="T164" i="37"/>
  <c r="U163" i="37"/>
  <c r="B123" i="37"/>
  <c r="B125" i="37" s="1"/>
  <c r="N16" i="38"/>
  <c r="V15" i="38"/>
  <c r="W15" i="38" s="1"/>
  <c r="U166" i="44" l="1"/>
  <c r="T167" i="44"/>
  <c r="B186" i="44"/>
  <c r="B180" i="44"/>
  <c r="B182" i="44" s="1"/>
  <c r="B183" i="44" s="1"/>
  <c r="C183" i="44" s="1"/>
  <c r="B172" i="44"/>
  <c r="B166" i="44"/>
  <c r="B168" i="44" s="1"/>
  <c r="B169" i="44" s="1"/>
  <c r="C169" i="44" s="1"/>
  <c r="Y166" i="44"/>
  <c r="X169" i="44"/>
  <c r="X165" i="44"/>
  <c r="K163" i="44"/>
  <c r="K162" i="44"/>
  <c r="K161" i="44"/>
  <c r="X171" i="44"/>
  <c r="X163" i="44"/>
  <c r="K164" i="44"/>
  <c r="X172" i="44"/>
  <c r="X168" i="44"/>
  <c r="X167" i="44"/>
  <c r="X170" i="44"/>
  <c r="X162" i="44"/>
  <c r="X166" i="44"/>
  <c r="X164" i="44"/>
  <c r="X161" i="44"/>
  <c r="AB169" i="43"/>
  <c r="Z166" i="43"/>
  <c r="AB167" i="43"/>
  <c r="AB172" i="43"/>
  <c r="AB168" i="43"/>
  <c r="G173" i="43"/>
  <c r="G174" i="43" s="1"/>
  <c r="M163" i="43"/>
  <c r="N163" i="43" s="1"/>
  <c r="AB170" i="43"/>
  <c r="AB164" i="43"/>
  <c r="Z163" i="43"/>
  <c r="B186" i="43"/>
  <c r="B180" i="43"/>
  <c r="B182" i="43" s="1"/>
  <c r="B183" i="43" s="1"/>
  <c r="C183" i="43" s="1"/>
  <c r="Y167" i="43"/>
  <c r="Z164" i="43"/>
  <c r="AB165" i="43"/>
  <c r="M164" i="43"/>
  <c r="G175" i="43"/>
  <c r="B172" i="43"/>
  <c r="B166" i="43"/>
  <c r="B168" i="43" s="1"/>
  <c r="B169" i="43" s="1"/>
  <c r="C169" i="43" s="1"/>
  <c r="Z165" i="43"/>
  <c r="AB166" i="43"/>
  <c r="AB163" i="43"/>
  <c r="Z162" i="43"/>
  <c r="G170" i="43"/>
  <c r="M161" i="43"/>
  <c r="N161" i="43" s="1"/>
  <c r="AB171" i="43"/>
  <c r="AB162" i="43"/>
  <c r="Z161" i="43"/>
  <c r="M162" i="43"/>
  <c r="N162" i="43" s="1"/>
  <c r="G171" i="43"/>
  <c r="G172" i="43" s="1"/>
  <c r="H172" i="43" s="1"/>
  <c r="K172" i="43" s="1"/>
  <c r="U166" i="43"/>
  <c r="T167" i="43"/>
  <c r="B166" i="42"/>
  <c r="B168" i="42" s="1"/>
  <c r="B169" i="42" s="1"/>
  <c r="C169" i="42" s="1"/>
  <c r="B172" i="42"/>
  <c r="B145" i="42"/>
  <c r="B144" i="42"/>
  <c r="B150" i="42" s="1"/>
  <c r="B146" i="42"/>
  <c r="T165" i="42"/>
  <c r="U164" i="42"/>
  <c r="Y164" i="42"/>
  <c r="T165" i="37"/>
  <c r="U164" i="37"/>
  <c r="Y164" i="37"/>
  <c r="B166" i="37"/>
  <c r="B168" i="37" s="1"/>
  <c r="B169" i="37" s="1"/>
  <c r="C169" i="37" s="1"/>
  <c r="B172" i="37"/>
  <c r="B145" i="37"/>
  <c r="B144" i="37"/>
  <c r="B150" i="37" s="1"/>
  <c r="B146" i="37"/>
  <c r="Z162" i="44" l="1"/>
  <c r="AB163" i="44"/>
  <c r="AB164" i="44"/>
  <c r="Z163" i="44"/>
  <c r="AB170" i="44"/>
  <c r="T168" i="44"/>
  <c r="U167" i="44"/>
  <c r="AB171" i="44"/>
  <c r="AB172" i="44"/>
  <c r="Y167" i="44"/>
  <c r="AB168" i="44"/>
  <c r="G170" i="44"/>
  <c r="M161" i="44"/>
  <c r="N161" i="44" s="1"/>
  <c r="Z161" i="44"/>
  <c r="AB169" i="44"/>
  <c r="M162" i="44"/>
  <c r="N162" i="44" s="1"/>
  <c r="G171" i="44"/>
  <c r="G172" i="44" s="1"/>
  <c r="H172" i="44" s="1"/>
  <c r="K172" i="44" s="1"/>
  <c r="Z164" i="44"/>
  <c r="AB165" i="44"/>
  <c r="G173" i="44"/>
  <c r="G174" i="44" s="1"/>
  <c r="M163" i="44"/>
  <c r="N163" i="44" s="1"/>
  <c r="Z166" i="44"/>
  <c r="AB167" i="44"/>
  <c r="M164" i="44"/>
  <c r="G175" i="44"/>
  <c r="AB166" i="44"/>
  <c r="Z165" i="44"/>
  <c r="H170" i="43"/>
  <c r="K170" i="43" s="1"/>
  <c r="AB173" i="43"/>
  <c r="S176" i="43" s="1"/>
  <c r="H174" i="43"/>
  <c r="K174" i="43" s="1"/>
  <c r="T168" i="43"/>
  <c r="U167" i="43"/>
  <c r="Z167" i="43"/>
  <c r="U165" i="42"/>
  <c r="T166" i="42"/>
  <c r="K162" i="42"/>
  <c r="K161" i="42"/>
  <c r="K164" i="42"/>
  <c r="X167" i="42"/>
  <c r="X162" i="42"/>
  <c r="X171" i="42"/>
  <c r="X163" i="42"/>
  <c r="X161" i="42"/>
  <c r="K163" i="42"/>
  <c r="X172" i="42"/>
  <c r="X170" i="42"/>
  <c r="X165" i="42"/>
  <c r="X169" i="42"/>
  <c r="X166" i="42"/>
  <c r="X164" i="42"/>
  <c r="X168" i="42"/>
  <c r="Y165" i="42"/>
  <c r="K162" i="37"/>
  <c r="K161" i="37"/>
  <c r="K164" i="37"/>
  <c r="X162" i="37"/>
  <c r="X172" i="37"/>
  <c r="X168" i="37"/>
  <c r="X167" i="37"/>
  <c r="K163" i="37"/>
  <c r="X161" i="37"/>
  <c r="X170" i="37"/>
  <c r="X169" i="37"/>
  <c r="X165" i="37"/>
  <c r="X171" i="37"/>
  <c r="X166" i="37"/>
  <c r="X163" i="37"/>
  <c r="X164" i="37"/>
  <c r="Y165" i="37"/>
  <c r="U165" i="37"/>
  <c r="T166" i="37"/>
  <c r="Y168" i="44" l="1"/>
  <c r="U168" i="44"/>
  <c r="T169" i="44"/>
  <c r="Y169" i="44" s="1"/>
  <c r="AB173" i="44"/>
  <c r="S176" i="44" s="1"/>
  <c r="H170" i="44"/>
  <c r="K170" i="44" s="1"/>
  <c r="H174" i="44"/>
  <c r="K174" i="44" s="1"/>
  <c r="Z168" i="44"/>
  <c r="Z167" i="44"/>
  <c r="U168" i="43"/>
  <c r="T169" i="43"/>
  <c r="K176" i="43"/>
  <c r="Y168" i="43"/>
  <c r="AB169" i="42"/>
  <c r="AB168" i="42"/>
  <c r="AB165" i="42"/>
  <c r="Z164" i="42"/>
  <c r="G173" i="42"/>
  <c r="G174" i="42" s="1"/>
  <c r="M163" i="42"/>
  <c r="N163" i="42" s="1"/>
  <c r="G175" i="42"/>
  <c r="M164" i="42"/>
  <c r="AB167" i="42"/>
  <c r="AB162" i="42"/>
  <c r="Z161" i="42"/>
  <c r="G170" i="42"/>
  <c r="M161" i="42"/>
  <c r="N161" i="42" s="1"/>
  <c r="AB170" i="42"/>
  <c r="Z163" i="42"/>
  <c r="AB164" i="42"/>
  <c r="G171" i="42"/>
  <c r="G172" i="42" s="1"/>
  <c r="H172" i="42" s="1"/>
  <c r="K172" i="42" s="1"/>
  <c r="M162" i="42"/>
  <c r="N162" i="42" s="1"/>
  <c r="Z165" i="42"/>
  <c r="AB166" i="42"/>
  <c r="AB172" i="42"/>
  <c r="T167" i="42"/>
  <c r="U166" i="42"/>
  <c r="Y166" i="42"/>
  <c r="Y167" i="42" s="1"/>
  <c r="AB171" i="42"/>
  <c r="AB163" i="42"/>
  <c r="Z162" i="42"/>
  <c r="AB167" i="37"/>
  <c r="Z166" i="37"/>
  <c r="G173" i="37"/>
  <c r="G174" i="37" s="1"/>
  <c r="M163" i="37"/>
  <c r="N163" i="37" s="1"/>
  <c r="G170" i="37"/>
  <c r="H170" i="37" s="1"/>
  <c r="K170" i="37" s="1"/>
  <c r="M161" i="37"/>
  <c r="N161" i="37" s="1"/>
  <c r="T167" i="37"/>
  <c r="U166" i="37"/>
  <c r="AB172" i="37"/>
  <c r="Z167" i="37"/>
  <c r="AB168" i="37"/>
  <c r="G171" i="37"/>
  <c r="G172" i="37" s="1"/>
  <c r="M162" i="37"/>
  <c r="N162" i="37" s="1"/>
  <c r="Z165" i="37"/>
  <c r="AB166" i="37"/>
  <c r="AB169" i="37"/>
  <c r="Y166" i="37"/>
  <c r="Y167" i="37" s="1"/>
  <c r="AB170" i="37"/>
  <c r="AB165" i="37"/>
  <c r="Z164" i="37"/>
  <c r="AB171" i="37"/>
  <c r="AB163" i="37"/>
  <c r="Z162" i="37"/>
  <c r="Z163" i="37"/>
  <c r="AB164" i="37"/>
  <c r="AB162" i="37"/>
  <c r="Z161" i="37"/>
  <c r="G175" i="37"/>
  <c r="M164" i="37"/>
  <c r="K176" i="44" l="1"/>
  <c r="T170" i="44"/>
  <c r="U169" i="44"/>
  <c r="Z169" i="44"/>
  <c r="Y169" i="43"/>
  <c r="Z168" i="43"/>
  <c r="T170" i="43"/>
  <c r="U169" i="43"/>
  <c r="U167" i="42"/>
  <c r="T168" i="42"/>
  <c r="H170" i="42"/>
  <c r="K170" i="42" s="1"/>
  <c r="K176" i="42" s="1"/>
  <c r="Z167" i="42"/>
  <c r="AB173" i="42"/>
  <c r="S176" i="42" s="1"/>
  <c r="H174" i="42"/>
  <c r="K174" i="42" s="1"/>
  <c r="Z166" i="42"/>
  <c r="H174" i="37"/>
  <c r="K174" i="37" s="1"/>
  <c r="AB173" i="37"/>
  <c r="S176" i="37" s="1"/>
  <c r="Y168" i="37"/>
  <c r="H172" i="37"/>
  <c r="K172" i="37" s="1"/>
  <c r="K176" i="37" s="1"/>
  <c r="U167" i="37"/>
  <c r="T168" i="37"/>
  <c r="T171" i="44" l="1"/>
  <c r="U170" i="44"/>
  <c r="Y170" i="44"/>
  <c r="U170" i="43"/>
  <c r="T171" i="43"/>
  <c r="Y170" i="43"/>
  <c r="Z169" i="43"/>
  <c r="T169" i="42"/>
  <c r="U168" i="42"/>
  <c r="Y168" i="42"/>
  <c r="Z168" i="37"/>
  <c r="T169" i="37"/>
  <c r="U168" i="37"/>
  <c r="Y171" i="44" l="1"/>
  <c r="Z170" i="44"/>
  <c r="T172" i="44"/>
  <c r="U171" i="44"/>
  <c r="Y171" i="43"/>
  <c r="Z170" i="43"/>
  <c r="T172" i="43"/>
  <c r="U171" i="43"/>
  <c r="Y169" i="42"/>
  <c r="Z168" i="42"/>
  <c r="U169" i="42"/>
  <c r="T170" i="42"/>
  <c r="U169" i="37"/>
  <c r="T170" i="37"/>
  <c r="Y169" i="37"/>
  <c r="U172" i="44" l="1"/>
  <c r="S175" i="44"/>
  <c r="Y172" i="44"/>
  <c r="Z172" i="44" s="1"/>
  <c r="Z171" i="44"/>
  <c r="U172" i="43"/>
  <c r="S175" i="43"/>
  <c r="Y172" i="43"/>
  <c r="Z172" i="43" s="1"/>
  <c r="Z171" i="43"/>
  <c r="T171" i="42"/>
  <c r="U170" i="42"/>
  <c r="Y170" i="42"/>
  <c r="Z169" i="42"/>
  <c r="Y170" i="37"/>
  <c r="Z169" i="37"/>
  <c r="T171" i="37"/>
  <c r="U170" i="37"/>
  <c r="Y171" i="42" l="1"/>
  <c r="Z170" i="42"/>
  <c r="U171" i="42"/>
  <c r="T172" i="42"/>
  <c r="U171" i="37"/>
  <c r="T172" i="37"/>
  <c r="Y171" i="37"/>
  <c r="Z170" i="37"/>
  <c r="H5" i="41"/>
  <c r="H4" i="41"/>
  <c r="G5" i="41"/>
  <c r="G6" i="41"/>
  <c r="H6" i="41" s="1"/>
  <c r="H7" i="41" s="1"/>
  <c r="H8" i="41" s="1"/>
  <c r="H9" i="41" s="1"/>
  <c r="H10" i="41" s="1"/>
  <c r="H11" i="41" s="1"/>
  <c r="H12" i="41" s="1"/>
  <c r="H13" i="41" s="1"/>
  <c r="H14" i="41" s="1"/>
  <c r="G7" i="41"/>
  <c r="G8" i="41"/>
  <c r="G9" i="41"/>
  <c r="G10" i="41"/>
  <c r="G11" i="41"/>
  <c r="G12" i="41"/>
  <c r="G13" i="41"/>
  <c r="G14" i="41"/>
  <c r="G4" i="41"/>
  <c r="N9" i="41"/>
  <c r="N8" i="41"/>
  <c r="I4" i="41"/>
  <c r="S175" i="42" l="1"/>
  <c r="U172" i="42"/>
  <c r="Y172" i="42"/>
  <c r="Z172" i="42" s="1"/>
  <c r="Z171" i="42"/>
  <c r="Y172" i="37"/>
  <c r="Z172" i="37" s="1"/>
  <c r="Z171" i="37"/>
  <c r="S175" i="37"/>
  <c r="U172" i="37"/>
  <c r="G15" i="41"/>
  <c r="R9" i="39" l="1"/>
  <c r="Q9" i="39"/>
  <c r="S9" i="39" s="1"/>
  <c r="O9" i="39"/>
  <c r="N9" i="39"/>
  <c r="AC32" i="38"/>
  <c r="Q25" i="38"/>
  <c r="V26" i="38"/>
  <c r="N20" i="38"/>
  <c r="N21" i="38" s="1"/>
  <c r="N22" i="38" s="1"/>
  <c r="N23" i="38" s="1"/>
  <c r="N24" i="38" s="1"/>
  <c r="I21" i="38"/>
  <c r="I22" i="38"/>
  <c r="I20" i="38"/>
  <c r="AF17" i="38" l="1"/>
  <c r="AB17" i="38" s="1"/>
  <c r="AE17" i="38"/>
  <c r="AB7" i="38"/>
  <c r="A77" i="39"/>
  <c r="B77" i="39" s="1"/>
  <c r="C77" i="39" s="1"/>
  <c r="D77" i="39" s="1"/>
  <c r="E77" i="39" s="1"/>
  <c r="F77" i="39" s="1"/>
  <c r="G77" i="39" s="1"/>
  <c r="H77" i="39" s="1"/>
  <c r="B76" i="39"/>
  <c r="C76" i="39" s="1"/>
  <c r="D76" i="39" s="1"/>
  <c r="E76" i="39" s="1"/>
  <c r="F76" i="39" s="1"/>
  <c r="G76" i="39" s="1"/>
  <c r="H76" i="39" s="1"/>
  <c r="A75" i="39"/>
  <c r="B75" i="39" s="1"/>
  <c r="C75" i="39" s="1"/>
  <c r="D75" i="39" s="1"/>
  <c r="E75" i="39" s="1"/>
  <c r="F75" i="39" s="1"/>
  <c r="G75" i="39" s="1"/>
  <c r="H75" i="39" s="1"/>
  <c r="B74" i="39"/>
  <c r="C74" i="39" s="1"/>
  <c r="D74" i="39" s="1"/>
  <c r="E74" i="39" s="1"/>
  <c r="F74" i="39" s="1"/>
  <c r="G74" i="39" s="1"/>
  <c r="H74" i="39" s="1"/>
  <c r="A73" i="39"/>
  <c r="B73" i="39" s="1"/>
  <c r="C73" i="39" s="1"/>
  <c r="D73" i="39" s="1"/>
  <c r="E73" i="39" s="1"/>
  <c r="F73" i="39" s="1"/>
  <c r="G73" i="39" s="1"/>
  <c r="H73" i="39" s="1"/>
  <c r="B72" i="39"/>
  <c r="C72" i="39" s="1"/>
  <c r="D72" i="39" s="1"/>
  <c r="E72" i="39" s="1"/>
  <c r="F72" i="39" s="1"/>
  <c r="G72" i="39" s="1"/>
  <c r="H72" i="39" s="1"/>
  <c r="A71" i="39"/>
  <c r="B71" i="39" s="1"/>
  <c r="C71" i="39" s="1"/>
  <c r="D71" i="39" s="1"/>
  <c r="E71" i="39" s="1"/>
  <c r="F71" i="39" s="1"/>
  <c r="G71" i="39" s="1"/>
  <c r="H71" i="39" s="1"/>
  <c r="B70" i="39"/>
  <c r="C70" i="39" s="1"/>
  <c r="D70" i="39" s="1"/>
  <c r="E70" i="39" s="1"/>
  <c r="F70" i="39" s="1"/>
  <c r="G70" i="39" s="1"/>
  <c r="H70" i="39" s="1"/>
  <c r="A69" i="39"/>
  <c r="B69" i="39" s="1"/>
  <c r="C69" i="39" s="1"/>
  <c r="D69" i="39" s="1"/>
  <c r="E69" i="39" s="1"/>
  <c r="F69" i="39" s="1"/>
  <c r="G69" i="39" s="1"/>
  <c r="H69" i="39" s="1"/>
  <c r="A67" i="39"/>
  <c r="B67" i="39" s="1"/>
  <c r="C67" i="39" s="1"/>
  <c r="D67" i="39" s="1"/>
  <c r="E67" i="39" s="1"/>
  <c r="F67" i="39" s="1"/>
  <c r="G67" i="39" s="1"/>
  <c r="B66" i="39"/>
  <c r="C66" i="39" s="1"/>
  <c r="D66" i="39" s="1"/>
  <c r="E66" i="39" s="1"/>
  <c r="F66" i="39" s="1"/>
  <c r="G66" i="39" s="1"/>
  <c r="A65" i="39"/>
  <c r="B65" i="39" s="1"/>
  <c r="C65" i="39" s="1"/>
  <c r="D65" i="39" s="1"/>
  <c r="E65" i="39" s="1"/>
  <c r="F65" i="39" s="1"/>
  <c r="G65" i="39" s="1"/>
  <c r="B64" i="39"/>
  <c r="C64" i="39" s="1"/>
  <c r="D64" i="39" s="1"/>
  <c r="E64" i="39" s="1"/>
  <c r="F64" i="39" s="1"/>
  <c r="G64" i="39" s="1"/>
  <c r="A63" i="39"/>
  <c r="B63" i="39" s="1"/>
  <c r="C63" i="39" s="1"/>
  <c r="D63" i="39" s="1"/>
  <c r="E63" i="39" s="1"/>
  <c r="F63" i="39" s="1"/>
  <c r="G63" i="39" s="1"/>
  <c r="B62" i="39"/>
  <c r="C62" i="39" s="1"/>
  <c r="D62" i="39" s="1"/>
  <c r="E62" i="39" s="1"/>
  <c r="F62" i="39" s="1"/>
  <c r="G62" i="39" s="1"/>
  <c r="A61" i="39"/>
  <c r="B61" i="39" s="1"/>
  <c r="C61" i="39" s="1"/>
  <c r="D61" i="39" s="1"/>
  <c r="E61" i="39" s="1"/>
  <c r="F61" i="39" s="1"/>
  <c r="G61" i="39" s="1"/>
  <c r="B60" i="39"/>
  <c r="C60" i="39" s="1"/>
  <c r="D60" i="39" s="1"/>
  <c r="E60" i="39" s="1"/>
  <c r="F60" i="39" s="1"/>
  <c r="G60" i="39" s="1"/>
  <c r="A59" i="39"/>
  <c r="B59" i="39" s="1"/>
  <c r="C59" i="39" s="1"/>
  <c r="D59" i="39" s="1"/>
  <c r="E59" i="39" s="1"/>
  <c r="F59" i="39" s="1"/>
  <c r="G59" i="39" s="1"/>
  <c r="A57" i="39"/>
  <c r="B57" i="39" s="1"/>
  <c r="C57" i="39" s="1"/>
  <c r="D57" i="39" s="1"/>
  <c r="E57" i="39" s="1"/>
  <c r="F57" i="39" s="1"/>
  <c r="B56" i="39"/>
  <c r="C56" i="39" s="1"/>
  <c r="D56" i="39" s="1"/>
  <c r="E56" i="39" s="1"/>
  <c r="F56" i="39" s="1"/>
  <c r="A55" i="39"/>
  <c r="B55" i="39" s="1"/>
  <c r="C55" i="39" s="1"/>
  <c r="D55" i="39" s="1"/>
  <c r="E55" i="39" s="1"/>
  <c r="F55" i="39" s="1"/>
  <c r="B54" i="39"/>
  <c r="C54" i="39" s="1"/>
  <c r="D54" i="39" s="1"/>
  <c r="E54" i="39" s="1"/>
  <c r="F54" i="39" s="1"/>
  <c r="A53" i="39"/>
  <c r="B53" i="39" s="1"/>
  <c r="C53" i="39" s="1"/>
  <c r="D53" i="39" s="1"/>
  <c r="E53" i="39" s="1"/>
  <c r="F53" i="39" s="1"/>
  <c r="B52" i="39"/>
  <c r="C52" i="39" s="1"/>
  <c r="D52" i="39" s="1"/>
  <c r="E52" i="39" s="1"/>
  <c r="F52" i="39" s="1"/>
  <c r="A51" i="39"/>
  <c r="B51" i="39" s="1"/>
  <c r="C51" i="39" s="1"/>
  <c r="D51" i="39" s="1"/>
  <c r="E51" i="39" s="1"/>
  <c r="F51" i="39" s="1"/>
  <c r="B50" i="39"/>
  <c r="C50" i="39" s="1"/>
  <c r="D50" i="39" s="1"/>
  <c r="E50" i="39" s="1"/>
  <c r="F50" i="39" s="1"/>
  <c r="A49" i="39"/>
  <c r="B49" i="39" s="1"/>
  <c r="C49" i="39" s="1"/>
  <c r="D49" i="39" s="1"/>
  <c r="E49" i="39" s="1"/>
  <c r="F49" i="39" s="1"/>
  <c r="A47" i="39"/>
  <c r="B47" i="39" s="1"/>
  <c r="C47" i="39" s="1"/>
  <c r="D47" i="39" s="1"/>
  <c r="E47" i="39" s="1"/>
  <c r="F47" i="39" s="1"/>
  <c r="B46" i="39"/>
  <c r="C46" i="39" s="1"/>
  <c r="D46" i="39" s="1"/>
  <c r="E46" i="39" s="1"/>
  <c r="F46" i="39" s="1"/>
  <c r="A45" i="39"/>
  <c r="B45" i="39" s="1"/>
  <c r="C45" i="39" s="1"/>
  <c r="D45" i="39" s="1"/>
  <c r="E45" i="39" s="1"/>
  <c r="F45" i="39" s="1"/>
  <c r="B44" i="39"/>
  <c r="C44" i="39" s="1"/>
  <c r="D44" i="39" s="1"/>
  <c r="E44" i="39" s="1"/>
  <c r="F44" i="39" s="1"/>
  <c r="A43" i="39"/>
  <c r="B43" i="39" s="1"/>
  <c r="C43" i="39" s="1"/>
  <c r="D43" i="39" s="1"/>
  <c r="E43" i="39" s="1"/>
  <c r="F43" i="39" s="1"/>
  <c r="B42" i="39"/>
  <c r="C42" i="39" s="1"/>
  <c r="D42" i="39" s="1"/>
  <c r="E42" i="39" s="1"/>
  <c r="F42" i="39" s="1"/>
  <c r="A41" i="39"/>
  <c r="B41" i="39" s="1"/>
  <c r="C41" i="39" s="1"/>
  <c r="D41" i="39" s="1"/>
  <c r="E41" i="39" s="1"/>
  <c r="F41" i="39" s="1"/>
  <c r="B40" i="39"/>
  <c r="C40" i="39" s="1"/>
  <c r="D40" i="39" s="1"/>
  <c r="E40" i="39" s="1"/>
  <c r="F40" i="39" s="1"/>
  <c r="A39" i="39"/>
  <c r="B39" i="39" s="1"/>
  <c r="C39" i="39" s="1"/>
  <c r="D39" i="39" s="1"/>
  <c r="E39" i="39" s="1"/>
  <c r="F39" i="39" s="1"/>
  <c r="A37" i="39"/>
  <c r="B37" i="39" s="1"/>
  <c r="C37" i="39" s="1"/>
  <c r="D37" i="39" s="1"/>
  <c r="E37" i="39" s="1"/>
  <c r="F37" i="39" s="1"/>
  <c r="G37" i="39" s="1"/>
  <c r="H37" i="39" s="1"/>
  <c r="B36" i="39"/>
  <c r="C36" i="39" s="1"/>
  <c r="D36" i="39" s="1"/>
  <c r="E36" i="39" s="1"/>
  <c r="F36" i="39" s="1"/>
  <c r="G36" i="39" s="1"/>
  <c r="H36" i="39" s="1"/>
  <c r="A35" i="39"/>
  <c r="B35" i="39" s="1"/>
  <c r="C35" i="39" s="1"/>
  <c r="D35" i="39" s="1"/>
  <c r="E35" i="39" s="1"/>
  <c r="F35" i="39" s="1"/>
  <c r="G35" i="39" s="1"/>
  <c r="H35" i="39" s="1"/>
  <c r="B34" i="39"/>
  <c r="C34" i="39" s="1"/>
  <c r="D34" i="39" s="1"/>
  <c r="E34" i="39" s="1"/>
  <c r="F34" i="39" s="1"/>
  <c r="G34" i="39" s="1"/>
  <c r="H34" i="39" s="1"/>
  <c r="A33" i="39"/>
  <c r="B33" i="39" s="1"/>
  <c r="C33" i="39" s="1"/>
  <c r="D33" i="39" s="1"/>
  <c r="E33" i="39" s="1"/>
  <c r="F33" i="39" s="1"/>
  <c r="G33" i="39" s="1"/>
  <c r="H33" i="39" s="1"/>
  <c r="B32" i="39"/>
  <c r="C32" i="39" s="1"/>
  <c r="D32" i="39" s="1"/>
  <c r="E32" i="39" s="1"/>
  <c r="F32" i="39" s="1"/>
  <c r="G32" i="39" s="1"/>
  <c r="H32" i="39" s="1"/>
  <c r="A31" i="39"/>
  <c r="B31" i="39" s="1"/>
  <c r="C31" i="39" s="1"/>
  <c r="D31" i="39" s="1"/>
  <c r="E31" i="39" s="1"/>
  <c r="F31" i="39" s="1"/>
  <c r="G31" i="39" s="1"/>
  <c r="H31" i="39" s="1"/>
  <c r="B30" i="39"/>
  <c r="C30" i="39" s="1"/>
  <c r="D30" i="39" s="1"/>
  <c r="E30" i="39" s="1"/>
  <c r="F30" i="39" s="1"/>
  <c r="G30" i="39" s="1"/>
  <c r="H30" i="39" s="1"/>
  <c r="A29" i="39"/>
  <c r="B29" i="39" s="1"/>
  <c r="C29" i="39" s="1"/>
  <c r="D29" i="39" s="1"/>
  <c r="E29" i="39" s="1"/>
  <c r="F29" i="39" s="1"/>
  <c r="G29" i="39" s="1"/>
  <c r="H29" i="39" s="1"/>
  <c r="A26" i="39"/>
  <c r="A27" i="39" s="1"/>
  <c r="B27" i="39" s="1"/>
  <c r="C27" i="39" s="1"/>
  <c r="D27" i="39" s="1"/>
  <c r="E27" i="39" s="1"/>
  <c r="F27" i="39" s="1"/>
  <c r="A22" i="39"/>
  <c r="A21" i="39" s="1"/>
  <c r="B21" i="39" s="1"/>
  <c r="C21" i="39" s="1"/>
  <c r="D21" i="39" s="1"/>
  <c r="E21" i="39" s="1"/>
  <c r="F21" i="39" s="1"/>
  <c r="G21" i="39" s="1"/>
  <c r="J19" i="39"/>
  <c r="I19" i="39"/>
  <c r="H19" i="39"/>
  <c r="G19" i="39"/>
  <c r="F19" i="39"/>
  <c r="E19" i="39"/>
  <c r="D19" i="39"/>
  <c r="C19" i="39"/>
  <c r="B19" i="39"/>
  <c r="A19" i="39"/>
  <c r="J17" i="39"/>
  <c r="I17" i="39"/>
  <c r="H17" i="39"/>
  <c r="G17" i="39"/>
  <c r="F17" i="39"/>
  <c r="E17" i="39"/>
  <c r="D17" i="39"/>
  <c r="C17" i="39"/>
  <c r="B17" i="39"/>
  <c r="A17" i="39"/>
  <c r="J15" i="39"/>
  <c r="I15" i="39"/>
  <c r="H15" i="39"/>
  <c r="G15" i="39"/>
  <c r="F15" i="39"/>
  <c r="E15" i="39"/>
  <c r="D15" i="39"/>
  <c r="C15" i="39"/>
  <c r="B15" i="39"/>
  <c r="A15" i="39"/>
  <c r="J13" i="39"/>
  <c r="I13" i="39"/>
  <c r="H13" i="39"/>
  <c r="G13" i="39"/>
  <c r="F13" i="39"/>
  <c r="E13" i="39"/>
  <c r="D13" i="39"/>
  <c r="C13" i="39"/>
  <c r="B13" i="39"/>
  <c r="A13" i="39"/>
  <c r="J11" i="39"/>
  <c r="I11" i="39"/>
  <c r="H11" i="39"/>
  <c r="G11" i="39"/>
  <c r="F11" i="39"/>
  <c r="E11" i="39"/>
  <c r="D11" i="39"/>
  <c r="C11" i="39"/>
  <c r="B11" i="39"/>
  <c r="A11" i="39"/>
  <c r="Z7" i="38"/>
  <c r="AA7" i="38" s="1"/>
  <c r="Z4" i="38"/>
  <c r="X14" i="38"/>
  <c r="V14" i="38"/>
  <c r="U14" i="38"/>
  <c r="R14" i="38"/>
  <c r="Q14" i="38"/>
  <c r="P14" i="38"/>
  <c r="M14" i="38"/>
  <c r="X13" i="38"/>
  <c r="V13" i="38"/>
  <c r="U13" i="38"/>
  <c r="R13" i="38"/>
  <c r="Q13" i="38"/>
  <c r="P13" i="38"/>
  <c r="M13" i="38"/>
  <c r="X12" i="38"/>
  <c r="V12" i="38"/>
  <c r="U12" i="38"/>
  <c r="R12" i="38"/>
  <c r="Q12" i="38"/>
  <c r="P12" i="38"/>
  <c r="M12" i="38"/>
  <c r="X11" i="38"/>
  <c r="V11" i="38"/>
  <c r="U11" i="38"/>
  <c r="R11" i="38"/>
  <c r="Q11" i="38"/>
  <c r="P11" i="38"/>
  <c r="M11" i="38"/>
  <c r="AF12" i="38" s="1"/>
  <c r="X10" i="38"/>
  <c r="V10" i="38"/>
  <c r="U10" i="38"/>
  <c r="R10" i="38"/>
  <c r="Q10" i="38"/>
  <c r="P10" i="38"/>
  <c r="M10" i="38"/>
  <c r="AF11" i="38" s="1"/>
  <c r="X9" i="38"/>
  <c r="V9" i="38"/>
  <c r="U9" i="38"/>
  <c r="R9" i="38"/>
  <c r="Q9" i="38"/>
  <c r="P9" i="38"/>
  <c r="M9" i="38"/>
  <c r="X8" i="38"/>
  <c r="V8" i="38"/>
  <c r="U8" i="38"/>
  <c r="R8" i="38"/>
  <c r="Q8" i="38"/>
  <c r="P8" i="38"/>
  <c r="M8" i="38"/>
  <c r="AF9" i="38" s="1"/>
  <c r="Y7" i="38"/>
  <c r="X7" i="38"/>
  <c r="W7" i="38"/>
  <c r="R7" i="38"/>
  <c r="Q7" i="38"/>
  <c r="P7" i="38"/>
  <c r="O7" i="38"/>
  <c r="N7" i="38"/>
  <c r="M7" i="38"/>
  <c r="AF7" i="38" s="1"/>
  <c r="L7" i="38"/>
  <c r="AB2" i="38"/>
  <c r="Y14" i="38" s="1"/>
  <c r="B22" i="39" l="1"/>
  <c r="C22" i="39" s="1"/>
  <c r="D22" i="39" s="1"/>
  <c r="E22" i="39" s="1"/>
  <c r="F22" i="39" s="1"/>
  <c r="G22" i="39" s="1"/>
  <c r="A25" i="39"/>
  <c r="B25" i="39" s="1"/>
  <c r="C25" i="39" s="1"/>
  <c r="D25" i="39" s="1"/>
  <c r="E25" i="39" s="1"/>
  <c r="F25" i="39" s="1"/>
  <c r="AF10" i="38"/>
  <c r="A23" i="39"/>
  <c r="B23" i="39" s="1"/>
  <c r="C23" i="39" s="1"/>
  <c r="D23" i="39" s="1"/>
  <c r="E23" i="39" s="1"/>
  <c r="F23" i="39" s="1"/>
  <c r="G23" i="39" s="1"/>
  <c r="B26" i="39"/>
  <c r="C26" i="39" s="1"/>
  <c r="D26" i="39" s="1"/>
  <c r="E26" i="39" s="1"/>
  <c r="F26" i="39" s="1"/>
  <c r="AF8" i="38"/>
  <c r="L8" i="38"/>
  <c r="L9" i="38" s="1"/>
  <c r="L10" i="38" s="1"/>
  <c r="L11" i="38" s="1"/>
  <c r="W12" i="38"/>
  <c r="AB8" i="38"/>
  <c r="AB9" i="38" s="1"/>
  <c r="AB10" i="38" s="1"/>
  <c r="AB11" i="38" s="1"/>
  <c r="AB12" i="38" s="1"/>
  <c r="AB13" i="38" s="1"/>
  <c r="AB14" i="38" s="1"/>
  <c r="AB15" i="38" s="1"/>
  <c r="AB16" i="38" s="1"/>
  <c r="Z8" i="38"/>
  <c r="AA8" i="38" s="1"/>
  <c r="N8" i="38"/>
  <c r="N9" i="38"/>
  <c r="N10" i="38"/>
  <c r="N11" i="38"/>
  <c r="N12" i="38"/>
  <c r="N13" i="38"/>
  <c r="N14" i="38"/>
  <c r="O8" i="38"/>
  <c r="W8" i="38"/>
  <c r="O9" i="38"/>
  <c r="W9" i="38"/>
  <c r="O10" i="38"/>
  <c r="W10" i="38"/>
  <c r="O11" i="38"/>
  <c r="W11" i="38"/>
  <c r="O12" i="38"/>
  <c r="W14" i="38"/>
  <c r="O13" i="38"/>
  <c r="W13" i="38"/>
  <c r="O14" i="38"/>
  <c r="Y8" i="38"/>
  <c r="Y9" i="38"/>
  <c r="Y10" i="38"/>
  <c r="Y11" i="38"/>
  <c r="Y12" i="38"/>
  <c r="Y13" i="38"/>
  <c r="K11" i="35"/>
  <c r="L11" i="35"/>
  <c r="BE11" i="35" s="1"/>
  <c r="M11" i="35"/>
  <c r="N11" i="35"/>
  <c r="O11" i="35"/>
  <c r="AO11" i="35"/>
  <c r="AP11" i="35"/>
  <c r="AQ11" i="35"/>
  <c r="AR11" i="35" s="1"/>
  <c r="AS11" i="35"/>
  <c r="AT11" i="35"/>
  <c r="AU11" i="35"/>
  <c r="AW11" i="35"/>
  <c r="BA11" i="35"/>
  <c r="BB11" i="35"/>
  <c r="BL11" i="35" s="1"/>
  <c r="BC11" i="35"/>
  <c r="BI11" i="35"/>
  <c r="BJ11" i="35"/>
  <c r="BM11" i="35"/>
  <c r="BN11" i="35" s="1"/>
  <c r="BO11" i="35"/>
  <c r="BO10" i="35"/>
  <c r="BM10" i="35"/>
  <c r="BN10" i="35" s="1"/>
  <c r="BL10" i="35"/>
  <c r="BJ10" i="35"/>
  <c r="BI10" i="35"/>
  <c r="BK10" i="35" s="1"/>
  <c r="BC10" i="35"/>
  <c r="BB10" i="35"/>
  <c r="BA10" i="35"/>
  <c r="AU10" i="35"/>
  <c r="AO10" i="35"/>
  <c r="AP10" i="35" s="1"/>
  <c r="AA10" i="35"/>
  <c r="O10" i="35"/>
  <c r="L10" i="35"/>
  <c r="Q10" i="35" s="1"/>
  <c r="K10" i="35"/>
  <c r="AX10" i="35" s="1"/>
  <c r="AS10" i="35"/>
  <c r="AT10" i="35"/>
  <c r="AQ10" i="35"/>
  <c r="AR10" i="35" s="1"/>
  <c r="E5" i="35"/>
  <c r="AV11" i="35" s="1"/>
  <c r="E4" i="35"/>
  <c r="E3" i="35"/>
  <c r="E2" i="35"/>
  <c r="AW10" i="35" s="1"/>
  <c r="C2" i="35"/>
  <c r="H2" i="35" s="1"/>
  <c r="AZ10" i="35" s="1"/>
  <c r="B259" i="1"/>
  <c r="F241" i="1"/>
  <c r="C257" i="1"/>
  <c r="B246" i="1"/>
  <c r="D228" i="1"/>
  <c r="D226" i="1" s="1"/>
  <c r="D241" i="1"/>
  <c r="D24" i="1"/>
  <c r="B209" i="1"/>
  <c r="B208" i="1"/>
  <c r="B205" i="1"/>
  <c r="D22" i="34"/>
  <c r="E21" i="34"/>
  <c r="H38" i="34"/>
  <c r="H32" i="34"/>
  <c r="H37" i="34" s="1"/>
  <c r="E12" i="34"/>
  <c r="E11" i="34"/>
  <c r="E10" i="34"/>
  <c r="E8" i="34"/>
  <c r="E7" i="34"/>
  <c r="E6" i="34"/>
  <c r="E15" i="34" s="1"/>
  <c r="H48" i="34"/>
  <c r="H43" i="34"/>
  <c r="H42" i="34"/>
  <c r="H44" i="34" s="1"/>
  <c r="H33" i="34"/>
  <c r="I20" i="34"/>
  <c r="E72" i="34" s="1"/>
  <c r="D23" i="1"/>
  <c r="D22" i="1"/>
  <c r="M16" i="38" l="1"/>
  <c r="AZ11" i="35"/>
  <c r="BD10" i="35"/>
  <c r="BD11" i="35"/>
  <c r="BF11" i="35" s="1"/>
  <c r="AA11" i="35"/>
  <c r="P11" i="35"/>
  <c r="AV10" i="35"/>
  <c r="Z10" i="35"/>
  <c r="Z11" i="35"/>
  <c r="L12" i="38"/>
  <c r="L13" i="38" s="1"/>
  <c r="L14" i="38" s="1"/>
  <c r="Z9" i="38"/>
  <c r="AA9" i="38" s="1"/>
  <c r="BK11" i="35"/>
  <c r="R11" i="35"/>
  <c r="T11" i="35" s="1"/>
  <c r="V11" i="35" s="1"/>
  <c r="Q11" i="35"/>
  <c r="AX11" i="35"/>
  <c r="AY11" i="35" s="1"/>
  <c r="AC11" i="35"/>
  <c r="AB11" i="35"/>
  <c r="AY10" i="35"/>
  <c r="BE10" i="35"/>
  <c r="AC10" i="35"/>
  <c r="AB10" i="35"/>
  <c r="H4" i="35"/>
  <c r="P10" i="35"/>
  <c r="B250" i="1"/>
  <c r="D227" i="1"/>
  <c r="H47" i="34"/>
  <c r="H45" i="34" s="1"/>
  <c r="E71" i="34"/>
  <c r="D40" i="34"/>
  <c r="E40" i="34" s="1"/>
  <c r="H35" i="34"/>
  <c r="E73" i="34"/>
  <c r="J71" i="34" s="1"/>
  <c r="H34" i="34"/>
  <c r="D30" i="34"/>
  <c r="E30" i="34" s="1"/>
  <c r="D177" i="1"/>
  <c r="BF10" i="35" l="1"/>
  <c r="H40" i="34"/>
  <c r="H52" i="34" s="1"/>
  <c r="G54" i="34" s="1"/>
  <c r="S11" i="35"/>
  <c r="U11" i="35" s="1"/>
  <c r="Y11" i="35" s="1"/>
  <c r="AE11" i="35" s="1"/>
  <c r="AH11" i="35" s="1"/>
  <c r="Z10" i="38"/>
  <c r="Z11" i="38" s="1"/>
  <c r="X11" i="35"/>
  <c r="AD11" i="35" s="1"/>
  <c r="H30" i="34"/>
  <c r="H51" i="34" s="1"/>
  <c r="D54" i="34" s="1"/>
  <c r="K142" i="1"/>
  <c r="L142" i="1" s="1"/>
  <c r="J143" i="1" s="1"/>
  <c r="K143" i="1" s="1"/>
  <c r="E119" i="1"/>
  <c r="D119" i="1"/>
  <c r="D122" i="1"/>
  <c r="F120" i="1"/>
  <c r="G120" i="1" s="1"/>
  <c r="F127" i="1"/>
  <c r="D171" i="1"/>
  <c r="F171" i="1"/>
  <c r="F170" i="1" s="1"/>
  <c r="N177" i="1"/>
  <c r="N176" i="1"/>
  <c r="K23" i="1"/>
  <c r="K22" i="1"/>
  <c r="E144" i="1"/>
  <c r="J157" i="1"/>
  <c r="I157" i="1" s="1"/>
  <c r="H37" i="1"/>
  <c r="H36" i="1"/>
  <c r="H35" i="1"/>
  <c r="H33" i="1"/>
  <c r="H32" i="1"/>
  <c r="H31" i="1"/>
  <c r="H29" i="1"/>
  <c r="H28" i="1"/>
  <c r="H27" i="1"/>
  <c r="H24" i="1"/>
  <c r="H23" i="1"/>
  <c r="H22" i="1"/>
  <c r="J156" i="1"/>
  <c r="I156" i="1" s="1"/>
  <c r="J155" i="1"/>
  <c r="I155" i="1" s="1"/>
  <c r="H171" i="1"/>
  <c r="H170" i="1" s="1"/>
  <c r="G134" i="1"/>
  <c r="G133" i="1"/>
  <c r="G131" i="1"/>
  <c r="G130" i="1"/>
  <c r="W11" i="17"/>
  <c r="B29" i="7"/>
  <c r="D29" i="7" s="1"/>
  <c r="B30" i="7"/>
  <c r="B31" i="7"/>
  <c r="D31" i="7" s="1"/>
  <c r="B32" i="7"/>
  <c r="D32" i="7" s="1"/>
  <c r="B33" i="7"/>
  <c r="D33" i="7" s="1"/>
  <c r="B28" i="7"/>
  <c r="D28" i="7" s="1"/>
  <c r="D30" i="7"/>
  <c r="K37" i="5"/>
  <c r="P14" i="13"/>
  <c r="Q14" i="13" s="1"/>
  <c r="N14" i="13"/>
  <c r="P13" i="13"/>
  <c r="Q13" i="13" s="1"/>
  <c r="N13" i="13"/>
  <c r="B13" i="13"/>
  <c r="P12" i="13"/>
  <c r="Q12" i="13" s="1"/>
  <c r="N12" i="13"/>
  <c r="P11" i="13"/>
  <c r="Q11" i="13" s="1"/>
  <c r="N11" i="13"/>
  <c r="B11" i="13"/>
  <c r="F7" i="11"/>
  <c r="C9" i="12" s="1"/>
  <c r="E7" i="11"/>
  <c r="P4" i="8"/>
  <c r="I4" i="8"/>
  <c r="O4" i="8" s="1"/>
  <c r="H4" i="8"/>
  <c r="N4" i="8" s="1"/>
  <c r="F4" i="8"/>
  <c r="O12" i="8"/>
  <c r="P3" i="8"/>
  <c r="P5" i="8"/>
  <c r="P6" i="8"/>
  <c r="P7" i="8"/>
  <c r="P8" i="8"/>
  <c r="P9" i="8"/>
  <c r="P10" i="8"/>
  <c r="P11" i="8"/>
  <c r="P12" i="8"/>
  <c r="P13" i="8"/>
  <c r="P14" i="8"/>
  <c r="P15" i="8"/>
  <c r="P16" i="8"/>
  <c r="P17" i="8"/>
  <c r="P18" i="8"/>
  <c r="P19" i="8"/>
  <c r="P20" i="8"/>
  <c r="P21" i="8"/>
  <c r="P22" i="8"/>
  <c r="P23" i="8"/>
  <c r="P24" i="8"/>
  <c r="P25" i="8"/>
  <c r="P26" i="8"/>
  <c r="P27" i="8"/>
  <c r="P28" i="8"/>
  <c r="P29" i="8"/>
  <c r="P30" i="8"/>
  <c r="P31" i="8"/>
  <c r="P2" i="8"/>
  <c r="I2" i="8"/>
  <c r="O2" i="8" s="1"/>
  <c r="I3" i="8"/>
  <c r="O3" i="8" s="1"/>
  <c r="I5" i="8"/>
  <c r="O5" i="8" s="1"/>
  <c r="I6" i="8"/>
  <c r="I7" i="8"/>
  <c r="I8" i="8"/>
  <c r="O8" i="8" s="1"/>
  <c r="I9" i="8"/>
  <c r="I10" i="8"/>
  <c r="O10" i="8" s="1"/>
  <c r="I11" i="8"/>
  <c r="O11" i="8" s="1"/>
  <c r="I12" i="8"/>
  <c r="I13" i="8"/>
  <c r="I14" i="8"/>
  <c r="O14" i="8" s="1"/>
  <c r="I15" i="8"/>
  <c r="O15" i="8" s="1"/>
  <c r="I16" i="8"/>
  <c r="O16" i="8" s="1"/>
  <c r="I17" i="8"/>
  <c r="O17" i="8" s="1"/>
  <c r="I18" i="8"/>
  <c r="I19" i="8"/>
  <c r="I20" i="8"/>
  <c r="O20" i="8" s="1"/>
  <c r="I21" i="8"/>
  <c r="O21" i="8" s="1"/>
  <c r="I22" i="8"/>
  <c r="O22" i="8" s="1"/>
  <c r="I23" i="8"/>
  <c r="O23" i="8" s="1"/>
  <c r="I24" i="8"/>
  <c r="I25" i="8"/>
  <c r="I26" i="8"/>
  <c r="O26" i="8" s="1"/>
  <c r="I27" i="8"/>
  <c r="O27" i="8" s="1"/>
  <c r="I28" i="8"/>
  <c r="O28" i="8" s="1"/>
  <c r="I29" i="8"/>
  <c r="O29" i="8" s="1"/>
  <c r="I30" i="8"/>
  <c r="O30" i="8" s="1"/>
  <c r="I31" i="8"/>
  <c r="H3" i="8"/>
  <c r="N3" i="8" s="1"/>
  <c r="H5" i="8"/>
  <c r="N5" i="8" s="1"/>
  <c r="H6" i="8"/>
  <c r="N6" i="8" s="1"/>
  <c r="H7" i="8"/>
  <c r="N7" i="8" s="1"/>
  <c r="H8" i="8"/>
  <c r="N8" i="8" s="1"/>
  <c r="H9" i="8"/>
  <c r="N9" i="8" s="1"/>
  <c r="H10" i="8"/>
  <c r="N10" i="8" s="1"/>
  <c r="H11" i="8"/>
  <c r="N11" i="8" s="1"/>
  <c r="H12" i="8"/>
  <c r="N12" i="8" s="1"/>
  <c r="H13" i="8"/>
  <c r="N13" i="8" s="1"/>
  <c r="H14" i="8"/>
  <c r="N14" i="8" s="1"/>
  <c r="H15" i="8"/>
  <c r="N15" i="8" s="1"/>
  <c r="H16" i="8"/>
  <c r="N16" i="8" s="1"/>
  <c r="H17" i="8"/>
  <c r="N17" i="8" s="1"/>
  <c r="H18" i="8"/>
  <c r="N18" i="8" s="1"/>
  <c r="H19" i="8"/>
  <c r="N19" i="8" s="1"/>
  <c r="H20" i="8"/>
  <c r="N20" i="8" s="1"/>
  <c r="H21" i="8"/>
  <c r="N21" i="8" s="1"/>
  <c r="H22" i="8"/>
  <c r="N22" i="8" s="1"/>
  <c r="H23" i="8"/>
  <c r="N23" i="8" s="1"/>
  <c r="H24" i="8"/>
  <c r="N24" i="8" s="1"/>
  <c r="H25" i="8"/>
  <c r="N25" i="8" s="1"/>
  <c r="H26" i="8"/>
  <c r="N26" i="8" s="1"/>
  <c r="H27" i="8"/>
  <c r="N27" i="8" s="1"/>
  <c r="H28" i="8"/>
  <c r="N28" i="8" s="1"/>
  <c r="H29" i="8"/>
  <c r="N29" i="8" s="1"/>
  <c r="H30" i="8"/>
  <c r="N30" i="8" s="1"/>
  <c r="H31" i="8"/>
  <c r="N31" i="8" s="1"/>
  <c r="H2" i="8"/>
  <c r="N2" i="8" s="1"/>
  <c r="F3" i="8"/>
  <c r="F5" i="8"/>
  <c r="F6" i="8"/>
  <c r="F7" i="8"/>
  <c r="F8" i="8"/>
  <c r="F9" i="8"/>
  <c r="F10" i="8"/>
  <c r="F11" i="8"/>
  <c r="F12" i="8"/>
  <c r="F13" i="8"/>
  <c r="F14" i="8"/>
  <c r="F15" i="8"/>
  <c r="F16" i="8"/>
  <c r="F17" i="8"/>
  <c r="F18" i="8"/>
  <c r="F19" i="8"/>
  <c r="F20" i="8"/>
  <c r="F21" i="8"/>
  <c r="F22" i="8"/>
  <c r="F23" i="8"/>
  <c r="F24" i="8"/>
  <c r="F25" i="8"/>
  <c r="F26" i="8"/>
  <c r="F27" i="8"/>
  <c r="F28" i="8"/>
  <c r="F29" i="8"/>
  <c r="F30" i="8"/>
  <c r="F31" i="8"/>
  <c r="F2" i="8"/>
  <c r="F6" i="17"/>
  <c r="F7" i="5"/>
  <c r="F19" i="5"/>
  <c r="D15" i="5"/>
  <c r="F15" i="5" s="1"/>
  <c r="D17" i="5"/>
  <c r="F17" i="5" s="1"/>
  <c r="D18" i="5"/>
  <c r="F18" i="5" s="1"/>
  <c r="D14" i="5"/>
  <c r="F14" i="5" s="1"/>
  <c r="D4" i="5"/>
  <c r="F4" i="5" s="1"/>
  <c r="D6" i="5"/>
  <c r="F6" i="5" s="1"/>
  <c r="D3" i="5"/>
  <c r="F3" i="5" s="1"/>
  <c r="B5" i="5"/>
  <c r="D5" i="5" s="1"/>
  <c r="F5" i="5" s="1"/>
  <c r="M56" i="33"/>
  <c r="O56" i="33" s="1"/>
  <c r="P56" i="33" s="1"/>
  <c r="M58" i="33"/>
  <c r="O58" i="33" s="1"/>
  <c r="P58" i="33" s="1"/>
  <c r="M92" i="33"/>
  <c r="O92" i="33" s="1"/>
  <c r="P92" i="33" s="1"/>
  <c r="M80" i="33"/>
  <c r="O80" i="33" s="1"/>
  <c r="P80" i="33" s="1"/>
  <c r="M68" i="33"/>
  <c r="O68" i="33" s="1"/>
  <c r="P68" i="33" s="1"/>
  <c r="M34" i="33"/>
  <c r="O34" i="33" s="1"/>
  <c r="P34" i="33" s="1"/>
  <c r="M46" i="33"/>
  <c r="O46" i="33" s="1"/>
  <c r="P46" i="33" s="1"/>
  <c r="M48" i="33"/>
  <c r="O48" i="33" s="1"/>
  <c r="P48" i="33" s="1"/>
  <c r="M57" i="33"/>
  <c r="O57" i="33" s="1"/>
  <c r="P57" i="33" s="1"/>
  <c r="M47" i="33"/>
  <c r="O47" i="33" s="1"/>
  <c r="P47" i="33" s="1"/>
  <c r="M59" i="33"/>
  <c r="O59" i="33" s="1"/>
  <c r="P59" i="33" s="1"/>
  <c r="M5" i="33"/>
  <c r="O5" i="33" s="1"/>
  <c r="P5" i="33" s="1"/>
  <c r="M6" i="33"/>
  <c r="O6" i="33" s="1"/>
  <c r="P6" i="33" s="1"/>
  <c r="M7" i="33"/>
  <c r="O7" i="33" s="1"/>
  <c r="P7" i="33" s="1"/>
  <c r="M8" i="33"/>
  <c r="O8" i="33" s="1"/>
  <c r="P8" i="33" s="1"/>
  <c r="M9" i="33"/>
  <c r="O9" i="33" s="1"/>
  <c r="P9" i="33" s="1"/>
  <c r="M10" i="33"/>
  <c r="O10" i="33" s="1"/>
  <c r="P10" i="33" s="1"/>
  <c r="M11" i="33"/>
  <c r="O11" i="33" s="1"/>
  <c r="P11" i="33" s="1"/>
  <c r="M12" i="33"/>
  <c r="M13" i="33"/>
  <c r="O13" i="33" s="1"/>
  <c r="P13" i="33" s="1"/>
  <c r="M14" i="33"/>
  <c r="O14" i="33" s="1"/>
  <c r="P14" i="33" s="1"/>
  <c r="M15" i="33"/>
  <c r="O15" i="33" s="1"/>
  <c r="P15" i="33" s="1"/>
  <c r="M16" i="33"/>
  <c r="M17" i="33"/>
  <c r="O17" i="33" s="1"/>
  <c r="P17" i="33" s="1"/>
  <c r="M18" i="33"/>
  <c r="O18" i="33" s="1"/>
  <c r="P18" i="33" s="1"/>
  <c r="M19" i="33"/>
  <c r="O19" i="33" s="1"/>
  <c r="P19" i="33" s="1"/>
  <c r="M20" i="33"/>
  <c r="O20" i="33" s="1"/>
  <c r="P20" i="33" s="1"/>
  <c r="M21" i="33"/>
  <c r="O21" i="33" s="1"/>
  <c r="P21" i="33" s="1"/>
  <c r="M22" i="33"/>
  <c r="M23" i="33"/>
  <c r="O23" i="33" s="1"/>
  <c r="P23" i="33" s="1"/>
  <c r="M24" i="33"/>
  <c r="O24" i="33" s="1"/>
  <c r="P24" i="33" s="1"/>
  <c r="M25" i="33"/>
  <c r="O25" i="33" s="1"/>
  <c r="P25" i="33" s="1"/>
  <c r="M26" i="33"/>
  <c r="O26" i="33" s="1"/>
  <c r="P26" i="33" s="1"/>
  <c r="M27" i="33"/>
  <c r="O27" i="33" s="1"/>
  <c r="P27" i="33" s="1"/>
  <c r="M28" i="33"/>
  <c r="O28" i="33" s="1"/>
  <c r="P28" i="33" s="1"/>
  <c r="M29" i="33"/>
  <c r="O29" i="33" s="1"/>
  <c r="P29" i="33" s="1"/>
  <c r="M30" i="33"/>
  <c r="M31" i="33"/>
  <c r="O31" i="33" s="1"/>
  <c r="P31" i="33" s="1"/>
  <c r="M32" i="33"/>
  <c r="O32" i="33" s="1"/>
  <c r="P32" i="33" s="1"/>
  <c r="M33" i="33"/>
  <c r="O33" i="33" s="1"/>
  <c r="P33" i="33" s="1"/>
  <c r="M35" i="33"/>
  <c r="M36" i="33"/>
  <c r="O36" i="33" s="1"/>
  <c r="P36" i="33" s="1"/>
  <c r="M37" i="33"/>
  <c r="O37" i="33" s="1"/>
  <c r="P37" i="33" s="1"/>
  <c r="M38" i="33"/>
  <c r="O38" i="33" s="1"/>
  <c r="P38" i="33" s="1"/>
  <c r="M39" i="33"/>
  <c r="O39" i="33" s="1"/>
  <c r="P39" i="33" s="1"/>
  <c r="M40" i="33"/>
  <c r="O40" i="33" s="1"/>
  <c r="P40" i="33" s="1"/>
  <c r="M41" i="33"/>
  <c r="M42" i="33"/>
  <c r="O42" i="33" s="1"/>
  <c r="P42" i="33" s="1"/>
  <c r="M43" i="33"/>
  <c r="M44" i="33"/>
  <c r="O44" i="33" s="1"/>
  <c r="P44" i="33" s="1"/>
  <c r="M45" i="33"/>
  <c r="O45" i="33" s="1"/>
  <c r="P45" i="33" s="1"/>
  <c r="M49" i="33"/>
  <c r="O49" i="33" s="1"/>
  <c r="P49" i="33" s="1"/>
  <c r="M50" i="33"/>
  <c r="O50" i="33" s="1"/>
  <c r="P50" i="33" s="1"/>
  <c r="M51" i="33"/>
  <c r="O51" i="33" s="1"/>
  <c r="P51" i="33" s="1"/>
  <c r="M52" i="33"/>
  <c r="O52" i="33" s="1"/>
  <c r="P52" i="33" s="1"/>
  <c r="M53" i="33"/>
  <c r="O53" i="33" s="1"/>
  <c r="P53" i="33" s="1"/>
  <c r="M54" i="33"/>
  <c r="O54" i="33" s="1"/>
  <c r="P54" i="33" s="1"/>
  <c r="M55" i="33"/>
  <c r="O55" i="33" s="1"/>
  <c r="P55" i="33" s="1"/>
  <c r="M60" i="33"/>
  <c r="M61" i="33"/>
  <c r="O61" i="33" s="1"/>
  <c r="P61" i="33" s="1"/>
  <c r="M62" i="33"/>
  <c r="O62" i="33" s="1"/>
  <c r="P62" i="33" s="1"/>
  <c r="M63" i="33"/>
  <c r="O63" i="33" s="1"/>
  <c r="P63" i="33" s="1"/>
  <c r="M64" i="33"/>
  <c r="O64" i="33" s="1"/>
  <c r="P64" i="33" s="1"/>
  <c r="M65" i="33"/>
  <c r="O65" i="33" s="1"/>
  <c r="P65" i="33" s="1"/>
  <c r="M66" i="33"/>
  <c r="M67" i="33"/>
  <c r="O67" i="33" s="1"/>
  <c r="P67" i="33" s="1"/>
  <c r="M69" i="33"/>
  <c r="O69" i="33" s="1"/>
  <c r="P69" i="33" s="1"/>
  <c r="M70" i="33"/>
  <c r="O70" i="33" s="1"/>
  <c r="P70" i="33" s="1"/>
  <c r="M71" i="33"/>
  <c r="O71" i="33" s="1"/>
  <c r="P71" i="33" s="1"/>
  <c r="M72" i="33"/>
  <c r="O72" i="33" s="1"/>
  <c r="P72" i="33" s="1"/>
  <c r="M73" i="33"/>
  <c r="O73" i="33" s="1"/>
  <c r="P73" i="33" s="1"/>
  <c r="M74" i="33"/>
  <c r="O74" i="33" s="1"/>
  <c r="P74" i="33" s="1"/>
  <c r="M75" i="33"/>
  <c r="O75" i="33" s="1"/>
  <c r="P75" i="33" s="1"/>
  <c r="M76" i="33"/>
  <c r="O76" i="33" s="1"/>
  <c r="P76" i="33" s="1"/>
  <c r="M77" i="33"/>
  <c r="O77" i="33" s="1"/>
  <c r="P77" i="33" s="1"/>
  <c r="M78" i="33"/>
  <c r="O78" i="33" s="1"/>
  <c r="P78" i="33" s="1"/>
  <c r="M79" i="33"/>
  <c r="M81" i="33"/>
  <c r="O81" i="33" s="1"/>
  <c r="P81" i="33" s="1"/>
  <c r="M82" i="33"/>
  <c r="O82" i="33" s="1"/>
  <c r="P82" i="33" s="1"/>
  <c r="M83" i="33"/>
  <c r="O83" i="33" s="1"/>
  <c r="P83" i="33" s="1"/>
  <c r="M84" i="33"/>
  <c r="O84" i="33" s="1"/>
  <c r="P84" i="33" s="1"/>
  <c r="M85" i="33"/>
  <c r="O85" i="33" s="1"/>
  <c r="P85" i="33" s="1"/>
  <c r="M86" i="33"/>
  <c r="O86" i="33" s="1"/>
  <c r="P86" i="33" s="1"/>
  <c r="M87" i="33"/>
  <c r="O87" i="33" s="1"/>
  <c r="P87" i="33" s="1"/>
  <c r="M88" i="33"/>
  <c r="O88" i="33" s="1"/>
  <c r="P88" i="33" s="1"/>
  <c r="M89" i="33"/>
  <c r="O89" i="33" s="1"/>
  <c r="P89" i="33" s="1"/>
  <c r="M90" i="33"/>
  <c r="O90" i="33" s="1"/>
  <c r="P90" i="33" s="1"/>
  <c r="M91" i="33"/>
  <c r="O91" i="33" s="1"/>
  <c r="P91" i="33" s="1"/>
  <c r="M93" i="33"/>
  <c r="O93" i="33" s="1"/>
  <c r="P93" i="33" s="1"/>
  <c r="M94" i="33"/>
  <c r="O94" i="33" s="1"/>
  <c r="P94" i="33" s="1"/>
  <c r="M95" i="33"/>
  <c r="O95" i="33" s="1"/>
  <c r="P95" i="33" s="1"/>
  <c r="M96" i="33"/>
  <c r="O96" i="33" s="1"/>
  <c r="P96" i="33" s="1"/>
  <c r="M97" i="33"/>
  <c r="O97" i="33" s="1"/>
  <c r="P97" i="33" s="1"/>
  <c r="M98" i="33"/>
  <c r="O98" i="33" s="1"/>
  <c r="P98" i="33" s="1"/>
  <c r="M99" i="33"/>
  <c r="O99" i="33" s="1"/>
  <c r="P99" i="33" s="1"/>
  <c r="M4" i="33"/>
  <c r="O4" i="33" s="1"/>
  <c r="P4" i="33" s="1"/>
  <c r="O12" i="33"/>
  <c r="P12" i="33" s="1"/>
  <c r="O16" i="33"/>
  <c r="P16" i="33" s="1"/>
  <c r="O22" i="33"/>
  <c r="P22" i="33" s="1"/>
  <c r="O30" i="33"/>
  <c r="P30" i="33" s="1"/>
  <c r="O35" i="33"/>
  <c r="P35" i="33" s="1"/>
  <c r="O41" i="33"/>
  <c r="P41" i="33" s="1"/>
  <c r="O43" i="33"/>
  <c r="P43" i="33" s="1"/>
  <c r="O60" i="33"/>
  <c r="P60" i="33" s="1"/>
  <c r="O66" i="33"/>
  <c r="P66" i="33" s="1"/>
  <c r="O79" i="33"/>
  <c r="P79" i="33" s="1"/>
  <c r="Z11" i="17"/>
  <c r="Z14" i="17"/>
  <c r="AH29" i="17"/>
  <c r="Z12" i="17"/>
  <c r="Z13" i="17"/>
  <c r="Z15" i="17"/>
  <c r="Z18" i="17"/>
  <c r="Z19" i="17"/>
  <c r="Z20" i="17"/>
  <c r="Z21" i="17"/>
  <c r="AA21" i="17" s="1"/>
  <c r="AB21" i="17" s="1"/>
  <c r="Z22" i="17"/>
  <c r="Z23" i="17"/>
  <c r="Z24" i="17"/>
  <c r="Z25" i="17"/>
  <c r="AA25" i="17" s="1"/>
  <c r="AB25" i="17" s="1"/>
  <c r="Z26" i="17"/>
  <c r="AA26" i="17" s="1"/>
  <c r="AB26" i="17" s="1"/>
  <c r="Z27" i="17"/>
  <c r="AA27" i="17" s="1"/>
  <c r="AB27" i="17" s="1"/>
  <c r="Z28" i="17"/>
  <c r="AA28" i="17" s="1"/>
  <c r="AB28" i="17" s="1"/>
  <c r="Y16" i="17"/>
  <c r="Z16" i="17" s="1"/>
  <c r="Y17" i="17"/>
  <c r="Z17" i="17" s="1"/>
  <c r="X17" i="17"/>
  <c r="X16" i="17"/>
  <c r="X15" i="17"/>
  <c r="W24" i="17"/>
  <c r="W23" i="17"/>
  <c r="W22" i="17"/>
  <c r="W20" i="17"/>
  <c r="W19" i="17"/>
  <c r="AA19" i="17" s="1"/>
  <c r="AB19" i="17" s="1"/>
  <c r="W18" i="17"/>
  <c r="W17" i="17"/>
  <c r="W16" i="17"/>
  <c r="W15" i="17"/>
  <c r="W14" i="17"/>
  <c r="W13" i="17"/>
  <c r="W12" i="17"/>
  <c r="F21" i="32"/>
  <c r="D24" i="32"/>
  <c r="E24" i="32" s="1"/>
  <c r="G24" i="32" s="1"/>
  <c r="H24" i="32" s="1"/>
  <c r="F22" i="32"/>
  <c r="F23" i="32"/>
  <c r="D23" i="32"/>
  <c r="E23" i="32" s="1"/>
  <c r="G23" i="32" s="1"/>
  <c r="H23" i="32" s="1"/>
  <c r="D22" i="32"/>
  <c r="E22" i="32" s="1"/>
  <c r="G22" i="32" s="1"/>
  <c r="H22" i="32" s="1"/>
  <c r="D21" i="32"/>
  <c r="E21" i="32" s="1"/>
  <c r="G21" i="32" s="1"/>
  <c r="H21" i="32" s="1"/>
  <c r="J18" i="32"/>
  <c r="J21" i="32" s="1"/>
  <c r="N43" i="37" l="1"/>
  <c r="W11" i="35"/>
  <c r="Z12" i="38"/>
  <c r="M31" i="8"/>
  <c r="M25" i="8"/>
  <c r="M19" i="8"/>
  <c r="M13" i="8"/>
  <c r="M7" i="8"/>
  <c r="AA12" i="17"/>
  <c r="AB12" i="17" s="1"/>
  <c r="AA22" i="17"/>
  <c r="AB22" i="17" s="1"/>
  <c r="AA17" i="17"/>
  <c r="AB17" i="17" s="1"/>
  <c r="AA24" i="17"/>
  <c r="AB24" i="17" s="1"/>
  <c r="G7" i="11"/>
  <c r="H7" i="11" s="1"/>
  <c r="K24" i="1"/>
  <c r="AA18" i="17"/>
  <c r="AB18" i="17" s="1"/>
  <c r="AA14" i="17"/>
  <c r="AB14" i="17" s="1"/>
  <c r="O7" i="8"/>
  <c r="AA23" i="17"/>
  <c r="AB23" i="17" s="1"/>
  <c r="M9" i="8"/>
  <c r="AA10" i="38"/>
  <c r="O25" i="8"/>
  <c r="AA11" i="38"/>
  <c r="AJ11" i="35"/>
  <c r="BG11" i="35" s="1"/>
  <c r="AF11" i="35"/>
  <c r="G57" i="34"/>
  <c r="F56" i="34"/>
  <c r="C57" i="34"/>
  <c r="G61" i="34"/>
  <c r="B57" i="34"/>
  <c r="F61" i="34"/>
  <c r="E54" i="34"/>
  <c r="F57" i="34"/>
  <c r="C56" i="34"/>
  <c r="K56" i="34" s="1"/>
  <c r="B56" i="34"/>
  <c r="K54" i="34"/>
  <c r="G56" i="34"/>
  <c r="D58" i="34" s="1"/>
  <c r="O19" i="8"/>
  <c r="M30" i="8"/>
  <c r="M24" i="8"/>
  <c r="M18" i="8"/>
  <c r="M12" i="8"/>
  <c r="M6" i="8"/>
  <c r="O18" i="8"/>
  <c r="O31" i="8"/>
  <c r="O13" i="8"/>
  <c r="M21" i="8"/>
  <c r="O24" i="8"/>
  <c r="O6" i="8"/>
  <c r="B9" i="12"/>
  <c r="D9" i="12" s="1"/>
  <c r="D170" i="1"/>
  <c r="M11" i="8"/>
  <c r="M10" i="8"/>
  <c r="M29" i="8"/>
  <c r="M17" i="8"/>
  <c r="M28" i="8"/>
  <c r="M22" i="8"/>
  <c r="M16" i="8"/>
  <c r="M3" i="8"/>
  <c r="M27" i="8"/>
  <c r="M15" i="8"/>
  <c r="M4" i="8"/>
  <c r="Q2" i="8" s="1"/>
  <c r="M2" i="8"/>
  <c r="M20" i="8"/>
  <c r="M8" i="8"/>
  <c r="O9" i="8"/>
  <c r="M23" i="8"/>
  <c r="M5" i="8"/>
  <c r="M26" i="8"/>
  <c r="M14" i="8"/>
  <c r="AA11" i="17"/>
  <c r="AB11" i="17" s="1"/>
  <c r="AA20" i="17"/>
  <c r="AB20" i="17" s="1"/>
  <c r="AA16" i="17"/>
  <c r="AB16" i="17" s="1"/>
  <c r="AA15" i="17"/>
  <c r="AB15" i="17" s="1"/>
  <c r="AA13" i="17"/>
  <c r="AB13" i="17" s="1"/>
  <c r="K18" i="32"/>
  <c r="K21" i="32" s="1"/>
  <c r="L21" i="32" s="1"/>
  <c r="F13" i="32"/>
  <c r="D14" i="32"/>
  <c r="F14" i="32" s="1"/>
  <c r="D13" i="32"/>
  <c r="A10" i="32"/>
  <c r="A11" i="32" s="1"/>
  <c r="E2" i="32"/>
  <c r="F4" i="32"/>
  <c r="H4" i="32" s="1"/>
  <c r="F5" i="32"/>
  <c r="H5" i="32" s="1"/>
  <c r="F6" i="32"/>
  <c r="H6" i="32" s="1"/>
  <c r="F3" i="32"/>
  <c r="H3" i="32" s="1"/>
  <c r="O43" i="37" l="1"/>
  <c r="Z13" i="38"/>
  <c r="AA12" i="38"/>
  <c r="G58" i="34"/>
  <c r="K58" i="34" s="1"/>
  <c r="G59" i="34" s="1"/>
  <c r="G60" i="34" s="1"/>
  <c r="G62" i="34" s="1"/>
  <c r="K57" i="34"/>
  <c r="G65" i="34"/>
  <c r="D65" i="34"/>
  <c r="AB29" i="17"/>
  <c r="AH30" i="17" s="1"/>
  <c r="G25" i="32"/>
  <c r="H25" i="32" s="1"/>
  <c r="H7" i="32"/>
  <c r="F15" i="32"/>
  <c r="B168" i="1"/>
  <c r="C119" i="1"/>
  <c r="E118" i="1"/>
  <c r="I131" i="1"/>
  <c r="I132" i="1"/>
  <c r="I133" i="1"/>
  <c r="I134" i="1"/>
  <c r="I130" i="1"/>
  <c r="AB4" i="38" l="1"/>
  <c r="AD8" i="38" s="1"/>
  <c r="AD9" i="38" s="1"/>
  <c r="AD10" i="38" s="1"/>
  <c r="Z14" i="38"/>
  <c r="AA13" i="38"/>
  <c r="E58" i="34"/>
  <c r="D64" i="34"/>
  <c r="L77" i="34"/>
  <c r="H77" i="34" s="1"/>
  <c r="H81" i="34"/>
  <c r="E65" i="34"/>
  <c r="G63" i="34"/>
  <c r="H103" i="30"/>
  <c r="H85" i="30"/>
  <c r="H67" i="30"/>
  <c r="H49" i="30"/>
  <c r="B76" i="1"/>
  <c r="E23" i="27"/>
  <c r="E16" i="27"/>
  <c r="E9" i="27"/>
  <c r="AC9" i="38" l="1"/>
  <c r="AD11" i="38"/>
  <c r="AC10" i="38"/>
  <c r="Z15" i="38"/>
  <c r="AA14" i="38"/>
  <c r="J82" i="34"/>
  <c r="J78" i="34"/>
  <c r="E69" i="34"/>
  <c r="E64" i="34"/>
  <c r="E67" i="34"/>
  <c r="J69" i="34"/>
  <c r="C41" i="1"/>
  <c r="D11" i="30" s="1"/>
  <c r="C40" i="1"/>
  <c r="D12" i="30" s="1"/>
  <c r="D59" i="31"/>
  <c r="D41" i="31"/>
  <c r="F10" i="31"/>
  <c r="D104" i="30"/>
  <c r="D86" i="30"/>
  <c r="D68" i="30"/>
  <c r="D50" i="30"/>
  <c r="F10" i="30"/>
  <c r="A61" i="28"/>
  <c r="A62" i="28" s="1"/>
  <c r="A63" i="28" s="1"/>
  <c r="A64" i="28" s="1"/>
  <c r="A65" i="28" s="1"/>
  <c r="A66" i="28" s="1"/>
  <c r="A67" i="28" s="1"/>
  <c r="A68" i="28" s="1"/>
  <c r="A69" i="28" s="1"/>
  <c r="A70" i="28" s="1"/>
  <c r="A71" i="28" s="1"/>
  <c r="A72" i="28" s="1"/>
  <c r="A73" i="28" s="1"/>
  <c r="F19" i="11"/>
  <c r="F18" i="11"/>
  <c r="E19" i="11"/>
  <c r="E18" i="11"/>
  <c r="F6" i="11"/>
  <c r="F8" i="11"/>
  <c r="F9" i="11"/>
  <c r="F10" i="11"/>
  <c r="F11" i="11"/>
  <c r="F12" i="11"/>
  <c r="F13" i="11"/>
  <c r="F14" i="11"/>
  <c r="F15" i="11"/>
  <c r="F16" i="11"/>
  <c r="F17" i="11"/>
  <c r="F5" i="11"/>
  <c r="C7" i="12" s="1"/>
  <c r="E6" i="11"/>
  <c r="E8" i="11"/>
  <c r="E9" i="11"/>
  <c r="E10" i="11"/>
  <c r="E11" i="11"/>
  <c r="E12" i="11"/>
  <c r="E13" i="11"/>
  <c r="E14" i="11"/>
  <c r="E15" i="11"/>
  <c r="E16" i="11"/>
  <c r="E17" i="11"/>
  <c r="E5" i="11"/>
  <c r="B7" i="12" s="1"/>
  <c r="E61" i="31" l="1"/>
  <c r="H61" i="31" s="1"/>
  <c r="AD12" i="38"/>
  <c r="AC11" i="38"/>
  <c r="Z16" i="38"/>
  <c r="AA16" i="38" s="1"/>
  <c r="AA15" i="38"/>
  <c r="J74" i="34"/>
  <c r="E85" i="34" s="1"/>
  <c r="F85" i="34" s="1"/>
  <c r="H11" i="30"/>
  <c r="C19" i="30"/>
  <c r="B24" i="30" s="1"/>
  <c r="B25" i="30" s="1"/>
  <c r="H12" i="30"/>
  <c r="F16" i="30"/>
  <c r="E106" i="30"/>
  <c r="H106" i="30" s="1"/>
  <c r="H18" i="13"/>
  <c r="H13" i="13"/>
  <c r="H12" i="13"/>
  <c r="H11" i="13"/>
  <c r="H14" i="13"/>
  <c r="E52" i="30"/>
  <c r="H52" i="30" s="1"/>
  <c r="E70" i="30"/>
  <c r="H70" i="30" s="1"/>
  <c r="H43" i="31"/>
  <c r="D7" i="12"/>
  <c r="E88" i="30"/>
  <c r="H88" i="30" s="1"/>
  <c r="E43" i="31"/>
  <c r="H23" i="13"/>
  <c r="H17" i="13"/>
  <c r="H22" i="13"/>
  <c r="H16" i="13"/>
  <c r="H21" i="13"/>
  <c r="H20" i="13"/>
  <c r="H15" i="13"/>
  <c r="H19" i="13"/>
  <c r="H24" i="13"/>
  <c r="K31" i="5"/>
  <c r="K30" i="5"/>
  <c r="M31" i="5"/>
  <c r="M30" i="5"/>
  <c r="G30" i="27"/>
  <c r="G31" i="27"/>
  <c r="G29" i="27"/>
  <c r="G23" i="27"/>
  <c r="E22" i="27"/>
  <c r="G22" i="27" s="1"/>
  <c r="G16" i="27"/>
  <c r="E15" i="27"/>
  <c r="G9" i="27"/>
  <c r="E8" i="27"/>
  <c r="E6" i="27"/>
  <c r="G6" i="27" s="1"/>
  <c r="E5" i="27"/>
  <c r="G5" i="27" s="1"/>
  <c r="E4" i="27"/>
  <c r="G4" i="27" s="1"/>
  <c r="O30" i="5" l="1"/>
  <c r="Q30" i="5" s="1"/>
  <c r="AD13" i="38"/>
  <c r="AC12" i="38"/>
  <c r="F72" i="30"/>
  <c r="F108" i="30"/>
  <c r="F54" i="30"/>
  <c r="F90" i="30"/>
  <c r="O31" i="5"/>
  <c r="Q31" i="5" s="1"/>
  <c r="E27" i="27"/>
  <c r="E20" i="27"/>
  <c r="E13" i="27"/>
  <c r="G8" i="27"/>
  <c r="G15" i="27"/>
  <c r="AC13" i="38" l="1"/>
  <c r="AD14" i="38"/>
  <c r="H15" i="17"/>
  <c r="H21" i="17"/>
  <c r="H27" i="17"/>
  <c r="H33" i="17"/>
  <c r="H39" i="17"/>
  <c r="H45" i="17"/>
  <c r="H16" i="17"/>
  <c r="H22" i="17"/>
  <c r="H28" i="17"/>
  <c r="H34" i="17"/>
  <c r="H40" i="17"/>
  <c r="H46" i="17"/>
  <c r="H17" i="17"/>
  <c r="H23" i="17"/>
  <c r="H29" i="17"/>
  <c r="H35" i="17"/>
  <c r="H41" i="17"/>
  <c r="H11" i="17"/>
  <c r="H12" i="17"/>
  <c r="H18" i="17"/>
  <c r="H24" i="17"/>
  <c r="H30" i="17"/>
  <c r="H36" i="17"/>
  <c r="H42" i="17"/>
  <c r="H20" i="17"/>
  <c r="H38" i="17"/>
  <c r="G75" i="1"/>
  <c r="H13" i="17"/>
  <c r="H19" i="17"/>
  <c r="H25" i="17"/>
  <c r="H31" i="17"/>
  <c r="H37" i="17"/>
  <c r="H43" i="17"/>
  <c r="G74" i="1"/>
  <c r="H14" i="17"/>
  <c r="H26" i="17"/>
  <c r="H32" i="17"/>
  <c r="H44" i="17"/>
  <c r="E24" i="30"/>
  <c r="F24" i="30"/>
  <c r="C24" i="30"/>
  <c r="D24" i="30"/>
  <c r="H259" i="1"/>
  <c r="J254" i="1"/>
  <c r="I254" i="1"/>
  <c r="H254" i="1"/>
  <c r="D232" i="1"/>
  <c r="D254" i="1"/>
  <c r="D255" i="1"/>
  <c r="D233" i="1"/>
  <c r="D234" i="1"/>
  <c r="D235" i="1"/>
  <c r="D236" i="1"/>
  <c r="D237" i="1"/>
  <c r="D238" i="1"/>
  <c r="D239" i="1"/>
  <c r="D240" i="1"/>
  <c r="C246" i="1"/>
  <c r="B245" i="1"/>
  <c r="E228" i="1"/>
  <c r="D229" i="1"/>
  <c r="C247" i="1" s="1"/>
  <c r="D247" i="1" l="1"/>
  <c r="B243" i="1"/>
  <c r="AC14" i="38"/>
  <c r="AD15" i="38"/>
  <c r="E227" i="1"/>
  <c r="E226" i="1"/>
  <c r="B247" i="1"/>
  <c r="B248" i="1" s="1"/>
  <c r="B230" i="1"/>
  <c r="U31" i="7"/>
  <c r="R39" i="7"/>
  <c r="R40" i="7"/>
  <c r="R41" i="7"/>
  <c r="R38" i="7"/>
  <c r="R30" i="7"/>
  <c r="R29" i="7"/>
  <c r="U30" i="7" s="1"/>
  <c r="R28" i="7"/>
  <c r="U29" i="7" s="1"/>
  <c r="R27" i="7"/>
  <c r="U28" i="7" s="1"/>
  <c r="N16" i="7"/>
  <c r="N17" i="7"/>
  <c r="N18" i="7"/>
  <c r="N19" i="7"/>
  <c r="N20" i="7"/>
  <c r="N21" i="7"/>
  <c r="N15" i="7"/>
  <c r="B213" i="1"/>
  <c r="B214" i="1" s="1"/>
  <c r="C211" i="1"/>
  <c r="B211" i="1"/>
  <c r="E215" i="1"/>
  <c r="D215" i="1"/>
  <c r="D208" i="1"/>
  <c r="B224" i="1"/>
  <c r="B201" i="1"/>
  <c r="E192" i="1"/>
  <c r="D192" i="1"/>
  <c r="C188" i="1"/>
  <c r="B188" i="1"/>
  <c r="B212" i="1" l="1"/>
  <c r="D243" i="1"/>
  <c r="G243" i="1" s="1"/>
  <c r="D250" i="1"/>
  <c r="D230" i="1"/>
  <c r="B244" i="1" s="1"/>
  <c r="F230" i="1"/>
  <c r="B216" i="1"/>
  <c r="AC15" i="38"/>
  <c r="AD16" i="38"/>
  <c r="AC16" i="38" s="1"/>
  <c r="B249" i="1"/>
  <c r="F253" i="1" s="1"/>
  <c r="C248" i="1"/>
  <c r="B262" i="1" s="1"/>
  <c r="B251" i="1"/>
  <c r="B252" i="1" s="1"/>
  <c r="H253" i="1" s="1"/>
  <c r="B261" i="1"/>
  <c r="B260" i="1"/>
  <c r="B258" i="1"/>
  <c r="B193" i="1"/>
  <c r="S28" i="7"/>
  <c r="T28" i="7" s="1"/>
  <c r="R32" i="7"/>
  <c r="B185" i="1"/>
  <c r="B182" i="1"/>
  <c r="V28" i="7" l="1"/>
  <c r="W28" i="7"/>
  <c r="S29" i="7"/>
  <c r="T29" i="7" s="1"/>
  <c r="I253" i="1"/>
  <c r="B186" i="1"/>
  <c r="D185" i="1"/>
  <c r="B189" i="1" s="1"/>
  <c r="B16" i="5"/>
  <c r="D16" i="5" s="1"/>
  <c r="F16" i="5" s="1"/>
  <c r="V29" i="7" l="1"/>
  <c r="W29" i="7"/>
  <c r="S30" i="7"/>
  <c r="T30" i="7" s="1"/>
  <c r="B190" i="1"/>
  <c r="B191" i="1" s="1"/>
  <c r="B49" i="1"/>
  <c r="W30" i="7" l="1"/>
  <c r="V30" i="7"/>
  <c r="S31" i="7"/>
  <c r="T31" i="7" s="1"/>
  <c r="B56" i="1"/>
  <c r="B57" i="1"/>
  <c r="B48" i="1"/>
  <c r="B52" i="1" s="1"/>
  <c r="B59" i="1"/>
  <c r="B60" i="1"/>
  <c r="B51" i="1"/>
  <c r="D9" i="24"/>
  <c r="D11" i="24"/>
  <c r="D12" i="24"/>
  <c r="C7" i="24"/>
  <c r="D7" i="24" s="1"/>
  <c r="C8" i="24"/>
  <c r="D8" i="24" s="1"/>
  <c r="C9" i="24"/>
  <c r="C10" i="24"/>
  <c r="D10" i="24" s="1"/>
  <c r="C11" i="24"/>
  <c r="C12" i="24"/>
  <c r="C6" i="24"/>
  <c r="C7" i="21"/>
  <c r="D7" i="21" s="1"/>
  <c r="C8" i="21"/>
  <c r="C9" i="21"/>
  <c r="C6" i="21"/>
  <c r="D6" i="21" s="1"/>
  <c r="H15" i="22"/>
  <c r="I15" i="22" s="1"/>
  <c r="H16" i="22"/>
  <c r="I16" i="22" s="1"/>
  <c r="H17" i="22"/>
  <c r="I17" i="22"/>
  <c r="H18" i="22"/>
  <c r="I18" i="22" s="1"/>
  <c r="H8" i="22"/>
  <c r="I8" i="22" s="1"/>
  <c r="H10" i="22"/>
  <c r="I10" i="22" s="1"/>
  <c r="H19" i="22"/>
  <c r="I19" i="22" s="1"/>
  <c r="H20" i="22"/>
  <c r="I20" i="22" s="1"/>
  <c r="H21" i="22"/>
  <c r="I21" i="22" s="1"/>
  <c r="H22" i="22"/>
  <c r="I22" i="22" s="1"/>
  <c r="H23" i="22"/>
  <c r="I23" i="22" s="1"/>
  <c r="H24" i="22"/>
  <c r="I24" i="22" s="1"/>
  <c r="H25" i="22"/>
  <c r="I25" i="22"/>
  <c r="H26" i="22"/>
  <c r="I26" i="22" s="1"/>
  <c r="H27" i="22"/>
  <c r="I27" i="22" s="1"/>
  <c r="H28" i="22"/>
  <c r="I28" i="22"/>
  <c r="D6" i="24"/>
  <c r="H11" i="19"/>
  <c r="I11" i="19"/>
  <c r="H12" i="19"/>
  <c r="I12" i="19"/>
  <c r="H13" i="19"/>
  <c r="I13" i="19" s="1"/>
  <c r="H14" i="19"/>
  <c r="I14" i="19" s="1"/>
  <c r="H15" i="19"/>
  <c r="I15" i="19"/>
  <c r="H16" i="19"/>
  <c r="I16" i="19" s="1"/>
  <c r="H17" i="19"/>
  <c r="I17" i="19" s="1"/>
  <c r="H18" i="19"/>
  <c r="I18" i="19" s="1"/>
  <c r="H18" i="21"/>
  <c r="E18" i="21"/>
  <c r="H10" i="19"/>
  <c r="I10" i="19" s="1"/>
  <c r="H9" i="23"/>
  <c r="I9" i="23" s="1"/>
  <c r="H8" i="23"/>
  <c r="I8" i="23" s="1"/>
  <c r="H7" i="23"/>
  <c r="I7" i="23" s="1"/>
  <c r="H6" i="23"/>
  <c r="I6" i="23" s="1"/>
  <c r="H14" i="22"/>
  <c r="I14" i="22" s="1"/>
  <c r="H13" i="22"/>
  <c r="I13" i="22" s="1"/>
  <c r="I12" i="22"/>
  <c r="H12" i="22"/>
  <c r="H11" i="22"/>
  <c r="I11" i="22" s="1"/>
  <c r="H9" i="22"/>
  <c r="I9" i="22" s="1"/>
  <c r="H7" i="22"/>
  <c r="I7" i="22" s="1"/>
  <c r="H6" i="22"/>
  <c r="I6" i="22" s="1"/>
  <c r="D9" i="21"/>
  <c r="K10" i="21"/>
  <c r="K11" i="21"/>
  <c r="I10" i="21"/>
  <c r="I11" i="21"/>
  <c r="D8" i="21"/>
  <c r="D10" i="21"/>
  <c r="D11" i="21"/>
  <c r="H7" i="20"/>
  <c r="I7" i="20" s="1"/>
  <c r="H8" i="20"/>
  <c r="I8" i="20" s="1"/>
  <c r="H9" i="20"/>
  <c r="I9" i="20" s="1"/>
  <c r="H6" i="20"/>
  <c r="I6" i="20" s="1"/>
  <c r="H9" i="19"/>
  <c r="H8" i="19"/>
  <c r="H7" i="19"/>
  <c r="I7" i="19" s="1"/>
  <c r="H6" i="19"/>
  <c r="I6" i="19" s="1"/>
  <c r="I8" i="19"/>
  <c r="I9" i="19"/>
  <c r="D31" i="1"/>
  <c r="D27" i="1"/>
  <c r="C175" i="1"/>
  <c r="D28" i="1"/>
  <c r="J173" i="1"/>
  <c r="S10" i="14"/>
  <c r="S11" i="14"/>
  <c r="S12" i="14"/>
  <c r="S13" i="14"/>
  <c r="M177" i="1" s="1"/>
  <c r="S14" i="14"/>
  <c r="I173" i="1" s="1"/>
  <c r="S15" i="14"/>
  <c r="M176" i="1" s="1"/>
  <c r="S16" i="14"/>
  <c r="S17" i="14"/>
  <c r="S9" i="14"/>
  <c r="D175" i="1" s="1"/>
  <c r="J171" i="1"/>
  <c r="J162" i="1"/>
  <c r="D253" i="1" l="1"/>
  <c r="W31" i="7"/>
  <c r="V31" i="7"/>
  <c r="J11" i="21"/>
  <c r="B178" i="1"/>
  <c r="J170" i="1"/>
  <c r="B219" i="1"/>
  <c r="B196" i="1"/>
  <c r="B253" i="1"/>
  <c r="G253" i="1"/>
  <c r="J253" i="1"/>
  <c r="J10" i="21"/>
  <c r="F168" i="1"/>
  <c r="F129" i="1"/>
  <c r="C128" i="1"/>
  <c r="K149" i="1" s="1"/>
  <c r="D152" i="1"/>
  <c r="B149" i="1"/>
  <c r="J147" i="1"/>
  <c r="I147" i="1" s="1"/>
  <c r="J146" i="1"/>
  <c r="I146" i="1" s="1"/>
  <c r="D121" i="1"/>
  <c r="H121" i="1" s="1"/>
  <c r="G46" i="1"/>
  <c r="B122" i="1"/>
  <c r="H118" i="1" l="1"/>
  <c r="G118" i="1"/>
  <c r="O176" i="1"/>
  <c r="O177" i="1"/>
  <c r="K173" i="1"/>
  <c r="K146" i="1"/>
  <c r="K156" i="1"/>
  <c r="I121" i="1"/>
  <c r="K157" i="1"/>
  <c r="K155" i="1"/>
  <c r="K147" i="1"/>
  <c r="C127" i="1"/>
  <c r="B127" i="1"/>
  <c r="H134" i="1"/>
  <c r="H133" i="1" l="1"/>
  <c r="H131" i="1"/>
  <c r="H130" i="1"/>
  <c r="C134" i="1"/>
  <c r="C133" i="1"/>
  <c r="C129" i="1"/>
  <c r="B129" i="1"/>
  <c r="B117" i="1"/>
  <c r="G18" i="11"/>
  <c r="H18" i="11" s="1"/>
  <c r="C19" i="12"/>
  <c r="B19" i="12"/>
  <c r="C17" i="12"/>
  <c r="N24" i="13"/>
  <c r="N23" i="13"/>
  <c r="N22" i="13"/>
  <c r="N21" i="13"/>
  <c r="B120" i="1" l="1"/>
  <c r="D120" i="1" s="1"/>
  <c r="B159" i="1"/>
  <c r="B138" i="1"/>
  <c r="B139" i="1" s="1"/>
  <c r="D138" i="1"/>
  <c r="D139" i="1" s="1"/>
  <c r="D140" i="1" s="1"/>
  <c r="F130" i="1"/>
  <c r="D19" i="12"/>
  <c r="G19" i="11"/>
  <c r="H19" i="11" s="1"/>
  <c r="B17" i="12"/>
  <c r="D17" i="12" s="1"/>
  <c r="D114" i="1"/>
  <c r="B113" i="1"/>
  <c r="D108" i="1"/>
  <c r="B107" i="1"/>
  <c r="D100" i="1"/>
  <c r="P22" i="17"/>
  <c r="Q22" i="17" s="1"/>
  <c r="N22" i="17"/>
  <c r="B22" i="17"/>
  <c r="P21" i="17"/>
  <c r="Q21" i="17" s="1"/>
  <c r="N21" i="17"/>
  <c r="B21" i="17"/>
  <c r="P20" i="17"/>
  <c r="Q20" i="17" s="1"/>
  <c r="N20" i="17"/>
  <c r="B20" i="17"/>
  <c r="P19" i="17"/>
  <c r="Q19" i="17" s="1"/>
  <c r="N19" i="17"/>
  <c r="P18" i="17"/>
  <c r="Q18" i="17" s="1"/>
  <c r="N18" i="17"/>
  <c r="B18" i="17"/>
  <c r="P17" i="17"/>
  <c r="Q17" i="17" s="1"/>
  <c r="N17" i="17"/>
  <c r="B17" i="17"/>
  <c r="P16" i="17"/>
  <c r="Q16" i="17" s="1"/>
  <c r="N16" i="17"/>
  <c r="B16" i="17"/>
  <c r="P15" i="17"/>
  <c r="Q15" i="17" s="1"/>
  <c r="N15" i="17"/>
  <c r="P14" i="17"/>
  <c r="Q14" i="17" s="1"/>
  <c r="N14" i="17"/>
  <c r="B14" i="17"/>
  <c r="P13" i="17"/>
  <c r="Q13" i="17" s="1"/>
  <c r="N13" i="17"/>
  <c r="B13" i="17"/>
  <c r="P12" i="17"/>
  <c r="Q12" i="17" s="1"/>
  <c r="N12" i="17"/>
  <c r="B12" i="17"/>
  <c r="P11" i="17"/>
  <c r="Q11" i="17" s="1"/>
  <c r="N11" i="17"/>
  <c r="P46" i="17"/>
  <c r="Q46" i="17" s="1"/>
  <c r="N46" i="17"/>
  <c r="B46" i="17"/>
  <c r="P45" i="17"/>
  <c r="Q45" i="17" s="1"/>
  <c r="N45" i="17"/>
  <c r="B45" i="17"/>
  <c r="P44" i="17"/>
  <c r="Q44" i="17" s="1"/>
  <c r="N44" i="17"/>
  <c r="B44" i="17"/>
  <c r="P43" i="17"/>
  <c r="Q43" i="17" s="1"/>
  <c r="N43" i="17"/>
  <c r="P42" i="17"/>
  <c r="Q42" i="17" s="1"/>
  <c r="N42" i="17"/>
  <c r="B42" i="17"/>
  <c r="P41" i="17"/>
  <c r="Q41" i="17" s="1"/>
  <c r="N41" i="17"/>
  <c r="B41" i="17"/>
  <c r="P40" i="17"/>
  <c r="Q40" i="17" s="1"/>
  <c r="N40" i="17"/>
  <c r="B40" i="17"/>
  <c r="P39" i="17"/>
  <c r="Q39" i="17" s="1"/>
  <c r="N39" i="17"/>
  <c r="P38" i="17"/>
  <c r="Q38" i="17" s="1"/>
  <c r="N38" i="17"/>
  <c r="B38" i="17"/>
  <c r="P37" i="17"/>
  <c r="Q37" i="17" s="1"/>
  <c r="N37" i="17"/>
  <c r="B37" i="17"/>
  <c r="P36" i="17"/>
  <c r="Q36" i="17" s="1"/>
  <c r="N36" i="17"/>
  <c r="B36" i="17"/>
  <c r="P35" i="17"/>
  <c r="Q35" i="17" s="1"/>
  <c r="N35" i="17"/>
  <c r="P34" i="17"/>
  <c r="Q34" i="17" s="1"/>
  <c r="N34" i="17"/>
  <c r="B34" i="17"/>
  <c r="P33" i="17"/>
  <c r="Q33" i="17" s="1"/>
  <c r="N33" i="17"/>
  <c r="B33" i="17"/>
  <c r="P32" i="17"/>
  <c r="Q32" i="17" s="1"/>
  <c r="N32" i="17"/>
  <c r="B32" i="17"/>
  <c r="P31" i="17"/>
  <c r="Q31" i="17" s="1"/>
  <c r="N31" i="17"/>
  <c r="P30" i="17"/>
  <c r="Q30" i="17" s="1"/>
  <c r="N30" i="17"/>
  <c r="B30" i="17"/>
  <c r="P29" i="17"/>
  <c r="Q29" i="17" s="1"/>
  <c r="N29" i="17"/>
  <c r="B29" i="17"/>
  <c r="P28" i="17"/>
  <c r="Q28" i="17" s="1"/>
  <c r="N28" i="17"/>
  <c r="B28" i="17"/>
  <c r="P27" i="17"/>
  <c r="Q27" i="17" s="1"/>
  <c r="N27" i="17"/>
  <c r="P24" i="17"/>
  <c r="Q24" i="17" s="1"/>
  <c r="P25" i="17"/>
  <c r="Q25" i="17" s="1"/>
  <c r="P26" i="17"/>
  <c r="Q26" i="17" s="1"/>
  <c r="P23" i="17"/>
  <c r="Q23" i="17" s="1"/>
  <c r="N24" i="17"/>
  <c r="N25" i="17"/>
  <c r="N26" i="17"/>
  <c r="N23" i="17"/>
  <c r="H6" i="17"/>
  <c r="B26" i="17"/>
  <c r="B25" i="17"/>
  <c r="B24" i="17"/>
  <c r="C47" i="16"/>
  <c r="C46" i="16"/>
  <c r="C45" i="16"/>
  <c r="C43" i="16"/>
  <c r="C42" i="16"/>
  <c r="C41" i="16"/>
  <c r="C39" i="16"/>
  <c r="C38" i="16"/>
  <c r="C37" i="16"/>
  <c r="C35" i="16"/>
  <c r="C34" i="16"/>
  <c r="C33" i="16"/>
  <c r="C31" i="16"/>
  <c r="C30" i="16"/>
  <c r="C29" i="16"/>
  <c r="C27" i="16"/>
  <c r="C26" i="16"/>
  <c r="C25" i="16"/>
  <c r="C23" i="16"/>
  <c r="C22" i="16"/>
  <c r="C21" i="16"/>
  <c r="C19" i="16"/>
  <c r="C18" i="16"/>
  <c r="C17" i="16"/>
  <c r="C15" i="16"/>
  <c r="C14" i="16"/>
  <c r="C13" i="16"/>
  <c r="B95" i="1"/>
  <c r="D112" i="1" l="1"/>
  <c r="D106" i="1"/>
  <c r="K151" i="1"/>
  <c r="K150" i="1"/>
  <c r="B134" i="1"/>
  <c r="B133" i="1"/>
  <c r="B131" i="1"/>
  <c r="B130" i="1"/>
  <c r="B132" i="1"/>
  <c r="B163" i="1"/>
  <c r="G44" i="17"/>
  <c r="G43" i="17"/>
  <c r="G42" i="17"/>
  <c r="G41" i="17"/>
  <c r="G35" i="17"/>
  <c r="G29" i="17"/>
  <c r="G23" i="17"/>
  <c r="G17" i="17"/>
  <c r="G11" i="17"/>
  <c r="G40" i="17"/>
  <c r="G34" i="17"/>
  <c r="G28" i="17"/>
  <c r="G22" i="17"/>
  <c r="G16" i="17"/>
  <c r="G39" i="17"/>
  <c r="G33" i="17"/>
  <c r="G27" i="17"/>
  <c r="G21" i="17"/>
  <c r="G15" i="17"/>
  <c r="G38" i="17"/>
  <c r="G32" i="17"/>
  <c r="G26" i="17"/>
  <c r="G20" i="17"/>
  <c r="G14" i="17"/>
  <c r="G37" i="17"/>
  <c r="G31" i="17"/>
  <c r="G25" i="17"/>
  <c r="G19" i="17"/>
  <c r="G13" i="17"/>
  <c r="G36" i="17"/>
  <c r="G30" i="17"/>
  <c r="G24" i="17"/>
  <c r="G18" i="17"/>
  <c r="G12" i="17"/>
  <c r="G46" i="17"/>
  <c r="G45" i="17"/>
  <c r="B150" i="1"/>
  <c r="D150" i="1" s="1"/>
  <c r="E112" i="1"/>
  <c r="E106" i="1"/>
  <c r="B84" i="1"/>
  <c r="N16" i="13"/>
  <c r="N17" i="13"/>
  <c r="N18" i="13"/>
  <c r="N19" i="13"/>
  <c r="N20" i="13"/>
  <c r="P16" i="13"/>
  <c r="P17" i="13"/>
  <c r="Q17" i="13" s="1"/>
  <c r="P18" i="13"/>
  <c r="Q18" i="13" s="1"/>
  <c r="P19" i="13"/>
  <c r="Q19" i="13" s="1"/>
  <c r="P20" i="13"/>
  <c r="Q20" i="13" s="1"/>
  <c r="P15" i="13"/>
  <c r="N15" i="13"/>
  <c r="F6" i="13"/>
  <c r="H6" i="13" s="1"/>
  <c r="B19" i="13"/>
  <c r="B17" i="13"/>
  <c r="B15" i="13"/>
  <c r="F16" i="16"/>
  <c r="F20" i="16"/>
  <c r="F24" i="16"/>
  <c r="F28" i="16"/>
  <c r="C11" i="12"/>
  <c r="F32" i="16"/>
  <c r="C13" i="12"/>
  <c r="C15" i="12"/>
  <c r="F40" i="16"/>
  <c r="F44" i="16"/>
  <c r="F12" i="16"/>
  <c r="G6" i="11"/>
  <c r="H6" i="11" s="1"/>
  <c r="G8" i="11"/>
  <c r="H8" i="11" s="1"/>
  <c r="E24" i="16"/>
  <c r="E28" i="16"/>
  <c r="E32" i="16"/>
  <c r="B13" i="12"/>
  <c r="G14" i="11"/>
  <c r="H14" i="11" s="1"/>
  <c r="G15" i="11"/>
  <c r="H15" i="11" s="1"/>
  <c r="E12" i="16"/>
  <c r="M46" i="5"/>
  <c r="O46" i="5" s="1"/>
  <c r="Q46" i="5" s="1"/>
  <c r="M37" i="5"/>
  <c r="O37" i="5" s="1"/>
  <c r="D6" i="7"/>
  <c r="D5" i="7"/>
  <c r="G11" i="13" l="1"/>
  <c r="G14" i="13"/>
  <c r="G13" i="13"/>
  <c r="G12" i="13"/>
  <c r="O52" i="5"/>
  <c r="I20" i="16"/>
  <c r="C18" i="11"/>
  <c r="C12" i="11"/>
  <c r="C17" i="11"/>
  <c r="C11" i="11"/>
  <c r="I11" i="11" s="1"/>
  <c r="C19" i="11"/>
  <c r="C16" i="11"/>
  <c r="C15" i="11"/>
  <c r="C13" i="11"/>
  <c r="C14" i="11"/>
  <c r="C8" i="11"/>
  <c r="K8" i="11" s="1"/>
  <c r="C6" i="11"/>
  <c r="I6" i="11" s="1"/>
  <c r="G18" i="13"/>
  <c r="G19" i="13"/>
  <c r="G15" i="13"/>
  <c r="G22" i="13"/>
  <c r="G23" i="13"/>
  <c r="G24" i="13"/>
  <c r="G20" i="13"/>
  <c r="G21" i="13"/>
  <c r="G16" i="13"/>
  <c r="G17" i="13"/>
  <c r="D75" i="1"/>
  <c r="Q15" i="13"/>
  <c r="E75" i="1"/>
  <c r="D151" i="1"/>
  <c r="E149" i="1"/>
  <c r="B135" i="1"/>
  <c r="J2" i="8"/>
  <c r="K2" i="8" s="1"/>
  <c r="G28" i="16"/>
  <c r="H28" i="16" s="1"/>
  <c r="G24" i="16"/>
  <c r="H25" i="16" s="1"/>
  <c r="G9" i="11"/>
  <c r="H9" i="11" s="1"/>
  <c r="G12" i="16"/>
  <c r="H14" i="16" s="1"/>
  <c r="G32" i="16"/>
  <c r="H35" i="16" s="1"/>
  <c r="G13" i="11"/>
  <c r="H13" i="11" s="1"/>
  <c r="G11" i="11"/>
  <c r="H11" i="11" s="1"/>
  <c r="G5" i="11"/>
  <c r="H5" i="11" s="1"/>
  <c r="E44" i="16"/>
  <c r="B88" i="1"/>
  <c r="E36" i="16"/>
  <c r="B89" i="1"/>
  <c r="F36" i="16"/>
  <c r="G17" i="11"/>
  <c r="H17" i="11" s="1"/>
  <c r="G10" i="11"/>
  <c r="H10" i="11" s="1"/>
  <c r="B11" i="12"/>
  <c r="D11" i="12" s="1"/>
  <c r="E40" i="16"/>
  <c r="E20" i="16"/>
  <c r="B15" i="12"/>
  <c r="D15" i="12" s="1"/>
  <c r="E16" i="16"/>
  <c r="G16" i="11"/>
  <c r="H16" i="11" s="1"/>
  <c r="G12" i="11"/>
  <c r="H12" i="11" s="1"/>
  <c r="D83" i="1"/>
  <c r="Q16" i="13"/>
  <c r="E83" i="1"/>
  <c r="D13" i="12"/>
  <c r="D3" i="7"/>
  <c r="D4" i="7"/>
  <c r="D7" i="7"/>
  <c r="D2" i="7"/>
  <c r="Q37" i="5"/>
  <c r="D27" i="5"/>
  <c r="F27" i="5" s="1"/>
  <c r="D28" i="5"/>
  <c r="F28" i="5" s="1"/>
  <c r="D29" i="5"/>
  <c r="F29" i="5" s="1"/>
  <c r="F30" i="5"/>
  <c r="F20" i="5"/>
  <c r="I8" i="11" l="1"/>
  <c r="K6" i="11"/>
  <c r="H152" i="1"/>
  <c r="H153" i="1"/>
  <c r="D89" i="1"/>
  <c r="T22" i="17"/>
  <c r="T20" i="17"/>
  <c r="I16" i="16"/>
  <c r="C10" i="11"/>
  <c r="C9" i="11"/>
  <c r="C7" i="11"/>
  <c r="C5" i="11"/>
  <c r="E7" i="12" s="1"/>
  <c r="B136" i="1"/>
  <c r="B140" i="1" s="1"/>
  <c r="D135" i="1"/>
  <c r="R2" i="8"/>
  <c r="T2" i="8"/>
  <c r="B65" i="1" s="1"/>
  <c r="L2" i="8"/>
  <c r="H150" i="1"/>
  <c r="H151" i="1"/>
  <c r="H154" i="1"/>
  <c r="K11" i="11"/>
  <c r="K12" i="24" s="1"/>
  <c r="Q13" i="22"/>
  <c r="R13" i="22" s="1"/>
  <c r="H19" i="24" s="1"/>
  <c r="K6" i="21"/>
  <c r="Q6" i="19"/>
  <c r="R6" i="19" s="1"/>
  <c r="Q20" i="22"/>
  <c r="R20" i="22" s="1"/>
  <c r="H33" i="24" s="1"/>
  <c r="Q10" i="19"/>
  <c r="R10" i="19" s="1"/>
  <c r="H17" i="21" s="1"/>
  <c r="J17" i="21" s="1"/>
  <c r="K12" i="11"/>
  <c r="Q21" i="22"/>
  <c r="R21" i="22" s="1"/>
  <c r="H18" i="24" s="1"/>
  <c r="Q28" i="22"/>
  <c r="R28" i="22" s="1"/>
  <c r="H32" i="24" s="1"/>
  <c r="Q11" i="19"/>
  <c r="R11" i="19" s="1"/>
  <c r="H19" i="21" s="1"/>
  <c r="E11" i="12"/>
  <c r="H24" i="16"/>
  <c r="H29" i="16"/>
  <c r="H27" i="16"/>
  <c r="H34" i="16"/>
  <c r="H26" i="16"/>
  <c r="H32" i="16"/>
  <c r="S2" i="8"/>
  <c r="H31" i="16"/>
  <c r="H15" i="16"/>
  <c r="H30" i="16"/>
  <c r="H12" i="16"/>
  <c r="H13" i="16"/>
  <c r="H33" i="16"/>
  <c r="B68" i="1"/>
  <c r="G40" i="16"/>
  <c r="B90" i="1"/>
  <c r="B114" i="1"/>
  <c r="D88" i="1"/>
  <c r="B108" i="1"/>
  <c r="G16" i="16"/>
  <c r="G20" i="16"/>
  <c r="G44" i="16"/>
  <c r="G36" i="16"/>
  <c r="F8" i="5"/>
  <c r="D7" i="11" s="1"/>
  <c r="D20" i="5"/>
  <c r="D31" i="5"/>
  <c r="F31" i="5"/>
  <c r="D8" i="5"/>
  <c r="I5" i="11" l="1"/>
  <c r="K5" i="11"/>
  <c r="Q14" i="19" s="1"/>
  <c r="R14" i="19" s="1"/>
  <c r="B70" i="1"/>
  <c r="C15" i="31" s="1"/>
  <c r="I12" i="16"/>
  <c r="B164" i="1"/>
  <c r="F140" i="1"/>
  <c r="B151" i="1" s="1"/>
  <c r="B155" i="1" s="1"/>
  <c r="D155" i="1" s="1"/>
  <c r="E155" i="1" s="1"/>
  <c r="F155" i="1" s="1"/>
  <c r="J7" i="11"/>
  <c r="F9" i="12"/>
  <c r="L7" i="11"/>
  <c r="I7" i="11"/>
  <c r="E9" i="12"/>
  <c r="K7" i="11"/>
  <c r="Q39" i="5"/>
  <c r="D5" i="11" s="1"/>
  <c r="F7" i="12" s="1"/>
  <c r="G7" i="12" s="1"/>
  <c r="B142" i="1"/>
  <c r="B143" i="1" s="1"/>
  <c r="D136" i="1"/>
  <c r="B66" i="1"/>
  <c r="D66" i="1" s="1"/>
  <c r="D12" i="31" s="1"/>
  <c r="B67" i="1"/>
  <c r="D67" i="1" s="1"/>
  <c r="D11" i="31" s="1"/>
  <c r="Q48" i="5"/>
  <c r="D10" i="11" s="1"/>
  <c r="D17" i="11"/>
  <c r="D14" i="11"/>
  <c r="D11" i="11"/>
  <c r="D9" i="11"/>
  <c r="D15" i="11"/>
  <c r="D12" i="11"/>
  <c r="D6" i="11"/>
  <c r="D19" i="11"/>
  <c r="D16" i="11"/>
  <c r="D13" i="11"/>
  <c r="D8" i="11"/>
  <c r="B91" i="1" s="1"/>
  <c r="D210" i="1" s="1"/>
  <c r="D18" i="11"/>
  <c r="H8" i="5"/>
  <c r="Q6" i="22"/>
  <c r="R6" i="22" s="1"/>
  <c r="J32" i="24"/>
  <c r="J18" i="24"/>
  <c r="Q13" i="19"/>
  <c r="R13" i="19" s="1"/>
  <c r="V6" i="20" s="1"/>
  <c r="Q12" i="19"/>
  <c r="R12" i="19" s="1"/>
  <c r="H21" i="21" s="1"/>
  <c r="K6" i="24"/>
  <c r="Q12" i="22"/>
  <c r="R12" i="22" s="1"/>
  <c r="E13" i="12"/>
  <c r="I13" i="11"/>
  <c r="K13" i="11"/>
  <c r="I44" i="16"/>
  <c r="I17" i="11"/>
  <c r="K17" i="11"/>
  <c r="I28" i="16"/>
  <c r="I10" i="11"/>
  <c r="E19" i="12"/>
  <c r="I19" i="11"/>
  <c r="K19" i="11"/>
  <c r="V8" i="20"/>
  <c r="H25" i="21"/>
  <c r="E15" i="12"/>
  <c r="I14" i="11"/>
  <c r="K14" i="11"/>
  <c r="E17" i="12"/>
  <c r="I18" i="11"/>
  <c r="K18" i="11"/>
  <c r="I32" i="16"/>
  <c r="I12" i="11"/>
  <c r="K10" i="11"/>
  <c r="I15" i="11"/>
  <c r="B92" i="1"/>
  <c r="E210" i="1" s="1"/>
  <c r="I36" i="16"/>
  <c r="K15" i="11"/>
  <c r="I24" i="16"/>
  <c r="K9" i="11"/>
  <c r="K9" i="21" s="1"/>
  <c r="I9" i="11"/>
  <c r="I40" i="16"/>
  <c r="I16" i="11"/>
  <c r="K16" i="11"/>
  <c r="J12" i="16"/>
  <c r="K12" i="16" s="1"/>
  <c r="L14" i="16" s="1"/>
  <c r="H20" i="5"/>
  <c r="B69" i="1"/>
  <c r="H44" i="16"/>
  <c r="H45" i="16"/>
  <c r="H46" i="16"/>
  <c r="H47" i="16"/>
  <c r="H20" i="16"/>
  <c r="H21" i="16"/>
  <c r="H23" i="16"/>
  <c r="H22" i="16"/>
  <c r="B99" i="1"/>
  <c r="B98" i="1"/>
  <c r="B96" i="1"/>
  <c r="B97" i="1"/>
  <c r="H36" i="16"/>
  <c r="H37" i="16"/>
  <c r="H38" i="16"/>
  <c r="H39" i="16"/>
  <c r="H42" i="16"/>
  <c r="H40" i="16"/>
  <c r="H43" i="16"/>
  <c r="H41" i="16"/>
  <c r="H18" i="16"/>
  <c r="H19" i="16"/>
  <c r="H16" i="16"/>
  <c r="H17" i="16"/>
  <c r="B45" i="1"/>
  <c r="E47" i="1" s="1"/>
  <c r="B42" i="1"/>
  <c r="B16" i="1"/>
  <c r="B210" i="1" l="1"/>
  <c r="G9" i="12"/>
  <c r="H9" i="12" s="1"/>
  <c r="B167" i="1"/>
  <c r="B169" i="1" s="1"/>
  <c r="B158" i="1"/>
  <c r="B162" i="1"/>
  <c r="B165" i="1" s="1"/>
  <c r="C15" i="30"/>
  <c r="C92" i="1"/>
  <c r="H10" i="12"/>
  <c r="B153" i="1"/>
  <c r="B154" i="1" s="1"/>
  <c r="D157" i="1" s="1"/>
  <c r="E157" i="1" s="1"/>
  <c r="F157" i="1" s="1"/>
  <c r="C14" i="30"/>
  <c r="C91" i="1"/>
  <c r="B152" i="1"/>
  <c r="B156" i="1" s="1"/>
  <c r="D156" i="1" s="1"/>
  <c r="E156" i="1" s="1"/>
  <c r="F156" i="1" s="1"/>
  <c r="H8" i="12"/>
  <c r="D12" i="13" s="1"/>
  <c r="H7" i="12"/>
  <c r="D11" i="13" s="1"/>
  <c r="B144" i="1"/>
  <c r="B145" i="1" s="1"/>
  <c r="C19" i="31"/>
  <c r="B77" i="1"/>
  <c r="B85" i="1"/>
  <c r="C14" i="31"/>
  <c r="C16" i="31" s="1"/>
  <c r="B71" i="1"/>
  <c r="L5" i="11"/>
  <c r="N14" i="19" s="1"/>
  <c r="D187" i="1"/>
  <c r="H23" i="21"/>
  <c r="Q9" i="19"/>
  <c r="R9" i="19" s="1"/>
  <c r="K7" i="24"/>
  <c r="K11" i="24"/>
  <c r="Q18" i="19"/>
  <c r="R18" i="19" s="1"/>
  <c r="H26" i="21" s="1"/>
  <c r="J25" i="21" s="1"/>
  <c r="Q15" i="19"/>
  <c r="R15" i="19" s="1"/>
  <c r="H20" i="21" s="1"/>
  <c r="J19" i="21" s="1"/>
  <c r="Q7" i="22"/>
  <c r="R7" i="22" s="1"/>
  <c r="Q11" i="22"/>
  <c r="R11" i="22" s="1"/>
  <c r="Q16" i="19"/>
  <c r="R16" i="19" s="1"/>
  <c r="H22" i="21" s="1"/>
  <c r="J21" i="21" s="1"/>
  <c r="K9" i="24"/>
  <c r="Q9" i="22"/>
  <c r="R9" i="22" s="1"/>
  <c r="U6" i="20"/>
  <c r="U6" i="23"/>
  <c r="U8" i="23"/>
  <c r="U8" i="20"/>
  <c r="Q14" i="22"/>
  <c r="R14" i="22" s="1"/>
  <c r="H21" i="24" s="1"/>
  <c r="Q19" i="22"/>
  <c r="R19" i="22" s="1"/>
  <c r="H31" i="24" s="1"/>
  <c r="Q23" i="22"/>
  <c r="R23" i="22" s="1"/>
  <c r="H22" i="24" s="1"/>
  <c r="Q26" i="22"/>
  <c r="R26" i="22" s="1"/>
  <c r="H28" i="24" s="1"/>
  <c r="Q8" i="19"/>
  <c r="R8" i="19" s="1"/>
  <c r="Q27" i="22"/>
  <c r="R27" i="22" s="1"/>
  <c r="H30" i="24" s="1"/>
  <c r="K8" i="21"/>
  <c r="Q22" i="22"/>
  <c r="R22" i="22" s="1"/>
  <c r="H20" i="24" s="1"/>
  <c r="U9" i="20"/>
  <c r="U7" i="23"/>
  <c r="Q8" i="22"/>
  <c r="R8" i="22" s="1"/>
  <c r="U9" i="23"/>
  <c r="K10" i="24"/>
  <c r="Q10" i="22"/>
  <c r="R10" i="22" s="1"/>
  <c r="K8" i="24"/>
  <c r="U7" i="20"/>
  <c r="Q24" i="22"/>
  <c r="R24" i="22" s="1"/>
  <c r="H24" i="24" s="1"/>
  <c r="Q25" i="22"/>
  <c r="R25" i="22" s="1"/>
  <c r="H26" i="24" s="1"/>
  <c r="Q15" i="22"/>
  <c r="R15" i="22" s="1"/>
  <c r="Q18" i="22"/>
  <c r="R18" i="22" s="1"/>
  <c r="Q7" i="19"/>
  <c r="R7" i="19" s="1"/>
  <c r="K7" i="21"/>
  <c r="E187" i="1"/>
  <c r="Q17" i="19"/>
  <c r="R17" i="19" s="1"/>
  <c r="H24" i="21" s="1"/>
  <c r="Q16" i="22"/>
  <c r="R16" i="22" s="1"/>
  <c r="H25" i="24" s="1"/>
  <c r="Q17" i="22"/>
  <c r="R17" i="22" s="1"/>
  <c r="H27" i="24" s="1"/>
  <c r="J5" i="11"/>
  <c r="L13" i="16"/>
  <c r="L15" i="16"/>
  <c r="L12" i="16"/>
  <c r="J9" i="11"/>
  <c r="J24" i="16"/>
  <c r="K24" i="16" s="1"/>
  <c r="L9" i="11"/>
  <c r="J44" i="16"/>
  <c r="K44" i="16" s="1"/>
  <c r="L45" i="16" s="1"/>
  <c r="J17" i="11"/>
  <c r="L17" i="11"/>
  <c r="F15" i="12"/>
  <c r="G15" i="12" s="1"/>
  <c r="L14" i="11"/>
  <c r="J14" i="11"/>
  <c r="J28" i="16"/>
  <c r="K28" i="16" s="1"/>
  <c r="J10" i="11"/>
  <c r="L10" i="11"/>
  <c r="J20" i="16"/>
  <c r="K20" i="16" s="1"/>
  <c r="L23" i="16" s="1"/>
  <c r="J8" i="11"/>
  <c r="L8" i="11"/>
  <c r="F19" i="12"/>
  <c r="G19" i="12" s="1"/>
  <c r="J19" i="11"/>
  <c r="L19" i="11"/>
  <c r="F11" i="12"/>
  <c r="G11" i="12" s="1"/>
  <c r="J11" i="11"/>
  <c r="L11" i="11"/>
  <c r="J32" i="16"/>
  <c r="K32" i="16" s="1"/>
  <c r="J12" i="11"/>
  <c r="L12" i="11"/>
  <c r="B72" i="1"/>
  <c r="B80" i="1"/>
  <c r="B79" i="1"/>
  <c r="J16" i="16"/>
  <c r="K16" i="16" s="1"/>
  <c r="L18" i="16" s="1"/>
  <c r="L6" i="11"/>
  <c r="J6" i="11"/>
  <c r="J40" i="16"/>
  <c r="K40" i="16" s="1"/>
  <c r="L43" i="16" s="1"/>
  <c r="J16" i="11"/>
  <c r="L16" i="11"/>
  <c r="F17" i="12"/>
  <c r="G17" i="12" s="1"/>
  <c r="J18" i="11"/>
  <c r="L18" i="11"/>
  <c r="J36" i="16"/>
  <c r="K36" i="16" s="1"/>
  <c r="L39" i="16" s="1"/>
  <c r="J15" i="11"/>
  <c r="L15" i="11"/>
  <c r="F13" i="12"/>
  <c r="G13" i="12" s="1"/>
  <c r="J13" i="11"/>
  <c r="L13" i="11"/>
  <c r="E12" i="19"/>
  <c r="E13" i="19"/>
  <c r="E14" i="19"/>
  <c r="E15" i="19"/>
  <c r="E16" i="19"/>
  <c r="E6" i="23"/>
  <c r="E8" i="20"/>
  <c r="E8" i="19"/>
  <c r="E24" i="22"/>
  <c r="E21" i="22"/>
  <c r="E18" i="22"/>
  <c r="E15" i="22"/>
  <c r="E17" i="19"/>
  <c r="E10" i="19"/>
  <c r="E7" i="22"/>
  <c r="E6" i="22"/>
  <c r="E6" i="20"/>
  <c r="E27" i="22"/>
  <c r="E10" i="22"/>
  <c r="E9" i="22"/>
  <c r="E9" i="19"/>
  <c r="E22" i="22"/>
  <c r="E16" i="22"/>
  <c r="E8" i="22"/>
  <c r="E26" i="22"/>
  <c r="E23" i="22"/>
  <c r="E20" i="22"/>
  <c r="E17" i="22"/>
  <c r="E18" i="19"/>
  <c r="E8" i="23"/>
  <c r="E11" i="22"/>
  <c r="E6" i="19"/>
  <c r="E13" i="22"/>
  <c r="E12" i="22"/>
  <c r="E7" i="19"/>
  <c r="E25" i="22"/>
  <c r="E19" i="22"/>
  <c r="E11" i="19"/>
  <c r="E14" i="22"/>
  <c r="E28" i="22"/>
  <c r="B160" i="1"/>
  <c r="I45" i="1"/>
  <c r="E46" i="1"/>
  <c r="C16" i="30" l="1"/>
  <c r="C28" i="30" s="1"/>
  <c r="D31" i="30" s="1"/>
  <c r="C37" i="30" s="1"/>
  <c r="C40" i="30" s="1"/>
  <c r="D14" i="13"/>
  <c r="B73" i="1"/>
  <c r="B81" i="1"/>
  <c r="I46" i="1"/>
  <c r="E13" i="13"/>
  <c r="E12" i="13"/>
  <c r="E14" i="13"/>
  <c r="E11" i="13"/>
  <c r="I11" i="13" s="1"/>
  <c r="J11" i="13" s="1"/>
  <c r="K11" i="13" s="1"/>
  <c r="E43" i="17"/>
  <c r="O43" i="17" s="1"/>
  <c r="E37" i="17"/>
  <c r="O37" i="17" s="1"/>
  <c r="E31" i="17"/>
  <c r="O31" i="17" s="1"/>
  <c r="E25" i="17"/>
  <c r="O25" i="17" s="1"/>
  <c r="E19" i="17"/>
  <c r="O19" i="17" s="1"/>
  <c r="E13" i="17"/>
  <c r="O13" i="17" s="1"/>
  <c r="E42" i="17"/>
  <c r="O42" i="17" s="1"/>
  <c r="E36" i="17"/>
  <c r="O36" i="17" s="1"/>
  <c r="E30" i="17"/>
  <c r="O30" i="17" s="1"/>
  <c r="E24" i="17"/>
  <c r="O24" i="17" s="1"/>
  <c r="E18" i="17"/>
  <c r="O18" i="17" s="1"/>
  <c r="E12" i="17"/>
  <c r="O12" i="17" s="1"/>
  <c r="E41" i="17"/>
  <c r="O41" i="17" s="1"/>
  <c r="E35" i="17"/>
  <c r="O35" i="17" s="1"/>
  <c r="E29" i="17"/>
  <c r="O29" i="17" s="1"/>
  <c r="E23" i="17"/>
  <c r="O23" i="17" s="1"/>
  <c r="E17" i="17"/>
  <c r="O17" i="17" s="1"/>
  <c r="E11" i="17"/>
  <c r="O11" i="17" s="1"/>
  <c r="E46" i="17"/>
  <c r="O46" i="17" s="1"/>
  <c r="E40" i="17"/>
  <c r="O40" i="17" s="1"/>
  <c r="E34" i="17"/>
  <c r="O34" i="17" s="1"/>
  <c r="E28" i="17"/>
  <c r="O28" i="17" s="1"/>
  <c r="E22" i="17"/>
  <c r="O22" i="17" s="1"/>
  <c r="E16" i="17"/>
  <c r="O16" i="17" s="1"/>
  <c r="E38" i="17"/>
  <c r="O38" i="17" s="1"/>
  <c r="E32" i="17"/>
  <c r="O32" i="17" s="1"/>
  <c r="E26" i="17"/>
  <c r="O26" i="17" s="1"/>
  <c r="E14" i="17"/>
  <c r="O14" i="17" s="1"/>
  <c r="E45" i="17"/>
  <c r="O45" i="17" s="1"/>
  <c r="E39" i="17"/>
  <c r="O39" i="17" s="1"/>
  <c r="E33" i="17"/>
  <c r="O33" i="17" s="1"/>
  <c r="E27" i="17"/>
  <c r="O27" i="17" s="1"/>
  <c r="E21" i="17"/>
  <c r="O21" i="17" s="1"/>
  <c r="E15" i="17"/>
  <c r="O15" i="17" s="1"/>
  <c r="E44" i="17"/>
  <c r="O44" i="17" s="1"/>
  <c r="E20" i="17"/>
  <c r="O20" i="17" s="1"/>
  <c r="E21" i="13"/>
  <c r="O21" i="13" s="1"/>
  <c r="E16" i="13"/>
  <c r="E22" i="13"/>
  <c r="O22" i="13" s="1"/>
  <c r="E20" i="13"/>
  <c r="E17" i="13"/>
  <c r="E23" i="13"/>
  <c r="O23" i="13" s="1"/>
  <c r="E18" i="13"/>
  <c r="E24" i="13"/>
  <c r="O24" i="13" s="1"/>
  <c r="E19" i="13"/>
  <c r="E15" i="13"/>
  <c r="I12" i="13"/>
  <c r="J12" i="13" s="1"/>
  <c r="K12" i="13" s="1"/>
  <c r="D13" i="13"/>
  <c r="B147" i="1"/>
  <c r="D147" i="1" s="1"/>
  <c r="E147" i="1" s="1"/>
  <c r="F147" i="1" s="1"/>
  <c r="B146" i="1"/>
  <c r="D146" i="1" s="1"/>
  <c r="E146" i="1" s="1"/>
  <c r="F146" i="1" s="1"/>
  <c r="B170" i="1"/>
  <c r="B171" i="1" s="1"/>
  <c r="D33" i="30"/>
  <c r="C73" i="30" s="1"/>
  <c r="C76" i="30" s="1"/>
  <c r="D32" i="30"/>
  <c r="C55" i="30" s="1"/>
  <c r="C58" i="30" s="1"/>
  <c r="E58" i="30" s="1"/>
  <c r="D34" i="30"/>
  <c r="C91" i="30" s="1"/>
  <c r="C94" i="30" s="1"/>
  <c r="E94" i="30" s="1"/>
  <c r="D11" i="17" a="1"/>
  <c r="D11" i="17" s="1"/>
  <c r="I11" i="17" s="1"/>
  <c r="D12" i="17" a="1"/>
  <c r="D12" i="17" s="1"/>
  <c r="I12" i="17" s="1"/>
  <c r="D13" i="17" a="1"/>
  <c r="D13" i="17" s="1"/>
  <c r="I13" i="17" s="1"/>
  <c r="D14" i="17" a="1"/>
  <c r="D14" i="17" s="1"/>
  <c r="I14" i="17" s="1"/>
  <c r="H18" i="12"/>
  <c r="H17" i="12"/>
  <c r="C78" i="30"/>
  <c r="C79" i="30" s="1"/>
  <c r="D82" i="30" s="1"/>
  <c r="H82" i="30" s="1"/>
  <c r="E76" i="30"/>
  <c r="H14" i="12"/>
  <c r="H13" i="12"/>
  <c r="H19" i="12"/>
  <c r="H20" i="12"/>
  <c r="C60" i="30"/>
  <c r="C61" i="30" s="1"/>
  <c r="D64" i="30" s="1"/>
  <c r="H64" i="30" s="1"/>
  <c r="H12" i="12"/>
  <c r="H11" i="12"/>
  <c r="H16" i="12"/>
  <c r="H15" i="12"/>
  <c r="E40" i="30"/>
  <c r="C42" i="30"/>
  <c r="C43" i="30" s="1"/>
  <c r="D46" i="30" s="1"/>
  <c r="H46" i="30" s="1"/>
  <c r="B24" i="31"/>
  <c r="C28" i="31" s="1"/>
  <c r="C31" i="31" s="1"/>
  <c r="B25" i="31"/>
  <c r="C46" i="31" s="1"/>
  <c r="C49" i="31" s="1"/>
  <c r="B187" i="1"/>
  <c r="B218" i="1"/>
  <c r="B220" i="1" s="1"/>
  <c r="B221" i="1" s="1"/>
  <c r="J23" i="21"/>
  <c r="J30" i="24"/>
  <c r="J20" i="24"/>
  <c r="J24" i="24"/>
  <c r="H29" i="24"/>
  <c r="J28" i="24" s="1"/>
  <c r="V8" i="23"/>
  <c r="X8" i="23" s="1"/>
  <c r="X6" i="20"/>
  <c r="W6" i="20"/>
  <c r="H23" i="24"/>
  <c r="J22" i="24" s="1"/>
  <c r="V6" i="23"/>
  <c r="W6" i="23" s="1"/>
  <c r="J26" i="24"/>
  <c r="W8" i="20"/>
  <c r="X8" i="20"/>
  <c r="L16" i="16"/>
  <c r="D15" i="17" s="1" a="1"/>
  <c r="D15" i="17" s="1"/>
  <c r="I15" i="17" s="1"/>
  <c r="L37" i="16"/>
  <c r="L36" i="16"/>
  <c r="L38" i="16"/>
  <c r="L41" i="16"/>
  <c r="L19" i="16"/>
  <c r="L44" i="16"/>
  <c r="L20" i="16"/>
  <c r="L21" i="16"/>
  <c r="L17" i="16"/>
  <c r="L22" i="16"/>
  <c r="L46" i="16"/>
  <c r="L47" i="16"/>
  <c r="N9" i="22"/>
  <c r="I9" i="24"/>
  <c r="J9" i="24" s="1"/>
  <c r="L25" i="16"/>
  <c r="L24" i="16"/>
  <c r="L26" i="16"/>
  <c r="L27" i="16"/>
  <c r="O8" i="23"/>
  <c r="P8" i="23" s="1"/>
  <c r="O8" i="20"/>
  <c r="P8" i="20" s="1"/>
  <c r="O6" i="23"/>
  <c r="N23" i="22"/>
  <c r="N26" i="22"/>
  <c r="N12" i="22"/>
  <c r="I12" i="24"/>
  <c r="J12" i="24" s="1"/>
  <c r="N12" i="19"/>
  <c r="N6" i="22"/>
  <c r="N11" i="19"/>
  <c r="I6" i="24"/>
  <c r="J6" i="24" s="1"/>
  <c r="L35" i="16"/>
  <c r="L33" i="16"/>
  <c r="L32" i="16"/>
  <c r="L34" i="16"/>
  <c r="N6" i="19"/>
  <c r="N14" i="22"/>
  <c r="I6" i="21"/>
  <c r="J6" i="21" s="1"/>
  <c r="I7" i="21"/>
  <c r="J7" i="21" s="1"/>
  <c r="N19" i="22"/>
  <c r="N10" i="19"/>
  <c r="N7" i="19"/>
  <c r="N20" i="22"/>
  <c r="N13" i="22"/>
  <c r="N15" i="22"/>
  <c r="N18" i="22"/>
  <c r="N9" i="19"/>
  <c r="I9" i="21"/>
  <c r="J9" i="21" s="1"/>
  <c r="B93" i="1"/>
  <c r="C93" i="1" s="1"/>
  <c r="L40" i="16"/>
  <c r="O6" i="20"/>
  <c r="N8" i="22"/>
  <c r="I8" i="24"/>
  <c r="J8" i="24" s="1"/>
  <c r="N10" i="22"/>
  <c r="I10" i="24"/>
  <c r="J10" i="24" s="1"/>
  <c r="O7" i="20"/>
  <c r="P7" i="20" s="1"/>
  <c r="O9" i="23"/>
  <c r="P9" i="23" s="1"/>
  <c r="O9" i="20"/>
  <c r="P9" i="20" s="1"/>
  <c r="O7" i="23"/>
  <c r="P7" i="23" s="1"/>
  <c r="L42" i="16"/>
  <c r="N11" i="22"/>
  <c r="N7" i="22"/>
  <c r="I11" i="24"/>
  <c r="J11" i="24" s="1"/>
  <c r="I7" i="24"/>
  <c r="J7" i="24" s="1"/>
  <c r="N16" i="19"/>
  <c r="N15" i="19"/>
  <c r="N18" i="19"/>
  <c r="N8" i="19"/>
  <c r="N13" i="19"/>
  <c r="N16" i="22"/>
  <c r="N17" i="22"/>
  <c r="N25" i="22"/>
  <c r="N24" i="22"/>
  <c r="N17" i="19"/>
  <c r="I8" i="21"/>
  <c r="J8" i="21" s="1"/>
  <c r="N22" i="22"/>
  <c r="N27" i="22"/>
  <c r="N28" i="22"/>
  <c r="N21" i="22"/>
  <c r="L28" i="16"/>
  <c r="L29" i="16"/>
  <c r="L30" i="16"/>
  <c r="L31" i="16"/>
  <c r="B54" i="1"/>
  <c r="D28" i="22"/>
  <c r="F28" i="22" s="1"/>
  <c r="D25" i="22"/>
  <c r="F25" i="22" s="1"/>
  <c r="D22" i="22"/>
  <c r="F22" i="22" s="1"/>
  <c r="D19" i="22"/>
  <c r="F19" i="22" s="1"/>
  <c r="D16" i="22"/>
  <c r="F16" i="22" s="1"/>
  <c r="D17" i="19"/>
  <c r="F17" i="19" s="1"/>
  <c r="D10" i="19"/>
  <c r="F10" i="19" s="1"/>
  <c r="D14" i="22"/>
  <c r="F14" i="22" s="1"/>
  <c r="D6" i="23"/>
  <c r="F6" i="23" s="1"/>
  <c r="D27" i="22"/>
  <c r="F27" i="22" s="1"/>
  <c r="D24" i="22"/>
  <c r="F24" i="22" s="1"/>
  <c r="D21" i="22"/>
  <c r="F21" i="22" s="1"/>
  <c r="D18" i="22"/>
  <c r="F18" i="22" s="1"/>
  <c r="D15" i="22"/>
  <c r="F15" i="22" s="1"/>
  <c r="D18" i="19"/>
  <c r="F18" i="19" s="1"/>
  <c r="D7" i="22"/>
  <c r="F7" i="22" s="1"/>
  <c r="D6" i="22"/>
  <c r="F6" i="22" s="1"/>
  <c r="D6" i="20"/>
  <c r="F6" i="20" s="1"/>
  <c r="D11" i="22"/>
  <c r="F11" i="22" s="1"/>
  <c r="D6" i="19"/>
  <c r="F6" i="19" s="1"/>
  <c r="D12" i="19"/>
  <c r="F12" i="19" s="1"/>
  <c r="D14" i="19"/>
  <c r="F14" i="19" s="1"/>
  <c r="O14" i="19" s="1"/>
  <c r="P14" i="19" s="1"/>
  <c r="E25" i="21" s="1"/>
  <c r="D16" i="19"/>
  <c r="F16" i="19" s="1"/>
  <c r="D10" i="22"/>
  <c r="F10" i="22" s="1"/>
  <c r="D9" i="22"/>
  <c r="F9" i="22" s="1"/>
  <c r="D7" i="19"/>
  <c r="F7" i="19" s="1"/>
  <c r="D8" i="23"/>
  <c r="D13" i="19"/>
  <c r="F13" i="19" s="1"/>
  <c r="D15" i="19"/>
  <c r="F15" i="19" s="1"/>
  <c r="D13" i="22"/>
  <c r="F13" i="22" s="1"/>
  <c r="D12" i="22"/>
  <c r="F12" i="22" s="1"/>
  <c r="D8" i="20"/>
  <c r="D8" i="19"/>
  <c r="F8" i="19" s="1"/>
  <c r="D9" i="19"/>
  <c r="F9" i="19" s="1"/>
  <c r="D8" i="22"/>
  <c r="F8" i="22" s="1"/>
  <c r="D26" i="22"/>
  <c r="F26" i="22" s="1"/>
  <c r="D23" i="22"/>
  <c r="F23" i="22" s="1"/>
  <c r="D20" i="22"/>
  <c r="F20" i="22" s="1"/>
  <c r="D17" i="22"/>
  <c r="F17" i="22" s="1"/>
  <c r="D11" i="19"/>
  <c r="F11" i="19" s="1"/>
  <c r="R29" i="17"/>
  <c r="R34" i="17"/>
  <c r="R24" i="17"/>
  <c r="B82" i="1"/>
  <c r="B74" i="1"/>
  <c r="R22" i="17"/>
  <c r="R28" i="17"/>
  <c r="R44" i="17"/>
  <c r="R18" i="17"/>
  <c r="R43" i="17"/>
  <c r="R14" i="17"/>
  <c r="R25" i="17"/>
  <c r="R33" i="17"/>
  <c r="R35" i="17"/>
  <c r="R15" i="17"/>
  <c r="R30" i="17"/>
  <c r="R31" i="17"/>
  <c r="R17" i="17"/>
  <c r="R46" i="17"/>
  <c r="R16" i="17"/>
  <c r="R38" i="17"/>
  <c r="R26" i="17"/>
  <c r="R39" i="17"/>
  <c r="R23" i="17"/>
  <c r="R19" i="17"/>
  <c r="E100" i="1"/>
  <c r="D76" i="1" s="1"/>
  <c r="R27" i="17"/>
  <c r="R21" i="17"/>
  <c r="R12" i="17"/>
  <c r="B62" i="1"/>
  <c r="B195" i="1" l="1"/>
  <c r="D196" i="1" s="1"/>
  <c r="F196" i="1" s="1"/>
  <c r="D24" i="13"/>
  <c r="I24" i="13" s="1"/>
  <c r="J24" i="13" s="1"/>
  <c r="K24" i="13" s="1"/>
  <c r="D21" i="13"/>
  <c r="I21" i="13" s="1"/>
  <c r="J21" i="13" s="1"/>
  <c r="K21" i="13" s="1"/>
  <c r="R16" i="13"/>
  <c r="O16" i="13"/>
  <c r="D20" i="13"/>
  <c r="I20" i="13" s="1"/>
  <c r="J20" i="13" s="1"/>
  <c r="K20" i="13" s="1"/>
  <c r="D17" i="13"/>
  <c r="I17" i="13" s="1"/>
  <c r="J17" i="13" s="1"/>
  <c r="K17" i="13" s="1"/>
  <c r="D15" i="13"/>
  <c r="I15" i="13" s="1"/>
  <c r="J15" i="13" s="1"/>
  <c r="K15" i="13" s="1"/>
  <c r="D18" i="13"/>
  <c r="I18" i="13" s="1"/>
  <c r="J18" i="13" s="1"/>
  <c r="K18" i="13" s="1"/>
  <c r="D16" i="13"/>
  <c r="I16" i="13" s="1"/>
  <c r="J16" i="13" s="1"/>
  <c r="K16" i="13" s="1"/>
  <c r="R36" i="17"/>
  <c r="O6" i="19"/>
  <c r="P6" i="19" s="1"/>
  <c r="D19" i="13"/>
  <c r="I19" i="13" s="1"/>
  <c r="J19" i="13" s="1"/>
  <c r="K19" i="13" s="1"/>
  <c r="D23" i="13"/>
  <c r="I23" i="13" s="1"/>
  <c r="J23" i="13" s="1"/>
  <c r="K23" i="13" s="1"/>
  <c r="D22" i="13"/>
  <c r="I22" i="13" s="1"/>
  <c r="J22" i="13" s="1"/>
  <c r="K22" i="13" s="1"/>
  <c r="I13" i="13"/>
  <c r="J13" i="13" s="1"/>
  <c r="K13" i="13" s="1"/>
  <c r="R18" i="13"/>
  <c r="O18" i="13"/>
  <c r="R11" i="13"/>
  <c r="O11" i="13"/>
  <c r="R17" i="13"/>
  <c r="O17" i="13"/>
  <c r="R14" i="13"/>
  <c r="O14" i="13"/>
  <c r="R15" i="13"/>
  <c r="O15" i="13"/>
  <c r="R20" i="13"/>
  <c r="O20" i="13"/>
  <c r="R12" i="13"/>
  <c r="O12" i="13"/>
  <c r="I14" i="13"/>
  <c r="J14" i="13" s="1"/>
  <c r="K14" i="13" s="1"/>
  <c r="R19" i="13"/>
  <c r="O19" i="13"/>
  <c r="R13" i="13"/>
  <c r="O13" i="13"/>
  <c r="C96" i="30"/>
  <c r="C97" i="30" s="1"/>
  <c r="D100" i="30" s="1"/>
  <c r="H100" i="30" s="1"/>
  <c r="D40" i="17" a="1"/>
  <c r="D40" i="17" s="1"/>
  <c r="I40" i="17" s="1"/>
  <c r="D45" i="17" a="1"/>
  <c r="D45" i="17" s="1"/>
  <c r="I45" i="17" s="1"/>
  <c r="D38" i="17" a="1"/>
  <c r="D38" i="17" s="1"/>
  <c r="I38" i="17" s="1"/>
  <c r="D37" i="17" a="1"/>
  <c r="D37" i="17" s="1"/>
  <c r="I37" i="17" s="1"/>
  <c r="D36" i="17" a="1"/>
  <c r="D36" i="17" s="1"/>
  <c r="I36" i="17" s="1"/>
  <c r="D41" i="17" a="1"/>
  <c r="D41" i="17" s="1"/>
  <c r="I41" i="17" s="1"/>
  <c r="D34" i="17" a="1"/>
  <c r="D34" i="17" s="1"/>
  <c r="I34" i="17" s="1"/>
  <c r="D39" i="17" a="1"/>
  <c r="D39" i="17" s="1"/>
  <c r="I39" i="17" s="1"/>
  <c r="D44" i="17" a="1"/>
  <c r="D44" i="17" s="1"/>
  <c r="I44" i="17" s="1"/>
  <c r="D32" i="17" a="1"/>
  <c r="D32" i="17" s="1"/>
  <c r="I32" i="17" s="1"/>
  <c r="D31" i="17" a="1"/>
  <c r="D31" i="17" s="1"/>
  <c r="I31" i="17" s="1"/>
  <c r="D30" i="17" a="1"/>
  <c r="D30" i="17" s="1"/>
  <c r="I30" i="17" s="1"/>
  <c r="D35" i="17" a="1"/>
  <c r="D35" i="17" s="1"/>
  <c r="I35" i="17" s="1"/>
  <c r="D28" i="17" a="1"/>
  <c r="D28" i="17" s="1"/>
  <c r="I28" i="17" s="1"/>
  <c r="J28" i="17" s="1"/>
  <c r="D33" i="17" a="1"/>
  <c r="D33" i="17" s="1"/>
  <c r="I33" i="17" s="1"/>
  <c r="D42" i="17" a="1"/>
  <c r="D42" i="17" s="1"/>
  <c r="I42" i="17" s="1"/>
  <c r="D26" i="17" a="1"/>
  <c r="D26" i="17" s="1"/>
  <c r="I26" i="17" s="1"/>
  <c r="D25" i="17" a="1"/>
  <c r="D25" i="17" s="1"/>
  <c r="I25" i="17" s="1"/>
  <c r="D24" i="17" a="1"/>
  <c r="D24" i="17" s="1"/>
  <c r="I24" i="17" s="1"/>
  <c r="D29" i="17" a="1"/>
  <c r="D29" i="17" s="1"/>
  <c r="I29" i="17" s="1"/>
  <c r="D22" i="17" a="1"/>
  <c r="D22" i="17" s="1"/>
  <c r="I22" i="17" s="1"/>
  <c r="D27" i="17" a="1"/>
  <c r="D27" i="17" s="1"/>
  <c r="I27" i="17" s="1"/>
  <c r="D43" i="17" a="1"/>
  <c r="D43" i="17" s="1"/>
  <c r="I43" i="17" s="1"/>
  <c r="D20" i="17" a="1"/>
  <c r="D20" i="17" s="1"/>
  <c r="I20" i="17" s="1"/>
  <c r="D19" i="17" a="1"/>
  <c r="D19" i="17" s="1"/>
  <c r="I19" i="17" s="1"/>
  <c r="D18" i="17" a="1"/>
  <c r="D18" i="17" s="1"/>
  <c r="I18" i="17" s="1"/>
  <c r="D23" i="17" a="1"/>
  <c r="D23" i="17" s="1"/>
  <c r="I23" i="17" s="1"/>
  <c r="D16" i="17" a="1"/>
  <c r="D16" i="17" s="1"/>
  <c r="I16" i="17" s="1"/>
  <c r="D21" i="17" a="1"/>
  <c r="D21" i="17" s="1"/>
  <c r="I21" i="17" s="1"/>
  <c r="D17" i="17" a="1"/>
  <c r="D17" i="17" s="1"/>
  <c r="I17" i="17" s="1"/>
  <c r="D46" i="17" a="1"/>
  <c r="D46" i="17" s="1"/>
  <c r="I46" i="17" s="1"/>
  <c r="B94" i="1"/>
  <c r="E49" i="31"/>
  <c r="C51" i="31"/>
  <c r="C52" i="31" s="1"/>
  <c r="D55" i="31" s="1"/>
  <c r="H55" i="31" s="1"/>
  <c r="E31" i="31"/>
  <c r="C33" i="31"/>
  <c r="C34" i="31" s="1"/>
  <c r="D37" i="31" s="1"/>
  <c r="H37" i="31" s="1"/>
  <c r="O12" i="22"/>
  <c r="P12" i="22" s="1"/>
  <c r="J11" i="17"/>
  <c r="S11" i="17" s="1"/>
  <c r="O9" i="22"/>
  <c r="P9" i="22" s="1"/>
  <c r="O7" i="22"/>
  <c r="P7" i="22" s="1"/>
  <c r="O10" i="22"/>
  <c r="P10" i="22" s="1"/>
  <c r="O19" i="22"/>
  <c r="P19" i="22" s="1"/>
  <c r="E31" i="24" s="1"/>
  <c r="O11" i="22"/>
  <c r="P11" i="22" s="1"/>
  <c r="O17" i="19"/>
  <c r="P17" i="19" s="1"/>
  <c r="E24" i="21" s="1"/>
  <c r="X6" i="23"/>
  <c r="O26" i="22"/>
  <c r="P26" i="22" s="1"/>
  <c r="E28" i="24" s="1"/>
  <c r="O6" i="22"/>
  <c r="P6" i="22" s="1"/>
  <c r="W8" i="23"/>
  <c r="J13" i="17"/>
  <c r="S13" i="17" s="1"/>
  <c r="O18" i="19"/>
  <c r="P18" i="19" s="1"/>
  <c r="E26" i="21" s="1"/>
  <c r="F25" i="21" s="1"/>
  <c r="O25" i="21" s="1"/>
  <c r="O8" i="22"/>
  <c r="P8" i="22" s="1"/>
  <c r="O9" i="19"/>
  <c r="P9" i="19" s="1"/>
  <c r="O20" i="22"/>
  <c r="P20" i="22" s="1"/>
  <c r="E33" i="24" s="1"/>
  <c r="O14" i="22"/>
  <c r="P14" i="22" s="1"/>
  <c r="E21" i="24" s="1"/>
  <c r="R13" i="17"/>
  <c r="O18" i="22"/>
  <c r="P18" i="22" s="1"/>
  <c r="R8" i="23" s="1"/>
  <c r="O28" i="22"/>
  <c r="P28" i="22" s="1"/>
  <c r="E32" i="24" s="1"/>
  <c r="O15" i="19"/>
  <c r="P15" i="19" s="1"/>
  <c r="E20" i="21" s="1"/>
  <c r="D82" i="1"/>
  <c r="B83" i="1" s="1"/>
  <c r="O11" i="19"/>
  <c r="P11" i="19" s="1"/>
  <c r="E19" i="21" s="1"/>
  <c r="O13" i="19"/>
  <c r="P13" i="19" s="1"/>
  <c r="R6" i="20" s="1"/>
  <c r="O7" i="19"/>
  <c r="P7" i="19" s="1"/>
  <c r="O27" i="22"/>
  <c r="P27" i="22" s="1"/>
  <c r="E30" i="24" s="1"/>
  <c r="O8" i="19"/>
  <c r="P8" i="19" s="1"/>
  <c r="O15" i="22"/>
  <c r="P15" i="22" s="1"/>
  <c r="E23" i="24" s="1"/>
  <c r="O25" i="22"/>
  <c r="P25" i="22" s="1"/>
  <c r="E26" i="24" s="1"/>
  <c r="O23" i="22"/>
  <c r="P23" i="22" s="1"/>
  <c r="E22" i="24" s="1"/>
  <c r="O10" i="19"/>
  <c r="P10" i="19" s="1"/>
  <c r="E17" i="21" s="1"/>
  <c r="J34" i="17"/>
  <c r="P6" i="20"/>
  <c r="O21" i="22"/>
  <c r="P21" i="22" s="1"/>
  <c r="E18" i="24" s="1"/>
  <c r="O13" i="22"/>
  <c r="P13" i="22" s="1"/>
  <c r="E19" i="24" s="1"/>
  <c r="O16" i="19"/>
  <c r="P16" i="19" s="1"/>
  <c r="E22" i="21" s="1"/>
  <c r="O24" i="22"/>
  <c r="P24" i="22" s="1"/>
  <c r="E24" i="24" s="1"/>
  <c r="O16" i="22"/>
  <c r="P16" i="22" s="1"/>
  <c r="E25" i="24" s="1"/>
  <c r="J40" i="17"/>
  <c r="O17" i="22"/>
  <c r="P17" i="22" s="1"/>
  <c r="E27" i="24" s="1"/>
  <c r="O12" i="19"/>
  <c r="P12" i="19" s="1"/>
  <c r="E21" i="21" s="1"/>
  <c r="P6" i="23"/>
  <c r="O22" i="22"/>
  <c r="P22" i="22" s="1"/>
  <c r="E20" i="24" s="1"/>
  <c r="R20" i="17"/>
  <c r="J15" i="17"/>
  <c r="S15" i="17" s="1"/>
  <c r="R41" i="17"/>
  <c r="R42" i="17"/>
  <c r="R8" i="20"/>
  <c r="B172" i="1"/>
  <c r="B173" i="1" s="1"/>
  <c r="R37" i="17"/>
  <c r="J14" i="17"/>
  <c r="S14" i="17" s="1"/>
  <c r="R32" i="17"/>
  <c r="R40" i="17"/>
  <c r="R45" i="17"/>
  <c r="R11" i="17"/>
  <c r="D84" i="1"/>
  <c r="J12" i="17"/>
  <c r="S12" i="17" s="1"/>
  <c r="D107" i="1"/>
  <c r="D74" i="1"/>
  <c r="B75" i="1" s="1"/>
  <c r="D113" i="1"/>
  <c r="B197" i="1" l="1"/>
  <c r="B198" i="1" s="1"/>
  <c r="J18" i="17"/>
  <c r="S18" i="17"/>
  <c r="J29" i="17"/>
  <c r="K29" i="17" s="1"/>
  <c r="AC29" i="17" s="1"/>
  <c r="J46" i="17"/>
  <c r="S46" i="17" s="1"/>
  <c r="J19" i="17"/>
  <c r="S19" i="17" s="1"/>
  <c r="J24" i="17"/>
  <c r="S24" i="17" s="1"/>
  <c r="J35" i="17"/>
  <c r="S35" i="17"/>
  <c r="S34" i="17"/>
  <c r="S40" i="17"/>
  <c r="J45" i="17"/>
  <c r="S45" i="17" s="1"/>
  <c r="J17" i="17"/>
  <c r="S17" i="17" s="1"/>
  <c r="J20" i="17"/>
  <c r="K20" i="17" s="1"/>
  <c r="AC20" i="17" s="1"/>
  <c r="S20" i="17"/>
  <c r="J25" i="17"/>
  <c r="S25" i="17" s="1"/>
  <c r="J30" i="17"/>
  <c r="K30" i="17" s="1"/>
  <c r="AC30" i="17" s="1"/>
  <c r="J41" i="17"/>
  <c r="S41" i="17" s="1"/>
  <c r="J21" i="17"/>
  <c r="S21" i="17" s="1"/>
  <c r="J43" i="17"/>
  <c r="S43" i="17" s="1"/>
  <c r="J26" i="17"/>
  <c r="K26" i="17" s="1"/>
  <c r="AC26" i="17" s="1"/>
  <c r="S26" i="17"/>
  <c r="J31" i="17"/>
  <c r="K31" i="17" s="1"/>
  <c r="AC31" i="17" s="1"/>
  <c r="S31" i="17"/>
  <c r="J36" i="17"/>
  <c r="S36" i="17" s="1"/>
  <c r="G196" i="1"/>
  <c r="S28" i="17"/>
  <c r="J39" i="17"/>
  <c r="S39" i="17" s="1"/>
  <c r="J16" i="17"/>
  <c r="S16" i="17" s="1"/>
  <c r="J27" i="17"/>
  <c r="S27" i="17" s="1"/>
  <c r="J42" i="17"/>
  <c r="S42" i="17" s="1"/>
  <c r="J32" i="17"/>
  <c r="S32" i="17" s="1"/>
  <c r="J37" i="17"/>
  <c r="S37" i="17" s="1"/>
  <c r="J23" i="17"/>
  <c r="K23" i="17" s="1"/>
  <c r="AC23" i="17" s="1"/>
  <c r="J22" i="17"/>
  <c r="S22" i="17" s="1"/>
  <c r="J33" i="17"/>
  <c r="K33" i="17" s="1"/>
  <c r="AC33" i="17" s="1"/>
  <c r="J44" i="17"/>
  <c r="S44" i="17"/>
  <c r="J38" i="17"/>
  <c r="S38" i="17" s="1"/>
  <c r="G176" i="1"/>
  <c r="D173" i="1"/>
  <c r="G177" i="1"/>
  <c r="H177" i="1" s="1"/>
  <c r="I177" i="1" s="1"/>
  <c r="J177" i="1" s="1"/>
  <c r="B101" i="1"/>
  <c r="B100" i="1"/>
  <c r="B103" i="1"/>
  <c r="B102" i="1"/>
  <c r="K40" i="17"/>
  <c r="AC40" i="17" s="1"/>
  <c r="K12" i="17"/>
  <c r="AC12" i="17" s="1"/>
  <c r="K14" i="17"/>
  <c r="AC14" i="17" s="1"/>
  <c r="K28" i="17"/>
  <c r="AC28" i="17" s="1"/>
  <c r="K18" i="17"/>
  <c r="AC18" i="17" s="1"/>
  <c r="K34" i="17"/>
  <c r="AC34" i="17" s="1"/>
  <c r="K13" i="17"/>
  <c r="AC13" i="17" s="1"/>
  <c r="K44" i="17"/>
  <c r="AC44" i="17" s="1"/>
  <c r="K35" i="17"/>
  <c r="AC35" i="17" s="1"/>
  <c r="K15" i="17"/>
  <c r="AC15" i="17" s="1"/>
  <c r="K46" i="17"/>
  <c r="AC46" i="17" s="1"/>
  <c r="K11" i="17"/>
  <c r="AC11" i="17" s="1"/>
  <c r="R6" i="23"/>
  <c r="S6" i="23" s="1"/>
  <c r="F30" i="24"/>
  <c r="E29" i="24"/>
  <c r="F28" i="24" s="1"/>
  <c r="F32" i="24"/>
  <c r="F19" i="21"/>
  <c r="O19" i="21" s="1"/>
  <c r="E23" i="21"/>
  <c r="F23" i="21" s="1"/>
  <c r="O23" i="21" s="1"/>
  <c r="F18" i="24"/>
  <c r="F22" i="24"/>
  <c r="F20" i="24"/>
  <c r="F24" i="24"/>
  <c r="F21" i="21"/>
  <c r="O21" i="21" s="1"/>
  <c r="F26" i="24"/>
  <c r="F17" i="21"/>
  <c r="O17" i="21" s="1"/>
  <c r="T8" i="23"/>
  <c r="S8" i="23"/>
  <c r="T8" i="20"/>
  <c r="S8" i="20"/>
  <c r="T6" i="20"/>
  <c r="S6" i="20"/>
  <c r="K43" i="17" l="1"/>
  <c r="AC43" i="17" s="1"/>
  <c r="S33" i="17"/>
  <c r="K39" i="17"/>
  <c r="AC39" i="17" s="1"/>
  <c r="K27" i="17"/>
  <c r="AC27" i="17" s="1"/>
  <c r="K21" i="17"/>
  <c r="AC21" i="17" s="1"/>
  <c r="K16" i="17"/>
  <c r="AC16" i="17" s="1"/>
  <c r="K37" i="17"/>
  <c r="AC37" i="17" s="1"/>
  <c r="K17" i="17"/>
  <c r="AC17" i="17" s="1"/>
  <c r="K24" i="17"/>
  <c r="AC24" i="17" s="1"/>
  <c r="K45" i="17"/>
  <c r="AC45" i="17" s="1"/>
  <c r="K41" i="17"/>
  <c r="AC41" i="17" s="1"/>
  <c r="K42" i="17"/>
  <c r="AC42" i="17" s="1"/>
  <c r="S23" i="17"/>
  <c r="S30" i="17"/>
  <c r="K19" i="17"/>
  <c r="AC19" i="17" s="1"/>
  <c r="K22" i="17"/>
  <c r="AC22" i="17" s="1"/>
  <c r="C100" i="1"/>
  <c r="B104" i="1"/>
  <c r="K25" i="17"/>
  <c r="AC25" i="17" s="1"/>
  <c r="S29" i="17"/>
  <c r="C102" i="1"/>
  <c r="B110" i="1"/>
  <c r="K36" i="17"/>
  <c r="AC36" i="17" s="1"/>
  <c r="K32" i="17"/>
  <c r="AC32" i="17" s="1"/>
  <c r="K38" i="17"/>
  <c r="AC38" i="17" s="1"/>
  <c r="E173" i="1"/>
  <c r="F173" i="1" s="1"/>
  <c r="F174" i="1"/>
  <c r="H176" i="1"/>
  <c r="I176" i="1" s="1"/>
  <c r="J176" i="1" s="1"/>
  <c r="T6" i="23"/>
  <c r="B111" i="1" l="1"/>
  <c r="D111" i="1" s="1"/>
  <c r="B105" i="1"/>
  <c r="D105" i="1" s="1"/>
  <c r="B106" i="1" s="1"/>
  <c r="M10" i="35"/>
  <c r="R10" i="35" s="1"/>
  <c r="T10" i="35" s="1"/>
  <c r="V10" i="35" s="1"/>
  <c r="X10" i="35" l="1"/>
  <c r="AD10" i="35" l="1"/>
  <c r="AF10" i="35" s="1"/>
  <c r="N10" i="35"/>
  <c r="S10" i="35" l="1"/>
  <c r="U10" i="35" s="1"/>
  <c r="W10" i="35" l="1"/>
  <c r="Y10" i="35"/>
  <c r="AE10" i="35" s="1"/>
  <c r="AH10" i="35" s="1"/>
  <c r="AJ10" i="35"/>
  <c r="BG10" i="35" s="1"/>
  <c r="F131" i="37" l="1"/>
  <c r="F131" i="44"/>
  <c r="F131" i="42"/>
  <c r="F131" i="43"/>
  <c r="F132" i="44"/>
  <c r="F132" i="43"/>
  <c r="F132" i="37"/>
  <c r="F132" i="42"/>
  <c r="F133" i="43"/>
  <c r="F133" i="44"/>
  <c r="F133" i="42"/>
  <c r="F133" i="37"/>
  <c r="J131" i="44"/>
  <c r="J131" i="43"/>
  <c r="J131" i="42"/>
  <c r="J131" i="37"/>
  <c r="J132" i="37"/>
  <c r="J132" i="43"/>
  <c r="J132" i="44"/>
  <c r="J132" i="4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5121D2-A6E0-4C0F-9FFD-82F718A7A110}" keepAlive="1" name="Query - KY HIEU O SAN 2" description="Connection to the 'KY HIEU O SAN 2' query in the workbook." type="5" refreshedVersion="6" background="1">
    <dbPr connection="Provider=Microsoft.Mashup.OleDb.1;Data Source=$Workbook$;Location=KY HIEU O SAN 2;Extended Properties=&quot;&quot;" command="SELECT * FROM [KY HIEU O SAN 2]"/>
  </connection>
  <connection id="2" xr16:uid="{DF687F01-7F58-4C86-9DED-975B3550BE12}" keepAlive="1" name="Query - KY HIEU O SAN 2 (2)" description="Connection to the 'KY HIEU O SAN 2 (2)' query in the workbook." type="5" refreshedVersion="6" background="1" saveData="1">
    <dbPr connection="Provider=Microsoft.Mashup.OleDb.1;Data Source=$Workbook$;Location=&quot;KY HIEU O SAN 2 (2)&quot;;Extended Properties=&quot;&quot;" command="SELECT * FROM [KY HIEU O SAN 2 (2)]"/>
  </connection>
</connections>
</file>

<file path=xl/sharedStrings.xml><?xml version="1.0" encoding="utf-8"?>
<sst xmlns="http://schemas.openxmlformats.org/spreadsheetml/2006/main" count="4643" uniqueCount="1480">
  <si>
    <t>Tên công trình:</t>
  </si>
  <si>
    <t>Số tầng:</t>
  </si>
  <si>
    <t>Diện tích xây dựng</t>
  </si>
  <si>
    <t>m2</t>
  </si>
  <si>
    <t>tầng</t>
  </si>
  <si>
    <t>Cao độ mỗi tầng:</t>
  </si>
  <si>
    <t>m</t>
  </si>
  <si>
    <t>Tầng 2</t>
  </si>
  <si>
    <t>Tầng 1</t>
  </si>
  <si>
    <t>Tầng trệt</t>
  </si>
  <si>
    <t>Mái</t>
  </si>
  <si>
    <t>Chiều cao công trình</t>
  </si>
  <si>
    <t>Cấu tạo sàn</t>
  </si>
  <si>
    <r>
      <t>g</t>
    </r>
    <r>
      <rPr>
        <b/>
        <vertAlign val="superscript"/>
        <sz val="13"/>
        <color rgb="FF000000"/>
        <rFont val="Times New Roman"/>
        <family val="1"/>
      </rPr>
      <t>tc</t>
    </r>
  </si>
  <si>
    <t>n</t>
  </si>
  <si>
    <t>Lớp gạch ceramic</t>
  </si>
  <si>
    <t>Lớp vữa lót +tạo dốc</t>
  </si>
  <si>
    <t>Lớp sàn BTCT</t>
  </si>
  <si>
    <t>Lớp chống thấm</t>
  </si>
  <si>
    <t>Lớp vữa trát trần</t>
  </si>
  <si>
    <t>Hệ thống kỹ thuật</t>
  </si>
  <si>
    <t xml:space="preserve">Tổng tĩnh tải </t>
  </si>
  <si>
    <t>Bảng 0‑2: Trọng lượng bản thân sàn khu vệ sinh</t>
  </si>
  <si>
    <t>Các lớp cấu tạo sàn</t>
  </si>
  <si>
    <r>
      <t>h</t>
    </r>
    <r>
      <rPr>
        <b/>
        <vertAlign val="subscript"/>
        <sz val="13"/>
        <color rgb="FF000000"/>
        <rFont val="Times New Roman"/>
        <family val="1"/>
      </rPr>
      <t>i</t>
    </r>
    <r>
      <rPr>
        <b/>
        <sz val="13"/>
        <color rgb="FF000000"/>
        <rFont val="Times New Roman"/>
        <family val="1"/>
      </rPr>
      <t>( mm )</t>
    </r>
  </si>
  <si>
    <r>
      <t>g</t>
    </r>
    <r>
      <rPr>
        <b/>
        <vertAlign val="subscript"/>
        <sz val="13"/>
        <color rgb="FF000000"/>
        <rFont val="Times New Roman"/>
        <family val="1"/>
      </rPr>
      <t>bt</t>
    </r>
    <r>
      <rPr>
        <b/>
        <vertAlign val="superscript"/>
        <sz val="13"/>
        <color rgb="FF000000"/>
        <rFont val="Times New Roman"/>
        <family val="1"/>
      </rPr>
      <t>tt</t>
    </r>
    <r>
      <rPr>
        <b/>
        <sz val="13"/>
        <color rgb="FF000000"/>
        <rFont val="Times New Roman"/>
        <family val="1"/>
      </rPr>
      <t xml:space="preserve"> </t>
    </r>
  </si>
  <si>
    <t>Lớp vữa lót</t>
  </si>
  <si>
    <t>Bảng 0‑1: Trọng lượng bản thân sàn phòng làm việc, hành lang</t>
  </si>
  <si>
    <t>Sử dụng cốt thép nhóm CB300-T (</t>
  </si>
  <si>
    <t>) với các thông số kĩ thuật:</t>
  </si>
  <si>
    <r>
      <t>+</t>
    </r>
    <r>
      <rPr>
        <sz val="7"/>
        <color theme="1"/>
        <rFont val="Times New Roman"/>
        <family val="1"/>
      </rPr>
      <t xml:space="preserve">    </t>
    </r>
    <r>
      <rPr>
        <sz val="13"/>
        <color theme="1"/>
        <rFont val="Times New Roman"/>
        <family val="1"/>
      </rPr>
      <t xml:space="preserve">Cường độ tính toán chịu nén, kéo: </t>
    </r>
  </si>
  <si>
    <t>.</t>
  </si>
  <si>
    <r>
      <t>+</t>
    </r>
    <r>
      <rPr>
        <sz val="7"/>
        <color theme="1"/>
        <rFont val="Times New Roman"/>
        <family val="1"/>
      </rPr>
      <t xml:space="preserve">    </t>
    </r>
    <r>
      <rPr>
        <sz val="13"/>
        <color theme="1"/>
        <rFont val="Times New Roman"/>
        <family val="1"/>
      </rPr>
      <t xml:space="preserve">Cường độ tính toán chịu kéo cho cốt đai: </t>
    </r>
  </si>
  <si>
    <r>
      <t>+</t>
    </r>
    <r>
      <rPr>
        <sz val="7"/>
        <color theme="1"/>
        <rFont val="Times New Roman"/>
        <family val="1"/>
      </rPr>
      <t xml:space="preserve">    </t>
    </r>
    <r>
      <rPr>
        <sz val="13"/>
        <color theme="1"/>
        <rFont val="Times New Roman"/>
        <family val="1"/>
      </rPr>
      <t xml:space="preserve">Modul đàn hồi: </t>
    </r>
  </si>
  <si>
    <t>Sử dụng cốt thép nhóm CB300-V (</t>
  </si>
  <si>
    <t>) với các thông số kỹ thuật:</t>
  </si>
  <si>
    <t xml:space="preserve">Cường độ tính toán chịu nén, kéo: </t>
  </si>
  <si>
    <t xml:space="preserve">Cường độ tính toán chịu kéo cho cốt đai: </t>
  </si>
  <si>
    <t xml:space="preserve">Modul đàn hồi: </t>
  </si>
  <si>
    <t>Sử dụng cốt thép nhóm CB400-V (</t>
  </si>
  <si>
    <r>
      <t xml:space="preserve">Bê tông dùng trong nhà cao tầng có cấp độ bền từ </t>
    </r>
    <r>
      <rPr>
        <sz val="13"/>
        <color rgb="FFFF0000"/>
        <rFont val="Times New Roman"/>
        <family val="1"/>
      </rPr>
      <t>B25</t>
    </r>
  </si>
  <si>
    <t>B60.</t>
  </si>
  <si>
    <t>Dựa vào đặc điểm của công trình và khả năng chế tạo vật liệu ta chọn bê tông để sử dụng cấp độ bền B25 với các thông số kỹ thuật như:</t>
  </si>
  <si>
    <r>
      <t>+</t>
    </r>
    <r>
      <rPr>
        <sz val="7"/>
        <color theme="1"/>
        <rFont val="Times New Roman"/>
        <family val="1"/>
      </rPr>
      <t xml:space="preserve">    </t>
    </r>
    <r>
      <rPr>
        <sz val="13"/>
        <color theme="1"/>
        <rFont val="Times New Roman"/>
        <family val="1"/>
      </rPr>
      <t xml:space="preserve">Cường độ tính toán chịu nén: </t>
    </r>
  </si>
  <si>
    <r>
      <t>+</t>
    </r>
    <r>
      <rPr>
        <sz val="7"/>
        <color theme="1"/>
        <rFont val="Times New Roman"/>
        <family val="1"/>
      </rPr>
      <t xml:space="preserve">    </t>
    </r>
    <r>
      <rPr>
        <sz val="13"/>
        <color theme="1"/>
        <rFont val="Times New Roman"/>
        <family val="1"/>
      </rPr>
      <t xml:space="preserve">Cường độ tính toán chịu kéo: </t>
    </r>
  </si>
  <si>
    <t>Bảng 0‑3: Trọng lượng bản thân sàn trệt</t>
  </si>
  <si>
    <t>Các lớp hoàn thiện sàn và trần</t>
  </si>
  <si>
    <t>- Gạch Ceramic</t>
  </si>
  <si>
    <t>- Vữa lát nền</t>
  </si>
  <si>
    <t>- Vữa lát trần</t>
  </si>
  <si>
    <t>TT</t>
  </si>
  <si>
    <t>Loại tường</t>
  </si>
  <si>
    <r>
      <t>B</t>
    </r>
    <r>
      <rPr>
        <b/>
        <vertAlign val="subscript"/>
        <sz val="13"/>
        <color rgb="FF000000"/>
        <rFont val="Times New Roman"/>
        <family val="1"/>
      </rPr>
      <t>t</t>
    </r>
  </si>
  <si>
    <r>
      <t>L</t>
    </r>
    <r>
      <rPr>
        <b/>
        <vertAlign val="subscript"/>
        <sz val="13"/>
        <color rgb="FF000000"/>
        <rFont val="Times New Roman"/>
        <family val="1"/>
      </rPr>
      <t>t</t>
    </r>
  </si>
  <si>
    <r>
      <t>H</t>
    </r>
    <r>
      <rPr>
        <b/>
        <vertAlign val="subscript"/>
        <sz val="13"/>
        <color rgb="FF000000"/>
        <rFont val="Times New Roman"/>
        <family val="1"/>
      </rPr>
      <t>t</t>
    </r>
  </si>
  <si>
    <r>
      <t>S</t>
    </r>
    <r>
      <rPr>
        <b/>
        <vertAlign val="subscript"/>
        <sz val="13"/>
        <color rgb="FF000000"/>
        <rFont val="Times New Roman"/>
        <family val="1"/>
      </rPr>
      <t>s</t>
    </r>
  </si>
  <si>
    <r>
      <t>g</t>
    </r>
    <r>
      <rPr>
        <b/>
        <vertAlign val="subscript"/>
        <sz val="13"/>
        <color rgb="FF000000"/>
        <rFont val="Times New Roman"/>
        <family val="1"/>
      </rPr>
      <t>t</t>
    </r>
    <r>
      <rPr>
        <b/>
        <vertAlign val="superscript"/>
        <sz val="13"/>
        <color rgb="FF000000"/>
        <rFont val="Times New Roman"/>
        <family val="1"/>
      </rPr>
      <t>tc</t>
    </r>
  </si>
  <si>
    <r>
      <t>g</t>
    </r>
    <r>
      <rPr>
        <b/>
        <vertAlign val="subscript"/>
        <sz val="13"/>
        <color rgb="FF000000"/>
        <rFont val="Times New Roman"/>
        <family val="1"/>
      </rPr>
      <t>t</t>
    </r>
    <r>
      <rPr>
        <b/>
        <vertAlign val="superscript"/>
        <sz val="13"/>
        <color rgb="FF000000"/>
        <rFont val="Times New Roman"/>
        <family val="1"/>
      </rPr>
      <t>tt</t>
    </r>
  </si>
  <si>
    <t>(m)</t>
  </si>
  <si>
    <r>
      <t>(</t>
    </r>
    <r>
      <rPr>
        <b/>
        <sz val="13"/>
        <color rgb="FF000000"/>
        <rFont val="Times New Roman"/>
        <family val="1"/>
      </rPr>
      <t>m)</t>
    </r>
  </si>
  <si>
    <r>
      <t>(m</t>
    </r>
    <r>
      <rPr>
        <b/>
        <vertAlign val="superscript"/>
        <sz val="13"/>
        <color rgb="FF000000"/>
        <rFont val="Times New Roman"/>
        <family val="1"/>
      </rPr>
      <t>2</t>
    </r>
    <r>
      <rPr>
        <b/>
        <sz val="13"/>
        <color rgb="FF000000"/>
        <rFont val="Times New Roman"/>
        <family val="1"/>
      </rPr>
      <t>)</t>
    </r>
  </si>
  <si>
    <t>Tường 100</t>
  </si>
  <si>
    <t>số lẻ thập phân</t>
  </si>
  <si>
    <t>Chức năng phòng</t>
  </si>
  <si>
    <t>Hành lang, sảnh</t>
  </si>
  <si>
    <t>Nhà vệ sinh</t>
  </si>
  <si>
    <t>Phòng làm việc</t>
  </si>
  <si>
    <t>Cầu thang</t>
  </si>
  <si>
    <t>Bảng 0‑6: Hoạt tải theo bảng 3 TCVN 2737-1995</t>
  </si>
  <si>
    <t>Ngày thực hiện luận văn</t>
  </si>
  <si>
    <t>ngày 02 tháng 07 năm 2020</t>
  </si>
  <si>
    <t>Địa điểm:</t>
  </si>
  <si>
    <t>Đặc điểm công trình:</t>
  </si>
  <si>
    <t>1 tầng trệt, 2 tầng lầu</t>
  </si>
  <si>
    <t>Cấp công trình</t>
  </si>
  <si>
    <t xml:space="preserve">Tổng diện tích </t>
  </si>
  <si>
    <t>Trong đó:</t>
  </si>
  <si>
    <t>Chiều cao nèn từ tầng trệt:</t>
  </si>
  <si>
    <t>Sàn lầu 1</t>
  </si>
  <si>
    <t>Trần lầu 2</t>
  </si>
  <si>
    <t>mái</t>
  </si>
  <si>
    <t>BÊ TÔNG:</t>
  </si>
  <si>
    <t>Cấp độ bền</t>
  </si>
  <si>
    <t>B25</t>
  </si>
  <si>
    <t>Cường độ tính toán chịu nén</t>
  </si>
  <si>
    <t>Cường độ tính toán chịu kéo</t>
  </si>
  <si>
    <t>Modul đàn hồi</t>
  </si>
  <si>
    <t>Cốt thép</t>
  </si>
  <si>
    <t>Loại thép</t>
  </si>
  <si>
    <t xml:space="preserve">CB300-T </t>
  </si>
  <si>
    <t>Cường độ tính toán chịu nén, kéo</t>
  </si>
  <si>
    <t>Cường độ tính toán chịu kéo cho cốt đai</t>
  </si>
  <si>
    <t>Mpa</t>
  </si>
  <si>
    <t xml:space="preserve">CB300-V </t>
  </si>
  <si>
    <t xml:space="preserve">CB400-V </t>
  </si>
  <si>
    <t>γ</t>
  </si>
  <si>
    <t>HANDLE</t>
  </si>
  <si>
    <t>BLOCKNAME</t>
  </si>
  <si>
    <t>KH_O_SAN</t>
  </si>
  <si>
    <t>L1</t>
  </si>
  <si>
    <t>L2</t>
  </si>
  <si>
    <t>S2</t>
  </si>
  <si>
    <t>S3</t>
  </si>
  <si>
    <t>S1</t>
  </si>
  <si>
    <t>S6</t>
  </si>
  <si>
    <t>S5</t>
  </si>
  <si>
    <t>S4</t>
  </si>
  <si>
    <t>S7</t>
  </si>
  <si>
    <t>S8</t>
  </si>
  <si>
    <t>S10</t>
  </si>
  <si>
    <t>S9</t>
  </si>
  <si>
    <t>S</t>
  </si>
  <si>
    <t>Ô sàn lớn nhất</t>
  </si>
  <si>
    <t>PHƯƠNG PHÁP TÍNH TOÁN</t>
  </si>
  <si>
    <t>Kích thước sơ bộ của sàn</t>
  </si>
  <si>
    <t>Kích thước ô bản chọn</t>
  </si>
  <si>
    <t>L1 chọn</t>
  </si>
  <si>
    <t>L2 chọn</t>
  </si>
  <si>
    <t>STT</t>
  </si>
  <si>
    <t>'2A7A57</t>
  </si>
  <si>
    <t>*U3740</t>
  </si>
  <si>
    <t>'2A7FF5</t>
  </si>
  <si>
    <t>'2A9557</t>
  </si>
  <si>
    <t>'2A957F</t>
  </si>
  <si>
    <t>'2A97CF</t>
  </si>
  <si>
    <t>'2A97F7</t>
  </si>
  <si>
    <t>'2A78A8</t>
  </si>
  <si>
    <t>*U3778</t>
  </si>
  <si>
    <t>'2A7AA7</t>
  </si>
  <si>
    <t>*U3750</t>
  </si>
  <si>
    <t>'2A7F58</t>
  </si>
  <si>
    <t>'2A803F</t>
  </si>
  <si>
    <t>'2A96F1</t>
  </si>
  <si>
    <t>*U3794</t>
  </si>
  <si>
    <t>'2A78F8</t>
  </si>
  <si>
    <t>*U3774</t>
  </si>
  <si>
    <t>'2A7FA5</t>
  </si>
  <si>
    <t>'2A962D</t>
  </si>
  <si>
    <t>'2A9761</t>
  </si>
  <si>
    <t>'2A7A2F</t>
  </si>
  <si>
    <t>*U3736</t>
  </si>
  <si>
    <t>'2A7FCD</t>
  </si>
  <si>
    <t>'2A7EE8</t>
  </si>
  <si>
    <t>*U3786</t>
  </si>
  <si>
    <t>'2A7ACF</t>
  </si>
  <si>
    <t>*U3754</t>
  </si>
  <si>
    <t>'2A8067</t>
  </si>
  <si>
    <t>'2A7B47</t>
  </si>
  <si>
    <t>*U3766</t>
  </si>
  <si>
    <t>'2A7EC0</t>
  </si>
  <si>
    <t>'2A7AF7</t>
  </si>
  <si>
    <t>*U3758</t>
  </si>
  <si>
    <t>'2A808F</t>
  </si>
  <si>
    <t>'2A9655</t>
  </si>
  <si>
    <t>*U3792</t>
  </si>
  <si>
    <t>'2A978F</t>
  </si>
  <si>
    <t>hệ số phụ thuộc tải trọng</t>
  </si>
  <si>
    <t>hs</t>
  </si>
  <si>
    <t>mm</t>
  </si>
  <si>
    <t>Chọn kích thước sơ bộ cho dầm</t>
  </si>
  <si>
    <t>Dầm chính</t>
  </si>
  <si>
    <t>hd1</t>
  </si>
  <si>
    <t>hd2</t>
  </si>
  <si>
    <t>hd chọn</t>
  </si>
  <si>
    <t>bd1</t>
  </si>
  <si>
    <t>bd2</t>
  </si>
  <si>
    <t>bd chọn</t>
  </si>
  <si>
    <t>Kích thước dầm chính chọn</t>
  </si>
  <si>
    <t>Dầm phụ</t>
  </si>
  <si>
    <t>Kích thước dầm phụ chọn</t>
  </si>
  <si>
    <t>h chọn</t>
  </si>
  <si>
    <t>a=</t>
  </si>
  <si>
    <t>h0=</t>
  </si>
  <si>
    <t>Tính thép sàn</t>
  </si>
  <si>
    <t>Bản sàn 1 phương</t>
  </si>
  <si>
    <t>l2</t>
  </si>
  <si>
    <t>l1</t>
  </si>
  <si>
    <t>α</t>
  </si>
  <si>
    <t>Tên sàn chọn</t>
  </si>
  <si>
    <t>Ô sàn 1 phương chọn</t>
  </si>
  <si>
    <t>L1_</t>
  </si>
  <si>
    <t>L2_</t>
  </si>
  <si>
    <t>Tên Ô Sàn</t>
  </si>
  <si>
    <t>Tên Ô Sàn chọn</t>
  </si>
  <si>
    <t>CI (AI)</t>
  </si>
  <si>
    <t>CII(AII)</t>
  </si>
  <si>
    <t>CIII(AIII)</t>
  </si>
  <si>
    <t>TẢI SÀN TRUYỀN VÀO DẦM QUI THÀNH PHÂN BỐ ĐỀU</t>
  </si>
  <si>
    <t>Số hiệu ô sàn</t>
  </si>
  <si>
    <r>
      <rPr>
        <b/>
        <sz val="12"/>
        <rFont val="Times New Roman"/>
        <family val="1"/>
      </rPr>
      <t>Hoạt tải sàn
p</t>
    </r>
    <r>
      <rPr>
        <b/>
        <vertAlign val="subscript"/>
        <sz val="12"/>
        <rFont val="Times New Roman"/>
        <family val="1"/>
      </rPr>
      <t>tt</t>
    </r>
  </si>
  <si>
    <r>
      <rPr>
        <b/>
        <sz val="12"/>
        <rFont val="Times New Roman"/>
        <family val="1"/>
      </rPr>
      <t>Tĩnh tải sàn
g</t>
    </r>
    <r>
      <rPr>
        <b/>
        <vertAlign val="subscript"/>
        <sz val="12"/>
        <rFont val="Times New Roman"/>
        <family val="1"/>
      </rPr>
      <t>tt</t>
    </r>
    <r>
      <rPr>
        <b/>
        <sz val="12"/>
        <rFont val="Times New Roman"/>
        <family val="1"/>
      </rPr>
      <t xml:space="preserve"> </t>
    </r>
  </si>
  <si>
    <r>
      <rPr>
        <b/>
        <sz val="12"/>
        <rFont val="Times New Roman"/>
        <family val="1"/>
      </rPr>
      <t xml:space="preserve">Cạnh ngắn 
L1  </t>
    </r>
    <r>
      <rPr>
        <sz val="12"/>
        <rFont val="Times New Roman"/>
        <family val="1"/>
      </rPr>
      <t>(m)</t>
    </r>
  </si>
  <si>
    <r>
      <rPr>
        <b/>
        <sz val="12"/>
        <rFont val="Times New Roman"/>
        <family val="1"/>
      </rPr>
      <t>Cạnh dài  
L2</t>
    </r>
    <r>
      <rPr>
        <sz val="12"/>
        <rFont val="Times New Roman"/>
        <family val="1"/>
      </rPr>
      <t xml:space="preserve"> (m)</t>
    </r>
  </si>
  <si>
    <t>Hệ số β</t>
  </si>
  <si>
    <t>Hệ số  k</t>
  </si>
  <si>
    <t>Truyền tải
tam giác (TG)</t>
  </si>
  <si>
    <t>Truyền tải 
hình thang (HT)</t>
  </si>
  <si>
    <t>Hoạt tải</t>
  </si>
  <si>
    <t>Tĩnh tải</t>
  </si>
  <si>
    <t>S1A</t>
  </si>
  <si>
    <t>Hội trường</t>
  </si>
  <si>
    <t>Sân khấu</t>
  </si>
  <si>
    <t>S1B</t>
  </si>
  <si>
    <t>Ký</t>
  </si>
  <si>
    <t>Cạnh</t>
  </si>
  <si>
    <r>
      <t>a</t>
    </r>
    <r>
      <rPr>
        <sz val="13"/>
        <color indexed="8"/>
        <rFont val="Times New Roman"/>
        <family val="1"/>
      </rPr>
      <t>=L</t>
    </r>
    <r>
      <rPr>
        <vertAlign val="subscript"/>
        <sz val="13"/>
        <color indexed="8"/>
        <rFont val="Times New Roman"/>
        <family val="1"/>
      </rPr>
      <t>2</t>
    </r>
    <r>
      <rPr>
        <sz val="13"/>
        <color indexed="8"/>
        <rFont val="Times New Roman"/>
        <family val="1"/>
      </rPr>
      <t>/L</t>
    </r>
    <r>
      <rPr>
        <vertAlign val="subscript"/>
        <sz val="13"/>
        <color indexed="8"/>
        <rFont val="Times New Roman"/>
        <family val="1"/>
      </rPr>
      <t>1</t>
    </r>
  </si>
  <si>
    <t>Hoạt</t>
  </si>
  <si>
    <t>Tĩnh</t>
  </si>
  <si>
    <t>Tải</t>
  </si>
  <si>
    <r>
      <t>M</t>
    </r>
    <r>
      <rPr>
        <vertAlign val="subscript"/>
        <sz val="13"/>
        <color indexed="8"/>
        <rFont val="Times New Roman"/>
        <family val="1"/>
      </rPr>
      <t>1</t>
    </r>
  </si>
  <si>
    <t>hiệu</t>
  </si>
  <si>
    <t>ngắn</t>
  </si>
  <si>
    <t>dài</t>
  </si>
  <si>
    <t>tải</t>
  </si>
  <si>
    <t>toàn</t>
  </si>
  <si>
    <r>
      <t>M</t>
    </r>
    <r>
      <rPr>
        <vertAlign val="subscript"/>
        <sz val="13"/>
        <color indexed="8"/>
        <rFont val="Times New Roman"/>
        <family val="1"/>
      </rPr>
      <t>I</t>
    </r>
  </si>
  <si>
    <t>ô</t>
  </si>
  <si>
    <r>
      <t>L</t>
    </r>
    <r>
      <rPr>
        <vertAlign val="subscript"/>
        <sz val="13"/>
        <color indexed="8"/>
        <rFont val="Times New Roman"/>
        <family val="1"/>
      </rPr>
      <t>1</t>
    </r>
  </si>
  <si>
    <r>
      <t>L</t>
    </r>
    <r>
      <rPr>
        <vertAlign val="subscript"/>
        <sz val="13"/>
        <color indexed="8"/>
        <rFont val="Times New Roman"/>
        <family val="1"/>
      </rPr>
      <t>2</t>
    </r>
  </si>
  <si>
    <r>
      <t>P</t>
    </r>
    <r>
      <rPr>
        <vertAlign val="superscript"/>
        <sz val="13"/>
        <color indexed="8"/>
        <rFont val="Times New Roman"/>
        <family val="1"/>
      </rPr>
      <t>tt</t>
    </r>
  </si>
  <si>
    <r>
      <t>G</t>
    </r>
    <r>
      <rPr>
        <vertAlign val="superscript"/>
        <sz val="13"/>
        <color indexed="8"/>
        <rFont val="Times New Roman"/>
        <family val="1"/>
      </rPr>
      <t>tt</t>
    </r>
  </si>
  <si>
    <t>phần</t>
  </si>
  <si>
    <t>(daNm)</t>
  </si>
  <si>
    <t>sàn</t>
  </si>
  <si>
    <r>
      <t>(daN/m</t>
    </r>
    <r>
      <rPr>
        <vertAlign val="superscript"/>
        <sz val="13"/>
        <color indexed="8"/>
        <rFont val="Times New Roman"/>
        <family val="1"/>
      </rPr>
      <t>2</t>
    </r>
    <r>
      <rPr>
        <sz val="13"/>
        <color indexed="8"/>
        <rFont val="Times New Roman"/>
        <family val="1"/>
      </rPr>
      <t>)</t>
    </r>
  </si>
  <si>
    <t>q</t>
  </si>
  <si>
    <t>Bảng 0‑5: Tải tường qui về phân bố đều trên sàn S1A</t>
  </si>
  <si>
    <t>3,8x2 + 4,3x2 +  1,375x2</t>
  </si>
  <si>
    <t>L</t>
  </si>
  <si>
    <t>Bảng 0‑5: Tải tường qui về phân bố đều trên sàn S3</t>
  </si>
  <si>
    <t>BẢNG TÍNH và BỐ TRÍ THÉP SÀN</t>
  </si>
  <si>
    <r>
      <t>Ghi chú:</t>
    </r>
    <r>
      <rPr>
        <i/>
        <sz val="12"/>
        <rFont val="Times New Roman"/>
        <family val="1"/>
      </rPr>
      <t xml:space="preserve"> </t>
    </r>
  </si>
  <si>
    <r>
      <t xml:space="preserve">    -  Hàm lượng </t>
    </r>
    <r>
      <rPr>
        <sz val="12"/>
        <rFont val="Symbol"/>
        <family val="1"/>
        <charset val="2"/>
      </rPr>
      <t>m</t>
    </r>
    <r>
      <rPr>
        <vertAlign val="subscript"/>
        <sz val="12"/>
        <rFont val="Times New Roman"/>
        <family val="1"/>
      </rPr>
      <t>min</t>
    </r>
    <r>
      <rPr>
        <sz val="12"/>
        <rFont val="Times New Roman"/>
        <family val="1"/>
      </rPr>
      <t>= 0.1%</t>
    </r>
  </si>
  <si>
    <r>
      <t xml:space="preserve">    -  Hàm lượng </t>
    </r>
    <r>
      <rPr>
        <sz val="12"/>
        <rFont val="Symbol"/>
        <family val="1"/>
        <charset val="2"/>
      </rPr>
      <t>m</t>
    </r>
    <r>
      <rPr>
        <vertAlign val="subscript"/>
        <sz val="12"/>
        <rFont val="Times New Roman"/>
        <family val="1"/>
      </rPr>
      <t>max</t>
    </r>
    <r>
      <rPr>
        <sz val="12"/>
        <rFont val="Times New Roman"/>
        <family val="1"/>
      </rPr>
      <t xml:space="preserve"> = 1.5%</t>
    </r>
  </si>
  <si>
    <r>
      <t xml:space="preserve">    -  Cấp độ bền BT   </t>
    </r>
    <r>
      <rPr>
        <b/>
        <sz val="12"/>
        <color indexed="10"/>
        <rFont val="Times New Roman"/>
        <family val="1"/>
      </rPr>
      <t>B</t>
    </r>
  </si>
  <si>
    <r>
      <t>R</t>
    </r>
    <r>
      <rPr>
        <vertAlign val="subscript"/>
        <sz val="12"/>
        <rFont val="Times New Roman"/>
        <family val="1"/>
      </rPr>
      <t>b</t>
    </r>
    <r>
      <rPr>
        <sz val="12"/>
        <rFont val="Times New Roman"/>
        <family val="1"/>
      </rPr>
      <t xml:space="preserve"> =</t>
    </r>
  </si>
  <si>
    <t>MPa</t>
  </si>
  <si>
    <t xml:space="preserve">    -  Có thể toàn bộ sàn có thép thuộc nhóm CI (A-I) hoặc có cả CI (A-I) lẫn CII (A-II)</t>
  </si>
  <si>
    <t>Momen</t>
  </si>
  <si>
    <t>Giá trị M</t>
  </si>
  <si>
    <r>
      <t>h</t>
    </r>
    <r>
      <rPr>
        <vertAlign val="subscript"/>
        <sz val="12"/>
        <rFont val="Times New Roman"/>
        <family val="1"/>
      </rPr>
      <t>o</t>
    </r>
  </si>
  <si>
    <t>b</t>
  </si>
  <si>
    <r>
      <t>R</t>
    </r>
    <r>
      <rPr>
        <vertAlign val="subscript"/>
        <sz val="12"/>
        <rFont val="Times New Roman"/>
        <family val="1"/>
      </rPr>
      <t>b</t>
    </r>
  </si>
  <si>
    <r>
      <t>R</t>
    </r>
    <r>
      <rPr>
        <vertAlign val="subscript"/>
        <sz val="12"/>
        <rFont val="Times New Roman"/>
        <family val="1"/>
      </rPr>
      <t>s</t>
    </r>
  </si>
  <si>
    <r>
      <t>a</t>
    </r>
    <r>
      <rPr>
        <vertAlign val="subscript"/>
        <sz val="12"/>
        <rFont val="Times New Roman"/>
        <family val="1"/>
      </rPr>
      <t>m</t>
    </r>
  </si>
  <si>
    <t>z</t>
  </si>
  <si>
    <r>
      <t>A</t>
    </r>
    <r>
      <rPr>
        <vertAlign val="subscript"/>
        <sz val="12"/>
        <rFont val="Times New Roman"/>
        <family val="1"/>
      </rPr>
      <t>s</t>
    </r>
  </si>
  <si>
    <t>m%</t>
  </si>
  <si>
    <t>Chọn</t>
  </si>
  <si>
    <r>
      <t>F</t>
    </r>
    <r>
      <rPr>
        <b/>
        <vertAlign val="subscript"/>
        <sz val="11"/>
        <rFont val="Times New Roman"/>
        <family val="1"/>
      </rPr>
      <t>a</t>
    </r>
  </si>
  <si>
    <t>f</t>
  </si>
  <si>
    <t>a (m.m)</t>
  </si>
  <si>
    <t>chọn</t>
  </si>
  <si>
    <t>thép</t>
  </si>
  <si>
    <r>
      <t>M</t>
    </r>
    <r>
      <rPr>
        <vertAlign val="subscript"/>
        <sz val="12"/>
        <rFont val="Times New Roman"/>
        <family val="1"/>
      </rPr>
      <t>1</t>
    </r>
  </si>
  <si>
    <t>Ø6a200</t>
  </si>
  <si>
    <r>
      <t>M</t>
    </r>
    <r>
      <rPr>
        <vertAlign val="subscript"/>
        <sz val="12"/>
        <rFont val="Times New Roman"/>
        <family val="1"/>
      </rPr>
      <t>I</t>
    </r>
  </si>
  <si>
    <t>Ø6a150</t>
  </si>
  <si>
    <t>As</t>
  </si>
  <si>
    <t>BẢNG TRA THÉP SÀN THEO SỔ TAY TRANG 115</t>
  </si>
  <si>
    <t>Khoảng cách thép</t>
  </si>
  <si>
    <t>Đường kính mm</t>
  </si>
  <si>
    <t>Cm</t>
  </si>
  <si>
    <t>Ø6a100</t>
  </si>
  <si>
    <t>Ø8a100</t>
  </si>
  <si>
    <t>Ø10a100</t>
  </si>
  <si>
    <t>Ø12a100</t>
  </si>
  <si>
    <t>Ø14a100</t>
  </si>
  <si>
    <t>Ø16a100</t>
  </si>
  <si>
    <t>ØØ6a110</t>
  </si>
  <si>
    <t>Ø8a110</t>
  </si>
  <si>
    <t>Ø10a110</t>
  </si>
  <si>
    <t>Ø12a110</t>
  </si>
  <si>
    <t>Ø14a110</t>
  </si>
  <si>
    <t>Ø16a110</t>
  </si>
  <si>
    <t>Ø6a120</t>
  </si>
  <si>
    <t>Ø8a120</t>
  </si>
  <si>
    <t>Ø10a120</t>
  </si>
  <si>
    <t>Ø12a120</t>
  </si>
  <si>
    <t>Ø14a120</t>
  </si>
  <si>
    <t>Ø16a120</t>
  </si>
  <si>
    <t>Ø6a130</t>
  </si>
  <si>
    <t>Ø8a130</t>
  </si>
  <si>
    <t>Ø10a130</t>
  </si>
  <si>
    <t>Ø12a130</t>
  </si>
  <si>
    <t>Ø14a130</t>
  </si>
  <si>
    <t>Ø16a130</t>
  </si>
  <si>
    <t>Ø6a140</t>
  </si>
  <si>
    <t>Ø8a140</t>
  </si>
  <si>
    <t>Ø10a140</t>
  </si>
  <si>
    <t>Ø12a140</t>
  </si>
  <si>
    <t>Ø14a140</t>
  </si>
  <si>
    <t>Ø16a140</t>
  </si>
  <si>
    <t>Ø8a150</t>
  </si>
  <si>
    <t>Ø10a150</t>
  </si>
  <si>
    <t>Ø12a150</t>
  </si>
  <si>
    <t>Ø14a150</t>
  </si>
  <si>
    <t>Ø16a150</t>
  </si>
  <si>
    <t>Ø8a200</t>
  </si>
  <si>
    <t>Ø10a200</t>
  </si>
  <si>
    <t>Ø12a200</t>
  </si>
  <si>
    <t>Ø14a200</t>
  </si>
  <si>
    <t>Ø16a200</t>
  </si>
  <si>
    <t>qtt</t>
  </si>
  <si>
    <t>qht</t>
  </si>
  <si>
    <t>Mn</t>
  </si>
  <si>
    <t>Knm</t>
  </si>
  <si>
    <t>Mg</t>
  </si>
  <si>
    <t>αm</t>
  </si>
  <si>
    <t>ξ</t>
  </si>
  <si>
    <t>y</t>
  </si>
  <si>
    <t>số thanh thép theo chiều ngắn</t>
  </si>
  <si>
    <t>@</t>
  </si>
  <si>
    <t>Thép gối</t>
  </si>
  <si>
    <t>Thép nhịp</t>
  </si>
  <si>
    <t>số thanh thép theo chiều dài</t>
  </si>
  <si>
    <t>SƠ ĐỒ 1 (bản kê 4 cạnh)</t>
  </si>
  <si>
    <t>SƠ ĐỒ 2 (bản kê 3 cạnh)</t>
  </si>
  <si>
    <t>SƠ ĐỒ 3 (bản kê 3 cạnh)</t>
  </si>
  <si>
    <t>SƠ ĐỒ 4 (bản kê 2 cạnh)</t>
  </si>
  <si>
    <t>SƠ ĐỒ 5 (bản kê 2 cạnh)</t>
  </si>
  <si>
    <t>SƠ ĐỒ 6 (bản kê 2 cạnh)</t>
  </si>
  <si>
    <t>SƠ ĐỒ 7 (bản kê 1 cạnh)</t>
  </si>
  <si>
    <t>SƠ ĐỒ 8 (bản kê 1 cạnh)</t>
  </si>
  <si>
    <t>SƠ ĐỒ 9(ngàm 4 cạnh)</t>
  </si>
  <si>
    <t>SƠ ĐỒ 10 (bản kê 1 cạnh)</t>
  </si>
  <si>
    <t>SƠ ĐỒ 11 (bản kê 1 cạnh)</t>
  </si>
  <si>
    <t>L2/L1</t>
  </si>
  <si>
    <t>m11</t>
  </si>
  <si>
    <t>m12</t>
  </si>
  <si>
    <t>k11</t>
  </si>
  <si>
    <t>k12</t>
  </si>
  <si>
    <t>m21</t>
  </si>
  <si>
    <t>m22</t>
  </si>
  <si>
    <t>k21</t>
  </si>
  <si>
    <t>k22</t>
  </si>
  <si>
    <t>m31</t>
  </si>
  <si>
    <t>m32</t>
  </si>
  <si>
    <t>k31</t>
  </si>
  <si>
    <t>k32</t>
  </si>
  <si>
    <t>m41</t>
  </si>
  <si>
    <t>m42</t>
  </si>
  <si>
    <t>k41</t>
  </si>
  <si>
    <t>k42</t>
  </si>
  <si>
    <t>m51</t>
  </si>
  <si>
    <t>m52</t>
  </si>
  <si>
    <t>k51</t>
  </si>
  <si>
    <t>k52</t>
  </si>
  <si>
    <t>m61</t>
  </si>
  <si>
    <t>m62</t>
  </si>
  <si>
    <t>k61</t>
  </si>
  <si>
    <t>k62</t>
  </si>
  <si>
    <t>m71</t>
  </si>
  <si>
    <t>m72</t>
  </si>
  <si>
    <t>k71</t>
  </si>
  <si>
    <t>k72</t>
  </si>
  <si>
    <t>m81</t>
  </si>
  <si>
    <t>m82</t>
  </si>
  <si>
    <t>k81</t>
  </si>
  <si>
    <t>k82</t>
  </si>
  <si>
    <t>m91</t>
  </si>
  <si>
    <t>m92</t>
  </si>
  <si>
    <t>k91</t>
  </si>
  <si>
    <t>k92</t>
  </si>
  <si>
    <t>m101</t>
  </si>
  <si>
    <t>m102</t>
  </si>
  <si>
    <t>k101</t>
  </si>
  <si>
    <t>k102</t>
  </si>
  <si>
    <t>m111</t>
  </si>
  <si>
    <t>m112</t>
  </si>
  <si>
    <t>k111</t>
  </si>
  <si>
    <t>k112</t>
  </si>
  <si>
    <t># bêtông</t>
  </si>
  <si>
    <t>Rn</t>
  </si>
  <si>
    <t>CI</t>
  </si>
  <si>
    <t>CII</t>
  </si>
  <si>
    <t>CIII</t>
  </si>
  <si>
    <t>CIV</t>
  </si>
  <si>
    <t>Ra</t>
  </si>
  <si>
    <t>AI</t>
  </si>
  <si>
    <t>AII</t>
  </si>
  <si>
    <t>AIII</t>
  </si>
  <si>
    <t>AIV</t>
  </si>
  <si>
    <t>SƠ ĐỒ</t>
  </si>
  <si>
    <r>
      <t>m</t>
    </r>
    <r>
      <rPr>
        <b/>
        <vertAlign val="subscript"/>
        <sz val="11"/>
        <rFont val="Times New Roman"/>
        <family val="1"/>
      </rPr>
      <t>11</t>
    </r>
  </si>
  <si>
    <r>
      <t>m</t>
    </r>
    <r>
      <rPr>
        <b/>
        <vertAlign val="subscript"/>
        <sz val="11"/>
        <rFont val="Times New Roman"/>
        <family val="1"/>
      </rPr>
      <t>21</t>
    </r>
  </si>
  <si>
    <r>
      <t>m</t>
    </r>
    <r>
      <rPr>
        <b/>
        <vertAlign val="subscript"/>
        <sz val="11"/>
        <rFont val="Times New Roman"/>
        <family val="1"/>
      </rPr>
      <t>31</t>
    </r>
    <r>
      <rPr>
        <sz val="10"/>
        <rFont val="Arial"/>
        <family val="2"/>
      </rPr>
      <t/>
    </r>
  </si>
  <si>
    <r>
      <t>m</t>
    </r>
    <r>
      <rPr>
        <b/>
        <vertAlign val="subscript"/>
        <sz val="11"/>
        <rFont val="Times New Roman"/>
        <family val="1"/>
      </rPr>
      <t>41</t>
    </r>
    <r>
      <rPr>
        <sz val="10"/>
        <rFont val="Arial"/>
        <family val="2"/>
      </rPr>
      <t/>
    </r>
  </si>
  <si>
    <r>
      <t>m</t>
    </r>
    <r>
      <rPr>
        <b/>
        <vertAlign val="subscript"/>
        <sz val="11"/>
        <rFont val="Times New Roman"/>
        <family val="1"/>
      </rPr>
      <t>51</t>
    </r>
    <r>
      <rPr>
        <sz val="10"/>
        <rFont val="Arial"/>
        <family val="2"/>
      </rPr>
      <t/>
    </r>
  </si>
  <si>
    <r>
      <t>m</t>
    </r>
    <r>
      <rPr>
        <b/>
        <vertAlign val="subscript"/>
        <sz val="11"/>
        <rFont val="Times New Roman"/>
        <family val="1"/>
      </rPr>
      <t>61</t>
    </r>
    <r>
      <rPr>
        <sz val="10"/>
        <rFont val="Arial"/>
        <family val="2"/>
      </rPr>
      <t/>
    </r>
  </si>
  <si>
    <r>
      <t>m</t>
    </r>
    <r>
      <rPr>
        <b/>
        <vertAlign val="subscript"/>
        <sz val="11"/>
        <rFont val="Times New Roman"/>
        <family val="1"/>
      </rPr>
      <t>71</t>
    </r>
    <r>
      <rPr>
        <sz val="10"/>
        <rFont val="Arial"/>
        <family val="2"/>
      </rPr>
      <t/>
    </r>
  </si>
  <si>
    <r>
      <t>m</t>
    </r>
    <r>
      <rPr>
        <b/>
        <vertAlign val="subscript"/>
        <sz val="11"/>
        <rFont val="Times New Roman"/>
        <family val="1"/>
      </rPr>
      <t>81</t>
    </r>
    <r>
      <rPr>
        <sz val="10"/>
        <rFont val="Arial"/>
        <family val="2"/>
      </rPr>
      <t/>
    </r>
  </si>
  <si>
    <r>
      <t>m</t>
    </r>
    <r>
      <rPr>
        <b/>
        <vertAlign val="subscript"/>
        <sz val="11"/>
        <rFont val="Times New Roman"/>
        <family val="1"/>
      </rPr>
      <t>91</t>
    </r>
    <r>
      <rPr>
        <sz val="10"/>
        <rFont val="Arial"/>
        <family val="2"/>
      </rPr>
      <t/>
    </r>
  </si>
  <si>
    <r>
      <t>m</t>
    </r>
    <r>
      <rPr>
        <b/>
        <vertAlign val="subscript"/>
        <sz val="11"/>
        <rFont val="Times New Roman"/>
        <family val="1"/>
      </rPr>
      <t>101</t>
    </r>
    <r>
      <rPr>
        <sz val="10"/>
        <rFont val="Arial"/>
        <family val="2"/>
      </rPr>
      <t/>
    </r>
  </si>
  <si>
    <r>
      <t>m</t>
    </r>
    <r>
      <rPr>
        <b/>
        <vertAlign val="subscript"/>
        <sz val="11"/>
        <rFont val="Times New Roman"/>
        <family val="1"/>
      </rPr>
      <t>111</t>
    </r>
    <r>
      <rPr>
        <sz val="10"/>
        <rFont val="Arial"/>
        <family val="2"/>
      </rPr>
      <t/>
    </r>
  </si>
  <si>
    <r>
      <t>m</t>
    </r>
    <r>
      <rPr>
        <b/>
        <vertAlign val="subscript"/>
        <sz val="11"/>
        <rFont val="Times New Roman"/>
        <family val="1"/>
      </rPr>
      <t>12</t>
    </r>
  </si>
  <si>
    <r>
      <t>m</t>
    </r>
    <r>
      <rPr>
        <b/>
        <vertAlign val="subscript"/>
        <sz val="11"/>
        <rFont val="Times New Roman"/>
        <family val="1"/>
      </rPr>
      <t>22</t>
    </r>
  </si>
  <si>
    <r>
      <t>m</t>
    </r>
    <r>
      <rPr>
        <b/>
        <vertAlign val="subscript"/>
        <sz val="11"/>
        <rFont val="Times New Roman"/>
        <family val="1"/>
      </rPr>
      <t>32</t>
    </r>
    <r>
      <rPr>
        <sz val="10"/>
        <rFont val="Arial"/>
        <family val="2"/>
      </rPr>
      <t/>
    </r>
  </si>
  <si>
    <r>
      <t>m</t>
    </r>
    <r>
      <rPr>
        <b/>
        <vertAlign val="subscript"/>
        <sz val="11"/>
        <rFont val="Times New Roman"/>
        <family val="1"/>
      </rPr>
      <t>42</t>
    </r>
    <r>
      <rPr>
        <sz val="10"/>
        <rFont val="Arial"/>
        <family val="2"/>
      </rPr>
      <t/>
    </r>
  </si>
  <si>
    <r>
      <t>m</t>
    </r>
    <r>
      <rPr>
        <b/>
        <vertAlign val="subscript"/>
        <sz val="11"/>
        <rFont val="Times New Roman"/>
        <family val="1"/>
      </rPr>
      <t>52</t>
    </r>
    <r>
      <rPr>
        <sz val="10"/>
        <rFont val="Arial"/>
        <family val="2"/>
      </rPr>
      <t/>
    </r>
  </si>
  <si>
    <r>
      <t>m</t>
    </r>
    <r>
      <rPr>
        <b/>
        <vertAlign val="subscript"/>
        <sz val="11"/>
        <rFont val="Times New Roman"/>
        <family val="1"/>
      </rPr>
      <t>62</t>
    </r>
    <r>
      <rPr>
        <sz val="10"/>
        <rFont val="Arial"/>
        <family val="2"/>
      </rPr>
      <t/>
    </r>
  </si>
  <si>
    <r>
      <t>m</t>
    </r>
    <r>
      <rPr>
        <b/>
        <vertAlign val="subscript"/>
        <sz val="11"/>
        <rFont val="Times New Roman"/>
        <family val="1"/>
      </rPr>
      <t>72</t>
    </r>
    <r>
      <rPr>
        <sz val="10"/>
        <rFont val="Arial"/>
        <family val="2"/>
      </rPr>
      <t/>
    </r>
  </si>
  <si>
    <r>
      <t>m</t>
    </r>
    <r>
      <rPr>
        <b/>
        <vertAlign val="subscript"/>
        <sz val="11"/>
        <rFont val="Times New Roman"/>
        <family val="1"/>
      </rPr>
      <t>82</t>
    </r>
    <r>
      <rPr>
        <sz val="10"/>
        <rFont val="Arial"/>
        <family val="2"/>
      </rPr>
      <t/>
    </r>
  </si>
  <si>
    <r>
      <t>m</t>
    </r>
    <r>
      <rPr>
        <b/>
        <vertAlign val="subscript"/>
        <sz val="11"/>
        <rFont val="Times New Roman"/>
        <family val="1"/>
      </rPr>
      <t>92</t>
    </r>
    <r>
      <rPr>
        <sz val="10"/>
        <rFont val="Arial"/>
        <family val="2"/>
      </rPr>
      <t/>
    </r>
  </si>
  <si>
    <r>
      <t>m</t>
    </r>
    <r>
      <rPr>
        <b/>
        <vertAlign val="subscript"/>
        <sz val="11"/>
        <rFont val="Times New Roman"/>
        <family val="1"/>
      </rPr>
      <t>102</t>
    </r>
    <r>
      <rPr>
        <sz val="10"/>
        <rFont val="Arial"/>
        <family val="2"/>
      </rPr>
      <t/>
    </r>
  </si>
  <si>
    <r>
      <t>m</t>
    </r>
    <r>
      <rPr>
        <b/>
        <vertAlign val="subscript"/>
        <sz val="11"/>
        <rFont val="Times New Roman"/>
        <family val="1"/>
      </rPr>
      <t>112</t>
    </r>
    <r>
      <rPr>
        <sz val="10"/>
        <rFont val="Arial"/>
        <family val="2"/>
      </rPr>
      <t/>
    </r>
  </si>
  <si>
    <r>
      <t>k</t>
    </r>
    <r>
      <rPr>
        <b/>
        <vertAlign val="subscript"/>
        <sz val="11"/>
        <rFont val="Times New Roman"/>
        <family val="1"/>
      </rPr>
      <t>11</t>
    </r>
  </si>
  <si>
    <r>
      <t>k</t>
    </r>
    <r>
      <rPr>
        <b/>
        <vertAlign val="subscript"/>
        <sz val="11"/>
        <rFont val="Times New Roman"/>
        <family val="1"/>
      </rPr>
      <t>21</t>
    </r>
  </si>
  <si>
    <r>
      <t>k</t>
    </r>
    <r>
      <rPr>
        <b/>
        <vertAlign val="subscript"/>
        <sz val="11"/>
        <rFont val="Times New Roman"/>
        <family val="1"/>
      </rPr>
      <t>31</t>
    </r>
    <r>
      <rPr>
        <sz val="10"/>
        <rFont val="Arial"/>
        <family val="2"/>
      </rPr>
      <t/>
    </r>
  </si>
  <si>
    <r>
      <t>k</t>
    </r>
    <r>
      <rPr>
        <b/>
        <vertAlign val="subscript"/>
        <sz val="11"/>
        <rFont val="Times New Roman"/>
        <family val="1"/>
      </rPr>
      <t>41</t>
    </r>
  </si>
  <si>
    <r>
      <t>k</t>
    </r>
    <r>
      <rPr>
        <b/>
        <vertAlign val="subscript"/>
        <sz val="11"/>
        <rFont val="Times New Roman"/>
        <family val="1"/>
      </rPr>
      <t>51</t>
    </r>
    <r>
      <rPr>
        <sz val="10"/>
        <rFont val="Arial"/>
        <family val="2"/>
      </rPr>
      <t/>
    </r>
  </si>
  <si>
    <r>
      <t>k</t>
    </r>
    <r>
      <rPr>
        <b/>
        <vertAlign val="subscript"/>
        <sz val="11"/>
        <rFont val="Times New Roman"/>
        <family val="1"/>
      </rPr>
      <t>61</t>
    </r>
    <r>
      <rPr>
        <sz val="10"/>
        <rFont val="Arial"/>
        <family val="2"/>
      </rPr>
      <t/>
    </r>
  </si>
  <si>
    <r>
      <t>k</t>
    </r>
    <r>
      <rPr>
        <b/>
        <vertAlign val="subscript"/>
        <sz val="11"/>
        <rFont val="Times New Roman"/>
        <family val="1"/>
      </rPr>
      <t>71</t>
    </r>
    <r>
      <rPr>
        <sz val="10"/>
        <rFont val="Arial"/>
        <family val="2"/>
      </rPr>
      <t/>
    </r>
  </si>
  <si>
    <r>
      <t>k</t>
    </r>
    <r>
      <rPr>
        <b/>
        <vertAlign val="subscript"/>
        <sz val="11"/>
        <rFont val="Times New Roman"/>
        <family val="1"/>
      </rPr>
      <t>81</t>
    </r>
    <r>
      <rPr>
        <sz val="10"/>
        <rFont val="Arial"/>
        <family val="2"/>
      </rPr>
      <t/>
    </r>
  </si>
  <si>
    <r>
      <t>k</t>
    </r>
    <r>
      <rPr>
        <b/>
        <vertAlign val="subscript"/>
        <sz val="11"/>
        <rFont val="Times New Roman"/>
        <family val="1"/>
      </rPr>
      <t>91</t>
    </r>
    <r>
      <rPr>
        <sz val="10"/>
        <rFont val="Arial"/>
        <family val="2"/>
      </rPr>
      <t/>
    </r>
  </si>
  <si>
    <r>
      <t>k</t>
    </r>
    <r>
      <rPr>
        <b/>
        <vertAlign val="subscript"/>
        <sz val="11"/>
        <rFont val="Times New Roman"/>
        <family val="1"/>
      </rPr>
      <t>101</t>
    </r>
    <r>
      <rPr>
        <sz val="10"/>
        <rFont val="Arial"/>
        <family val="2"/>
      </rPr>
      <t/>
    </r>
  </si>
  <si>
    <r>
      <t>k</t>
    </r>
    <r>
      <rPr>
        <b/>
        <vertAlign val="subscript"/>
        <sz val="11"/>
        <rFont val="Times New Roman"/>
        <family val="1"/>
      </rPr>
      <t>111</t>
    </r>
    <r>
      <rPr>
        <sz val="10"/>
        <rFont val="Arial"/>
        <family val="2"/>
      </rPr>
      <t/>
    </r>
  </si>
  <si>
    <r>
      <t>k</t>
    </r>
    <r>
      <rPr>
        <b/>
        <vertAlign val="subscript"/>
        <sz val="11"/>
        <rFont val="Times New Roman"/>
        <family val="1"/>
      </rPr>
      <t>12</t>
    </r>
  </si>
  <si>
    <r>
      <t>k</t>
    </r>
    <r>
      <rPr>
        <b/>
        <vertAlign val="subscript"/>
        <sz val="11"/>
        <rFont val="Times New Roman"/>
        <family val="1"/>
      </rPr>
      <t>22</t>
    </r>
  </si>
  <si>
    <r>
      <t>k</t>
    </r>
    <r>
      <rPr>
        <b/>
        <vertAlign val="subscript"/>
        <sz val="11"/>
        <rFont val="Times New Roman"/>
        <family val="1"/>
      </rPr>
      <t>32</t>
    </r>
  </si>
  <si>
    <r>
      <t>k</t>
    </r>
    <r>
      <rPr>
        <b/>
        <vertAlign val="subscript"/>
        <sz val="11"/>
        <rFont val="Times New Roman"/>
        <family val="1"/>
      </rPr>
      <t>42</t>
    </r>
    <r>
      <rPr>
        <sz val="10"/>
        <rFont val="Arial"/>
        <family val="2"/>
      </rPr>
      <t/>
    </r>
  </si>
  <si>
    <r>
      <t>k</t>
    </r>
    <r>
      <rPr>
        <b/>
        <vertAlign val="subscript"/>
        <sz val="11"/>
        <rFont val="Times New Roman"/>
        <family val="1"/>
      </rPr>
      <t>52</t>
    </r>
    <r>
      <rPr>
        <sz val="10"/>
        <rFont val="Arial"/>
        <family val="2"/>
      </rPr>
      <t/>
    </r>
  </si>
  <si>
    <r>
      <t>k</t>
    </r>
    <r>
      <rPr>
        <b/>
        <vertAlign val="subscript"/>
        <sz val="11"/>
        <rFont val="Times New Roman"/>
        <family val="1"/>
      </rPr>
      <t>62</t>
    </r>
    <r>
      <rPr>
        <sz val="10"/>
        <rFont val="Arial"/>
        <family val="2"/>
      </rPr>
      <t/>
    </r>
  </si>
  <si>
    <r>
      <t>k</t>
    </r>
    <r>
      <rPr>
        <b/>
        <vertAlign val="subscript"/>
        <sz val="11"/>
        <rFont val="Times New Roman"/>
        <family val="1"/>
      </rPr>
      <t>72</t>
    </r>
    <r>
      <rPr>
        <sz val="10"/>
        <rFont val="Arial"/>
        <family val="2"/>
      </rPr>
      <t/>
    </r>
  </si>
  <si>
    <r>
      <t>k</t>
    </r>
    <r>
      <rPr>
        <b/>
        <vertAlign val="subscript"/>
        <sz val="11"/>
        <rFont val="Times New Roman"/>
        <family val="1"/>
      </rPr>
      <t>82</t>
    </r>
    <r>
      <rPr>
        <sz val="10"/>
        <rFont val="Arial"/>
        <family val="2"/>
      </rPr>
      <t/>
    </r>
  </si>
  <si>
    <r>
      <t>k</t>
    </r>
    <r>
      <rPr>
        <b/>
        <vertAlign val="subscript"/>
        <sz val="11"/>
        <rFont val="Times New Roman"/>
        <family val="1"/>
      </rPr>
      <t>92</t>
    </r>
    <r>
      <rPr>
        <sz val="10"/>
        <rFont val="Arial"/>
        <family val="2"/>
      </rPr>
      <t/>
    </r>
  </si>
  <si>
    <r>
      <t>k</t>
    </r>
    <r>
      <rPr>
        <b/>
        <vertAlign val="subscript"/>
        <sz val="11"/>
        <rFont val="Times New Roman"/>
        <family val="1"/>
      </rPr>
      <t>102</t>
    </r>
    <r>
      <rPr>
        <sz val="10"/>
        <rFont val="Arial"/>
        <family val="2"/>
      </rPr>
      <t/>
    </r>
  </si>
  <si>
    <r>
      <t>k</t>
    </r>
    <r>
      <rPr>
        <b/>
        <vertAlign val="subscript"/>
        <sz val="11"/>
        <rFont val="Times New Roman"/>
        <family val="1"/>
      </rPr>
      <t>112</t>
    </r>
    <r>
      <rPr>
        <sz val="10"/>
        <rFont val="Arial"/>
        <family val="2"/>
      </rPr>
      <t/>
    </r>
  </si>
  <si>
    <t>m1</t>
  </si>
  <si>
    <t>k1</t>
  </si>
  <si>
    <t>k2</t>
  </si>
  <si>
    <t>(Chú ý kiểm tra lại trước khi sử dụng)</t>
  </si>
  <si>
    <t>Sơ đồ</t>
  </si>
  <si>
    <t>BẢNG TÍNH NỘI LỰC SÀN HAI PHƯƠNG</t>
  </si>
  <si>
    <t>Số</t>
  </si>
  <si>
    <r>
      <t>M</t>
    </r>
    <r>
      <rPr>
        <b/>
        <vertAlign val="subscript"/>
        <sz val="11"/>
        <rFont val="Times New Roman"/>
        <family val="1"/>
      </rPr>
      <t>1</t>
    </r>
  </si>
  <si>
    <r>
      <t>M</t>
    </r>
    <r>
      <rPr>
        <b/>
        <vertAlign val="subscript"/>
        <sz val="11"/>
        <rFont val="Times New Roman"/>
        <family val="1"/>
      </rPr>
      <t>2</t>
    </r>
  </si>
  <si>
    <r>
      <t>L</t>
    </r>
    <r>
      <rPr>
        <b/>
        <vertAlign val="subscript"/>
        <sz val="11"/>
        <rFont val="Times New Roman"/>
        <family val="1"/>
      </rPr>
      <t>1</t>
    </r>
  </si>
  <si>
    <r>
      <t>L</t>
    </r>
    <r>
      <rPr>
        <b/>
        <vertAlign val="subscript"/>
        <sz val="11"/>
        <rFont val="Times New Roman"/>
        <family val="1"/>
      </rPr>
      <t>2</t>
    </r>
  </si>
  <si>
    <r>
      <t>p</t>
    </r>
    <r>
      <rPr>
        <vertAlign val="subscript"/>
        <sz val="12"/>
        <rFont val="Times New Roman"/>
        <family val="1"/>
      </rPr>
      <t>tt</t>
    </r>
  </si>
  <si>
    <r>
      <t>g</t>
    </r>
    <r>
      <rPr>
        <vertAlign val="subscript"/>
        <sz val="12"/>
        <rFont val="Times New Roman"/>
        <family val="1"/>
      </rPr>
      <t>tt</t>
    </r>
  </si>
  <si>
    <r>
      <t>M</t>
    </r>
    <r>
      <rPr>
        <b/>
        <vertAlign val="subscript"/>
        <sz val="11"/>
        <rFont val="Times New Roman"/>
        <family val="1"/>
      </rPr>
      <t>I</t>
    </r>
  </si>
  <si>
    <r>
      <t>M</t>
    </r>
    <r>
      <rPr>
        <b/>
        <vertAlign val="subscript"/>
        <sz val="11"/>
        <rFont val="Times New Roman"/>
        <family val="1"/>
      </rPr>
      <t>II</t>
    </r>
  </si>
  <si>
    <t>Bản sàn 2 phương</t>
  </si>
  <si>
    <t>M1</t>
  </si>
  <si>
    <t>M2</t>
  </si>
  <si>
    <t>MI</t>
  </si>
  <si>
    <t>MII</t>
  </si>
  <si>
    <t>P</t>
  </si>
  <si>
    <t>RS</t>
  </si>
  <si>
    <t>As chọn</t>
  </si>
  <si>
    <t>u</t>
  </si>
  <si>
    <t>S11</t>
  </si>
  <si>
    <t>S12</t>
  </si>
  <si>
    <t>'2AB23D</t>
  </si>
  <si>
    <t>*U3506</t>
  </si>
  <si>
    <t>'2AB318</t>
  </si>
  <si>
    <t>'2AB38E</t>
  </si>
  <si>
    <t>CẦU THANG</t>
  </si>
  <si>
    <t>Số bậc</t>
  </si>
  <si>
    <t>Chiều cao tầng</t>
  </si>
  <si>
    <t>hb</t>
  </si>
  <si>
    <t>bb</t>
  </si>
  <si>
    <t>góc nghiên tgα</t>
  </si>
  <si>
    <t>α=</t>
  </si>
  <si>
    <t>bề dày thang hs</t>
  </si>
  <si>
    <t>L0</t>
  </si>
  <si>
    <t>L3</t>
  </si>
  <si>
    <t>hdt</t>
  </si>
  <si>
    <t>hdt chọn</t>
  </si>
  <si>
    <t>bdt</t>
  </si>
  <si>
    <t>Chiều dày tương đương lớp gạch lát</t>
  </si>
  <si>
    <t>Chiều dày tương đương lớp vữa trát</t>
  </si>
  <si>
    <t>Chiều dày tương đương lớp vữa xi măng</t>
  </si>
  <si>
    <t>Chiều dày tương đương bản bê tông</t>
  </si>
  <si>
    <t>cos</t>
  </si>
  <si>
    <t>g2'</t>
  </si>
  <si>
    <t>Tải trọng lên bản thang</t>
  </si>
  <si>
    <r>
      <t>T</t>
    </r>
    <r>
      <rPr>
        <sz val="13"/>
        <color rgb="FF000000"/>
        <rFont val="Times New Roman"/>
        <family val="1"/>
      </rPr>
      <t>ải trọng</t>
    </r>
  </si>
  <si>
    <t>Vật liệu</t>
  </si>
  <si>
    <t>Chiều dày</t>
  </si>
  <si>
    <t>tương đương</t>
  </si>
  <si>
    <t>ɣ</t>
  </si>
  <si>
    <r>
      <t>(daN/m</t>
    </r>
    <r>
      <rPr>
        <vertAlign val="superscript"/>
        <sz val="13"/>
        <color rgb="FF000000"/>
        <rFont val="Times New Roman"/>
        <family val="1"/>
      </rPr>
      <t>3</t>
    </r>
    <r>
      <rPr>
        <sz val="13"/>
        <color rgb="FF000000"/>
        <rFont val="Times New Roman"/>
        <family val="1"/>
      </rPr>
      <t>)</t>
    </r>
  </si>
  <si>
    <t>HSVT</t>
  </si>
  <si>
    <t>Tải tính toán</t>
  </si>
  <si>
    <r>
      <t>(daN/m</t>
    </r>
    <r>
      <rPr>
        <vertAlign val="superscript"/>
        <sz val="13"/>
        <color rgb="FF000000"/>
        <rFont val="Times New Roman"/>
        <family val="1"/>
      </rPr>
      <t>2</t>
    </r>
    <r>
      <rPr>
        <sz val="13"/>
        <color rgb="FF000000"/>
        <rFont val="Times New Roman"/>
        <family val="1"/>
      </rPr>
      <t>)</t>
    </r>
  </si>
  <si>
    <t>0.02</t>
  </si>
  <si>
    <t>0.027</t>
  </si>
  <si>
    <t>77.76</t>
  </si>
  <si>
    <t>Vữa trát</t>
  </si>
  <si>
    <t>63.18</t>
  </si>
  <si>
    <t>0.12</t>
  </si>
  <si>
    <t>0.069</t>
  </si>
  <si>
    <t>149.04</t>
  </si>
  <si>
    <t>Lớp bê tông cốt thép</t>
  </si>
  <si>
    <t>0.13</t>
  </si>
  <si>
    <t>0.175</t>
  </si>
  <si>
    <t>481.25</t>
  </si>
  <si>
    <t>Vữa xi măng</t>
  </si>
  <si>
    <t>0.015</t>
  </si>
  <si>
    <t>0.020</t>
  </si>
  <si>
    <t>46.8</t>
  </si>
  <si>
    <t>Tổng cộng</t>
  </si>
  <si>
    <t>818.03</t>
  </si>
  <si>
    <t>Gạch lát</t>
  </si>
  <si>
    <t>Bậc thang</t>
  </si>
  <si>
    <t>q1</t>
  </si>
  <si>
    <t>q2</t>
  </si>
  <si>
    <t>RA</t>
  </si>
  <si>
    <t>RB</t>
  </si>
  <si>
    <t>x</t>
  </si>
  <si>
    <t>Mmax</t>
  </si>
  <si>
    <t>a</t>
  </si>
  <si>
    <t>h0</t>
  </si>
  <si>
    <t>A</t>
  </si>
  <si>
    <t>Tính bản thang vế 1</t>
  </si>
  <si>
    <t>RD</t>
  </si>
  <si>
    <t>Tính bản thang vế 3</t>
  </si>
  <si>
    <t>l2/l1</t>
  </si>
  <si>
    <t>f0</t>
  </si>
  <si>
    <t>Mx</t>
  </si>
  <si>
    <t>My</t>
  </si>
  <si>
    <t>Mry</t>
  </si>
  <si>
    <t>Tính dầm chiếu nghỉ D1</t>
  </si>
  <si>
    <t>gd</t>
  </si>
  <si>
    <t>gt</t>
  </si>
  <si>
    <t>đoạn AB</t>
  </si>
  <si>
    <t>đoạn BC</t>
  </si>
  <si>
    <t>đoạn CD</t>
  </si>
  <si>
    <t>qb</t>
  </si>
  <si>
    <t>q3</t>
  </si>
  <si>
    <t>b=</t>
  </si>
  <si>
    <t>h=</t>
  </si>
  <si>
    <t>cm2</t>
  </si>
  <si>
    <t>Tính cốt đai</t>
  </si>
  <si>
    <t>Qd</t>
  </si>
  <si>
    <t>*U3501</t>
  </si>
  <si>
    <t>*U3500</t>
  </si>
  <si>
    <t>*U3494</t>
  </si>
  <si>
    <t>*U3495</t>
  </si>
  <si>
    <t>*U3496</t>
  </si>
  <si>
    <t>*U3497</t>
  </si>
  <si>
    <t>*U3498</t>
  </si>
  <si>
    <t>*U3499</t>
  </si>
  <si>
    <t>*U3502</t>
  </si>
  <si>
    <t>*U3503</t>
  </si>
  <si>
    <t>*U3504</t>
  </si>
  <si>
    <t>S1.B</t>
  </si>
  <si>
    <t>S1.A</t>
  </si>
  <si>
    <t>*U3505</t>
  </si>
  <si>
    <t>Dầm thứ i</t>
  </si>
  <si>
    <t>Chiều dài dầm L</t>
  </si>
  <si>
    <t>Tiết diện dầm</t>
  </si>
  <si>
    <t>Tải bản thân</t>
  </si>
  <si>
    <t>Tường xây</t>
  </si>
  <si>
    <t>Sàn truyền tải/
dạng truyền</t>
  </si>
  <si>
    <r>
      <rPr>
        <b/>
        <sz val="12"/>
        <rFont val="Times New Roman"/>
        <family val="1"/>
      </rPr>
      <t>Tĩnh tải q</t>
    </r>
    <r>
      <rPr>
        <b/>
        <vertAlign val="subscript"/>
        <sz val="12"/>
        <rFont val="Times New Roman"/>
        <family val="1"/>
      </rPr>
      <t>td</t>
    </r>
  </si>
  <si>
    <r>
      <rPr>
        <b/>
        <sz val="12"/>
        <rFont val="Times New Roman"/>
        <family val="1"/>
      </rPr>
      <t>Hoạt tải q</t>
    </r>
    <r>
      <rPr>
        <b/>
        <vertAlign val="subscript"/>
        <sz val="12"/>
        <rFont val="Times New Roman"/>
        <family val="1"/>
      </rPr>
      <t>td</t>
    </r>
  </si>
  <si>
    <r>
      <rPr>
        <b/>
        <sz val="12"/>
        <rFont val="Times New Roman"/>
        <family val="1"/>
      </rPr>
      <t>Sàn q</t>
    </r>
    <r>
      <rPr>
        <b/>
        <vertAlign val="subscript"/>
        <sz val="12"/>
        <rFont val="Times New Roman"/>
        <family val="1"/>
      </rPr>
      <t>s</t>
    </r>
  </si>
  <si>
    <t>Tổng tải</t>
  </si>
  <si>
    <r>
      <rPr>
        <b/>
        <sz val="12"/>
        <rFont val="Times New Roman"/>
        <family val="1"/>
      </rPr>
      <t>R</t>
    </r>
    <r>
      <rPr>
        <b/>
        <vertAlign val="subscript"/>
        <sz val="12"/>
        <rFont val="Times New Roman"/>
        <family val="1"/>
      </rPr>
      <t>i</t>
    </r>
  </si>
  <si>
    <t>b (cm)</t>
  </si>
  <si>
    <t>h (cm)</t>
  </si>
  <si>
    <t>daN/m</t>
  </si>
  <si>
    <t>co/ko</t>
  </si>
  <si>
    <t>cao</t>
  </si>
  <si>
    <t>daN</t>
  </si>
  <si>
    <t>TG</t>
  </si>
  <si>
    <t>HT</t>
  </si>
  <si>
    <t>TÍNH TẢI TÁC DỤNG VÀO DẦM LOẠI TRỤC 2, C VÀ PHẢN LỰC</t>
  </si>
  <si>
    <t>TÍNH TẢI TÁC DỤNG VÀO DẦM CHÍNH LOẠI 2 VÀ PHẢN LỰC</t>
  </si>
  <si>
    <t>C.dài</t>
  </si>
  <si>
    <t>T.diện</t>
  </si>
  <si>
    <t>Tải tác dụng</t>
  </si>
  <si>
    <r>
      <t>Tĩnh tải q</t>
    </r>
    <r>
      <rPr>
        <b/>
        <vertAlign val="subscript"/>
        <sz val="12"/>
        <rFont val="Times New Roman"/>
        <family val="1"/>
      </rPr>
      <t>td</t>
    </r>
  </si>
  <si>
    <r>
      <t>Hoạt tải q</t>
    </r>
    <r>
      <rPr>
        <b/>
        <vertAlign val="subscript"/>
        <sz val="12"/>
        <rFont val="Times New Roman"/>
        <family val="1"/>
      </rPr>
      <t>td</t>
    </r>
  </si>
  <si>
    <t>L1
(m)</t>
  </si>
  <si>
    <t>L2
(m)</t>
  </si>
  <si>
    <t>b 
(cm)</t>
  </si>
  <si>
    <t>h
(cm)</t>
  </si>
  <si>
    <t>co/ ko</t>
  </si>
  <si>
    <t>cao
(m)</t>
  </si>
  <si>
    <t>Tải
daN/m</t>
  </si>
  <si>
    <r>
      <t>Tải
sàn q</t>
    </r>
    <r>
      <rPr>
        <b/>
        <vertAlign val="subscript"/>
        <sz val="12"/>
        <rFont val="Times New Roman"/>
        <family val="1"/>
      </rPr>
      <t>s</t>
    </r>
  </si>
  <si>
    <r>
      <t xml:space="preserve">Giá trị
</t>
    </r>
    <r>
      <rPr>
        <sz val="12"/>
        <rFont val="Times New Roman"/>
        <family val="1"/>
        <charset val="163"/>
      </rPr>
      <t>q1</t>
    </r>
  </si>
  <si>
    <t>Dầm t.dụng tải Pi</t>
  </si>
  <si>
    <t>Tải Pi</t>
  </si>
  <si>
    <r>
      <t>R</t>
    </r>
    <r>
      <rPr>
        <b/>
        <vertAlign val="subscript"/>
        <sz val="12"/>
        <rFont val="Times New Roman"/>
        <family val="1"/>
      </rPr>
      <t>i</t>
    </r>
  </si>
  <si>
    <r>
      <t>R</t>
    </r>
    <r>
      <rPr>
        <b/>
        <vertAlign val="subscript"/>
        <sz val="12"/>
        <rFont val="Times New Roman"/>
        <family val="1"/>
      </rPr>
      <t>j</t>
    </r>
  </si>
  <si>
    <t>Đoạn dầm</t>
  </si>
  <si>
    <t>D-E</t>
  </si>
  <si>
    <t>Nút</t>
  </si>
  <si>
    <t>Dầm tác dụng</t>
  </si>
  <si>
    <t>Loại dầm/
(Ri, Rj)</t>
  </si>
  <si>
    <t>Tổng 
Tĩnh tải</t>
  </si>
  <si>
    <t>Tổng 
Hoạt tải</t>
  </si>
  <si>
    <t>C</t>
  </si>
  <si>
    <t>Rj</t>
  </si>
  <si>
    <t>D</t>
  </si>
  <si>
    <t>E</t>
  </si>
  <si>
    <r>
      <t xml:space="preserve">TỔNG HỢP TẢI PHÂN BỐ TÁC DỤNG VÀO KHUNG </t>
    </r>
    <r>
      <rPr>
        <b/>
        <sz val="14"/>
        <color indexed="10"/>
        <rFont val="Times New Roman"/>
        <family val="1"/>
      </rPr>
      <t>2</t>
    </r>
  </si>
  <si>
    <t>A-C</t>
  </si>
  <si>
    <t>C-D</t>
  </si>
  <si>
    <t>E-F</t>
  </si>
  <si>
    <r>
      <t>TỔNG HỢP TẢI TẬP TRUNG TÁC DỤNG VÀO KHUNG</t>
    </r>
    <r>
      <rPr>
        <b/>
        <sz val="14"/>
        <color indexed="10"/>
        <rFont val="Times New Roman"/>
        <family val="1"/>
      </rPr>
      <t xml:space="preserve"> 2</t>
    </r>
  </si>
  <si>
    <t>F</t>
  </si>
  <si>
    <t>TÍNH TẢI TÁC DỤNG VÀO DẦM CHÍNH LOẠI 3 VÀ PHẢN LỰC</t>
  </si>
  <si>
    <t>Dầm t.dụng tải Pi/ Ri (Rj)</t>
  </si>
  <si>
    <t>Ri</t>
  </si>
  <si>
    <t>!!!</t>
  </si>
  <si>
    <t>1-2</t>
  </si>
  <si>
    <t>2-3</t>
  </si>
  <si>
    <t>3-4</t>
  </si>
  <si>
    <t>4-5</t>
  </si>
  <si>
    <t>5-6</t>
  </si>
  <si>
    <t>6-7</t>
  </si>
  <si>
    <t>7-8</t>
  </si>
  <si>
    <t xml:space="preserve">                                                                                                                                                                                                                                                                                                                                                                                                                                                                                                                                                                                                                                                                                                                                                                                                                                                                                                                                                                                                                                                                                                                                                                                                                                                                                                                                                                                                                                                                                                                                                                                                                                                                                                                                                                                                                                                                                                                                                                                                                                                                                                                                                                                                                                                                                                                                                                                                                                                                                                                                                                                                                                                                                                                                                                                                                                                                                                                                                                                                                                                                                                                                                                                                                                                                                                                                                                                                                                                                                                                                                                                                                                                                                                                                                                                                                                                                                                                                                                                                                                                                                                                                                                                                                                                                                                                                                                                                                                                                                                                                                                                                                                                                                                                                                                                                                                                                                                                                                                                                                                                                                                                                                                  </t>
  </si>
  <si>
    <t>B1</t>
  </si>
  <si>
    <t>B2</t>
  </si>
  <si>
    <t>B</t>
  </si>
  <si>
    <t>Si</t>
  </si>
  <si>
    <t>Q</t>
  </si>
  <si>
    <t>KT dầm chọn</t>
  </si>
  <si>
    <t>L tường xây trên dầm</t>
  </si>
  <si>
    <t>KT cột chọn sơ bộ</t>
  </si>
  <si>
    <t>gc</t>
  </si>
  <si>
    <t>N</t>
  </si>
  <si>
    <t>Rb</t>
  </si>
  <si>
    <t>k</t>
  </si>
  <si>
    <t>cm</t>
  </si>
  <si>
    <t>b chọn</t>
  </si>
  <si>
    <t>Cột biên</t>
  </si>
  <si>
    <t>Tên sàn</t>
  </si>
  <si>
    <r>
      <t>Giá trị tiêu chuẩn (kN/m</t>
    </r>
    <r>
      <rPr>
        <vertAlign val="superscript"/>
        <sz val="13"/>
        <color rgb="FF000000"/>
        <rFont val="Times New Roman"/>
        <family val="1"/>
      </rPr>
      <t>2</t>
    </r>
    <r>
      <rPr>
        <sz val="13"/>
        <color rgb="FF000000"/>
        <rFont val="Times New Roman"/>
        <family val="1"/>
      </rPr>
      <t>)</t>
    </r>
  </si>
  <si>
    <t>Hệ số</t>
  </si>
  <si>
    <t>vượt tải</t>
  </si>
  <si>
    <t>Toàn phần</t>
  </si>
  <si>
    <t>Nhà để xe</t>
  </si>
  <si>
    <t>Showroom</t>
  </si>
  <si>
    <t>Kho</t>
  </si>
  <si>
    <t>Phòng ở, WC</t>
  </si>
  <si>
    <t>Mái bằng có sử dụng</t>
  </si>
  <si>
    <t>Mái bằng không có sử dụng</t>
  </si>
  <si>
    <t>tính toán kN/m2</t>
  </si>
  <si>
    <t>Phần ngắn hạn</t>
  </si>
  <si>
    <t>Phần dài hạn</t>
  </si>
  <si>
    <t>Thang, sảnh, hành lang, phòng kĩ thuật</t>
  </si>
  <si>
    <t>Tầng</t>
  </si>
  <si>
    <t>H (m)</t>
  </si>
  <si>
    <r>
      <t>Z</t>
    </r>
    <r>
      <rPr>
        <vertAlign val="subscript"/>
        <sz val="13"/>
        <color rgb="FF000000"/>
        <rFont val="Times New Roman"/>
        <family val="1"/>
      </rPr>
      <t xml:space="preserve">j </t>
    </r>
    <r>
      <rPr>
        <sz val="13"/>
        <color rgb="FF000000"/>
        <rFont val="Times New Roman"/>
        <family val="1"/>
      </rPr>
      <t>(m)</t>
    </r>
  </si>
  <si>
    <r>
      <t>k</t>
    </r>
    <r>
      <rPr>
        <vertAlign val="subscript"/>
        <sz val="13"/>
        <color rgb="FF000000"/>
        <rFont val="Times New Roman"/>
        <family val="1"/>
      </rPr>
      <t>j</t>
    </r>
  </si>
  <si>
    <t xml:space="preserve">Bề rộng </t>
  </si>
  <si>
    <r>
      <t>đón gió</t>
    </r>
    <r>
      <rPr>
        <b/>
        <sz val="13"/>
        <color rgb="FF000000"/>
        <rFont val="Times New Roman"/>
        <family val="1"/>
      </rPr>
      <t xml:space="preserve"> B </t>
    </r>
    <r>
      <rPr>
        <sz val="13"/>
        <color rgb="FF000000"/>
        <rFont val="Times New Roman"/>
        <family val="1"/>
      </rPr>
      <t>(m)</t>
    </r>
  </si>
  <si>
    <r>
      <t>W</t>
    </r>
    <r>
      <rPr>
        <b/>
        <vertAlign val="subscript"/>
        <sz val="13"/>
        <color rgb="FF000000"/>
        <rFont val="Times New Roman"/>
        <family val="1"/>
      </rPr>
      <t>j_đẩy</t>
    </r>
  </si>
  <si>
    <r>
      <t>W</t>
    </r>
    <r>
      <rPr>
        <b/>
        <vertAlign val="subscript"/>
        <sz val="13"/>
        <color rgb="FF000000"/>
        <rFont val="Times New Roman"/>
        <family val="1"/>
      </rPr>
      <t>j_hút</t>
    </r>
  </si>
  <si>
    <t>SUM</t>
  </si>
  <si>
    <t>Tầng Trệt</t>
  </si>
  <si>
    <t>Tải gió</t>
  </si>
  <si>
    <t>W0</t>
  </si>
  <si>
    <t>(dN/m)</t>
  </si>
  <si>
    <t>Tính cột khung C</t>
  </si>
  <si>
    <t>cột tính</t>
  </si>
  <si>
    <t>C2</t>
  </si>
  <si>
    <t>chiều cao tầng trệt</t>
  </si>
  <si>
    <t>Nội lực theo phương canh h</t>
  </si>
  <si>
    <t>Nmax</t>
  </si>
  <si>
    <t>Mtu</t>
  </si>
  <si>
    <t>Ntu</t>
  </si>
  <si>
    <t>T</t>
  </si>
  <si>
    <t>Nội lực theo phương canh b</t>
  </si>
  <si>
    <t>Tm</t>
  </si>
  <si>
    <t>td</t>
  </si>
  <si>
    <t>độ mảnh</t>
  </si>
  <si>
    <t>i=0,288b</t>
  </si>
  <si>
    <t>gh=</t>
  </si>
  <si>
    <t>e1</t>
  </si>
  <si>
    <t>ea</t>
  </si>
  <si>
    <t>e0</t>
  </si>
  <si>
    <t>e</t>
  </si>
  <si>
    <t>ε_0</t>
  </si>
  <si>
    <t>x'</t>
  </si>
  <si>
    <t>I. Thông số cột bê tông cốt thép</t>
  </si>
  <si>
    <t>a. Vật liệu</t>
  </si>
  <si>
    <t>- Mác bê tông:</t>
  </si>
  <si>
    <t>Cường độ nén</t>
  </si>
  <si>
    <t>Rb =</t>
  </si>
  <si>
    <t>Cường độ kéo</t>
  </si>
  <si>
    <t>Rbt =</t>
  </si>
  <si>
    <t>Modun đàn hồi</t>
  </si>
  <si>
    <t>Ebt =</t>
  </si>
  <si>
    <t>Rs =</t>
  </si>
  <si>
    <t>Rsc =</t>
  </si>
  <si>
    <t>-</t>
  </si>
  <si>
    <t>Đổ bê tông theo</t>
  </si>
  <si>
    <t>phương đứng, mỗi lớp dày trên 1,5 m</t>
  </si>
  <si>
    <t xml:space="preserve">Hàm lượng thép cột: </t>
  </si>
  <si>
    <t>(%)</t>
  </si>
  <si>
    <t>THIẾT LẬP DỮ LIỆU</t>
  </si>
  <si>
    <t>1. BÊ TÔNG</t>
  </si>
  <si>
    <t>Bảng1: Đặc Trưng vật liệu bê tông nặng tính theo TTGH thứ nhất</t>
  </si>
  <si>
    <t>Mác bê tông (B)</t>
  </si>
  <si>
    <t>B7,5</t>
  </si>
  <si>
    <t>B10</t>
  </si>
  <si>
    <t>B12,5</t>
  </si>
  <si>
    <t>B15</t>
  </si>
  <si>
    <t>B20</t>
  </si>
  <si>
    <t>B22,5</t>
  </si>
  <si>
    <t>B30</t>
  </si>
  <si>
    <t>B35</t>
  </si>
  <si>
    <t>B40</t>
  </si>
  <si>
    <t>B45</t>
  </si>
  <si>
    <t>Mác bê tông (M)</t>
  </si>
  <si>
    <t>Cường độ chịu nén Rb (Mpa)</t>
  </si>
  <si>
    <t>Cường độ chịu kéo Rbt (Mpa)</t>
  </si>
  <si>
    <t>2. CỐT THÉP</t>
  </si>
  <si>
    <t>Bảng2: Đặc Trưng vật liệu cốt thép tính theo TTGH thứ nhất</t>
  </si>
  <si>
    <t>Mác thép(A)</t>
  </si>
  <si>
    <t>AV</t>
  </si>
  <si>
    <t>AVI</t>
  </si>
  <si>
    <t>AVII</t>
  </si>
  <si>
    <t>Mác thép (C)</t>
  </si>
  <si>
    <t>Thép dọc chịu kéo Rs (Mpa)</t>
  </si>
  <si>
    <t>Thép ngang chịu kéo Rsw (Mpa)</t>
  </si>
  <si>
    <t>cường độ chịu nén Rsc (Mpa)</t>
  </si>
  <si>
    <t>Modun đàn hồi Eb(Mpa)</t>
  </si>
  <si>
    <t>Modun đàn hồi Es (Mpa)</t>
  </si>
  <si>
    <r>
      <t>m</t>
    </r>
    <r>
      <rPr>
        <vertAlign val="subscript"/>
        <sz val="13"/>
        <color indexed="8"/>
        <rFont val="Times New Roman"/>
        <family val="1"/>
      </rPr>
      <t xml:space="preserve">3 </t>
    </r>
    <r>
      <rPr>
        <sz val="13"/>
        <color indexed="8"/>
        <rFont val="Times New Roman"/>
        <family val="1"/>
      </rPr>
      <t>=</t>
    </r>
  </si>
  <si>
    <r>
      <t>m</t>
    </r>
    <r>
      <rPr>
        <vertAlign val="subscript"/>
        <sz val="13"/>
        <color indexed="8"/>
        <rFont val="Times New Roman"/>
        <family val="1"/>
      </rPr>
      <t xml:space="preserve">min </t>
    </r>
    <r>
      <rPr>
        <sz val="13"/>
        <color indexed="8"/>
        <rFont val="Times New Roman"/>
        <family val="1"/>
      </rPr>
      <t>=</t>
    </r>
  </si>
  <si>
    <r>
      <t>ξ</t>
    </r>
    <r>
      <rPr>
        <vertAlign val="subscript"/>
        <sz val="13"/>
        <color indexed="8"/>
        <rFont val="Times New Roman"/>
        <family val="1"/>
      </rPr>
      <t xml:space="preserve">R </t>
    </r>
    <r>
      <rPr>
        <sz val="13"/>
        <color indexed="8"/>
        <rFont val="Times New Roman"/>
        <family val="1"/>
      </rPr>
      <t>=</t>
    </r>
  </si>
  <si>
    <t>T/m2</t>
  </si>
  <si>
    <t>T/m3</t>
  </si>
  <si>
    <t>Mpa =</t>
  </si>
  <si>
    <t>- Thép nhóm (Φ&lt;10mm):</t>
  </si>
  <si>
    <t>- Thép nhóm (Φ≥10mm):</t>
  </si>
  <si>
    <t>- Vật liệu khác</t>
  </si>
  <si>
    <t>Gạch</t>
  </si>
  <si>
    <t>γ=</t>
  </si>
  <si>
    <t>Gạch lát nền Ceramic</t>
  </si>
  <si>
    <t>Vữa xây</t>
  </si>
  <si>
    <t>kN/m3⁡=</t>
  </si>
  <si>
    <t>γ
(T/m3)</t>
  </si>
  <si>
    <r>
      <t xml:space="preserve"> </t>
    </r>
    <r>
      <rPr>
        <b/>
        <sz val="13"/>
        <color rgb="FF000000"/>
        <rFont val="Times New Roman"/>
        <family val="1"/>
      </rPr>
      <t>(T/m</t>
    </r>
    <r>
      <rPr>
        <b/>
        <vertAlign val="superscript"/>
        <sz val="13"/>
        <color rgb="FF000000"/>
        <rFont val="Times New Roman"/>
        <family val="1"/>
      </rPr>
      <t>2</t>
    </r>
    <r>
      <rPr>
        <b/>
        <sz val="13"/>
        <color rgb="FF000000"/>
        <rFont val="Times New Roman"/>
        <family val="1"/>
      </rPr>
      <t xml:space="preserve"> )</t>
    </r>
  </si>
  <si>
    <r>
      <t>( T/m</t>
    </r>
    <r>
      <rPr>
        <b/>
        <vertAlign val="superscript"/>
        <sz val="13"/>
        <color rgb="FF000000"/>
        <rFont val="Times New Roman"/>
        <family val="1"/>
      </rPr>
      <t>2</t>
    </r>
    <r>
      <rPr>
        <b/>
        <sz val="13"/>
        <color rgb="FF000000"/>
        <rFont val="Times New Roman"/>
        <family val="1"/>
      </rPr>
      <t xml:space="preserve"> )</t>
    </r>
  </si>
  <si>
    <r>
      <t>p</t>
    </r>
    <r>
      <rPr>
        <b/>
        <vertAlign val="superscript"/>
        <sz val="13"/>
        <color rgb="FF000000"/>
        <rFont val="Times New Roman"/>
        <family val="1"/>
      </rPr>
      <t>tc</t>
    </r>
    <r>
      <rPr>
        <b/>
        <sz val="13"/>
        <color rgb="FF000000"/>
        <rFont val="Times New Roman"/>
        <family val="1"/>
      </rPr>
      <t xml:space="preserve"> (T/m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</si>
  <si>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(T/m</t>
    </r>
    <r>
      <rPr>
        <b/>
        <vertAlign val="superscript"/>
        <sz val="13"/>
        <color rgb="FF000000"/>
        <rFont val="Times New Roman"/>
        <family val="1"/>
      </rPr>
      <t>2</t>
    </r>
    <r>
      <rPr>
        <b/>
        <sz val="13"/>
        <color rgb="FF000000"/>
        <rFont val="Times New Roman"/>
        <family val="1"/>
      </rPr>
      <t>)</t>
    </r>
  </si>
  <si>
    <t>Bảng 0‑5: Tải tường qui về phân bố đều trên sàn các trường hợp còn lịa</t>
  </si>
  <si>
    <t>Tường 200</t>
  </si>
  <si>
    <r>
      <t>(T/m</t>
    </r>
    <r>
      <rPr>
        <b/>
        <vertAlign val="superscript"/>
        <sz val="13"/>
        <color rgb="FF000000"/>
        <rFont val="Times New Roman"/>
        <family val="1"/>
      </rPr>
      <t>3</t>
    </r>
    <r>
      <rPr>
        <b/>
        <sz val="13"/>
        <color rgb="FF000000"/>
        <rFont val="Times New Roman"/>
        <family val="1"/>
      </rPr>
      <t>)</t>
    </r>
  </si>
  <si>
    <r>
      <t>T/m</t>
    </r>
    <r>
      <rPr>
        <b/>
        <vertAlign val="superscript"/>
        <sz val="13"/>
        <color rgb="FF000000"/>
        <rFont val="Times New Roman"/>
        <family val="1"/>
      </rPr>
      <t>2</t>
    </r>
    <r>
      <rPr>
        <b/>
        <sz val="13"/>
        <color rgb="FF000000"/>
        <rFont val="Times New Roman"/>
        <family val="1"/>
      </rPr>
      <t>)</t>
    </r>
  </si>
  <si>
    <t>Phô lôc 1: C­êng ®é tÝnh to¸n gèc cña bª t«ng khi tÝnh theo tr¹ng th¸i giíi h¹n thø nhÊt (§¬n vÞ Mpa)</t>
  </si>
  <si>
    <t>Tr¹ng th¸i</t>
  </si>
  <si>
    <t>Lo¹i bª t«ng</t>
  </si>
  <si>
    <t>CÊp ®é bÒn chÞu nÐn</t>
  </si>
  <si>
    <t>NÐn däc trôc Rb</t>
  </si>
  <si>
    <t>BT nÆng,BT h¹t nhá</t>
  </si>
  <si>
    <t>BT nhÑ</t>
  </si>
  <si>
    <t>BT tæ ong</t>
  </si>
  <si>
    <t>KÐo däc trôc Rbt</t>
  </si>
  <si>
    <t>BT nÆng</t>
  </si>
  <si>
    <t>BT h¹t nhá nhãm:</t>
  </si>
  <si>
    <t>BT nhÑ cèt liÖu</t>
  </si>
  <si>
    <t>§Æc</t>
  </si>
  <si>
    <t>Rçng</t>
  </si>
  <si>
    <t>Ghi chó</t>
  </si>
  <si>
    <t>*&gt; Công thức chuyển đổi giữa cấp độ bền và mác bê tông</t>
  </si>
  <si>
    <t xml:space="preserve">                                                                                 1MPa=10 KG/cm2; α=0,1; β=1-1,64v ;với v=0,135 =&gt;β=0,778</t>
  </si>
  <si>
    <t>Phô lôc 2: C­êng ®é tÝnh to¸n cña cèt thÐp(§¬n vÞ Mpa)</t>
  </si>
  <si>
    <t>Nhãm lo¹i cèt thÐp</t>
  </si>
  <si>
    <t>C­êng ®é chÞu kÐo</t>
  </si>
  <si>
    <t>C­êng ®é chÞu nÐn Rsc</t>
  </si>
  <si>
    <t>Cèt thÐp Rs</t>
  </si>
  <si>
    <t>Cèt thÐp ngang (CT ®ai,CT xiªn) Rsw</t>
  </si>
  <si>
    <t>CII,RB300</t>
  </si>
  <si>
    <t>(d=6-8)mm</t>
  </si>
  <si>
    <t>AIII1</t>
  </si>
  <si>
    <t>285(255)</t>
  </si>
  <si>
    <t>CIII,RB400,RB400W cã ®­êng kÝnh 10-40 mm</t>
  </si>
  <si>
    <t>AIII2</t>
  </si>
  <si>
    <t>290(225)</t>
  </si>
  <si>
    <t>RB500,RB500W</t>
  </si>
  <si>
    <t>450(400)</t>
  </si>
  <si>
    <t>500(400)</t>
  </si>
  <si>
    <t>Cã kiÓm so¸t ®é gi·n dµi vµ øng suÊt</t>
  </si>
  <si>
    <t>ChØ kiÓm so¸t ®é gi·n dµi</t>
  </si>
  <si>
    <t>Ghi Chó:</t>
  </si>
  <si>
    <t>1.C­êng ®é tÝnh to¸n cña cèt thÐp Rs,Rsw,Rsc lÊy theo gi¸ trÞ t­¬ng øng trong b¶ng.Trong 1 sè</t>
  </si>
  <si>
    <t>tr­êng hîp cÇn ph¶i nh©n c¸c gi¸ trÞ ®· cho víi c¸c hÖ sè ®k lµm viÖc</t>
  </si>
  <si>
    <t>2.Trong khung cèt thÐp hµn,víi cèt thÐp ®ai CIII,AIII,RB400,RB400W cã ®­êng kÝnh nhá h¬n</t>
  </si>
  <si>
    <t>1/3 ®­êng kÝnh cèt thÐp däc th× Rsw=255</t>
  </si>
  <si>
    <t>3.Gi¸ trÞ Rsc=450 vµ 500 cho trong b¶ng lµ dïng cho kÕt cÊu lµm b»ng bª t«ng nÆng,BT h¹t nhá,Bt nhÑ</t>
  </si>
  <si>
    <t>khi trong tÝnh to¸n kÓ ®Õn t¶i träng theo môc 2a ë phô lôc 14, cÇn lÊy Rsc=400 khi kÓ ®Ðn t¶i träng theo môc 2b.</t>
  </si>
  <si>
    <t>§èi víi kc lµm tõ bª t«ng tæ ong vµ BT rçng trong mäi tr­êng hîp lÊy Rsc=400</t>
  </si>
  <si>
    <t xml:space="preserve">Phô lôc 3: B¶ng tra diÖn tÝch cèt thÐp cña b¶n </t>
  </si>
  <si>
    <t>Kho¶ng c¸ch a(mm)</t>
  </si>
  <si>
    <t>DiÖn tÝch: mm2 øng víi ®­êng kÝnh cèt thÐp</t>
  </si>
  <si>
    <t>6\8</t>
  </si>
  <si>
    <t>8\10</t>
  </si>
  <si>
    <t>10\12</t>
  </si>
  <si>
    <t>KÝ hiÖu 6\8 lµ dïng c¸c thanh phi 6 vµ phi 8 ®Æt xen kÏ nhau</t>
  </si>
  <si>
    <t>Phô lôc 4: Moduyn ®µn håi Eb cña bª t«ng</t>
  </si>
  <si>
    <t>M300</t>
  </si>
  <si>
    <t>Phô lôc 5</t>
  </si>
  <si>
    <t>( HÖ sè ®Ó tÝnh momen d¶i bµn nhiÒu nhÞp b»ng nhau, chÞu t¶i träng ph©n bè ®Òu )</t>
  </si>
  <si>
    <t>theo s¬ ®å ®µn håi</t>
  </si>
  <si>
    <t>M</t>
  </si>
  <si>
    <t>D¶i 5 nhÞp</t>
  </si>
  <si>
    <t>D¶i 4 nhÞp</t>
  </si>
  <si>
    <t>D¶i 3 nhÞp</t>
  </si>
  <si>
    <t>D¶i 2 nhÞp</t>
  </si>
  <si>
    <r>
      <t>M</t>
    </r>
    <r>
      <rPr>
        <b/>
        <sz val="8"/>
        <rFont val=".VnArial"/>
        <family val="2"/>
      </rPr>
      <t>B</t>
    </r>
  </si>
  <si>
    <r>
      <t>M</t>
    </r>
    <r>
      <rPr>
        <b/>
        <sz val="8"/>
        <rFont val=".VnArial"/>
        <family val="2"/>
      </rPr>
      <t>C</t>
    </r>
  </si>
  <si>
    <t>M3</t>
  </si>
  <si>
    <t>S¬ ®å 1</t>
  </si>
  <si>
    <t>S¬ ®å 2</t>
  </si>
  <si>
    <t>S¬ ®å 3</t>
  </si>
  <si>
    <t>S¬ ®å 4</t>
  </si>
  <si>
    <t>S¬ ®å 5</t>
  </si>
  <si>
    <t>S¬ ®å 6</t>
  </si>
  <si>
    <t>S¬ ®å 7</t>
  </si>
  <si>
    <t>S¬ ®å 8</t>
  </si>
  <si>
    <t>S¬ ®å 9</t>
  </si>
  <si>
    <t>S¬ ®å 10</t>
  </si>
  <si>
    <t>S¬ ®å 11</t>
  </si>
  <si>
    <t>TÝnh To¸n ThÐp Sµn T1-T9 Cèt: +0,000 §Õn +26,400</t>
  </si>
  <si>
    <t>¤ 3,57 x 3,3 m</t>
  </si>
  <si>
    <t>1.Th«ng sè ®Çu vµo.</t>
  </si>
  <si>
    <t>+ Bª t«ng cÊp ®é bÒn</t>
  </si>
  <si>
    <t>B25(M350)</t>
  </si>
  <si>
    <t>+ ThÐp nhãm</t>
  </si>
  <si>
    <t>Rb (T/m2)</t>
  </si>
  <si>
    <t>Rs (T/m2)</t>
  </si>
  <si>
    <t>H (mm)</t>
  </si>
  <si>
    <t>a (mm)</t>
  </si>
  <si>
    <t>Ho (mm)</t>
  </si>
  <si>
    <t>+ KÝch th­íc « sµn:</t>
  </si>
  <si>
    <t xml:space="preserve"> L2 = </t>
  </si>
  <si>
    <t>( m )</t>
  </si>
  <si>
    <t>L1 =</t>
  </si>
  <si>
    <t>2.T¶i träng t¸c dông</t>
  </si>
  <si>
    <t>+TÜnh t¶i</t>
  </si>
  <si>
    <t>=</t>
  </si>
  <si>
    <t>T/m</t>
  </si>
  <si>
    <t>+Ho¹t t¶i</t>
  </si>
  <si>
    <t>+Céng q</t>
  </si>
  <si>
    <t>3.S¬ ®å tÝnh-C¸c hÖ sè</t>
  </si>
  <si>
    <t>+  L2/L1</t>
  </si>
  <si>
    <t xml:space="preserve"> &lt; 2</t>
  </si>
  <si>
    <t>+ S¬ ®å tÝnh:</t>
  </si>
  <si>
    <t>SƠ ĐỒ 9</t>
  </si>
  <si>
    <t>+ Tra c¸c hÖ sè:</t>
  </si>
  <si>
    <t>CËn d­íi</t>
  </si>
  <si>
    <t>Tra b¶ng</t>
  </si>
  <si>
    <t>CËn trªn</t>
  </si>
  <si>
    <t>4.Tæng t¶i träng t¸c dông lªn sµn</t>
  </si>
  <si>
    <t>P=q.L1.L2</t>
  </si>
  <si>
    <t>( TÊn )</t>
  </si>
  <si>
    <t>5.Néi lùc trong b¶n sµn</t>
  </si>
  <si>
    <t>Mn1=</t>
  </si>
  <si>
    <t>P.m1</t>
  </si>
  <si>
    <t>( Tm )</t>
  </si>
  <si>
    <t>Mn2=</t>
  </si>
  <si>
    <t>P.m2</t>
  </si>
  <si>
    <t>Mg1=</t>
  </si>
  <si>
    <t>P.k1</t>
  </si>
  <si>
    <t>Mg2=</t>
  </si>
  <si>
    <t>P.k2</t>
  </si>
  <si>
    <t>6.KiÓm tra cèt thÐp</t>
  </si>
  <si>
    <t>a.ThÐp chÞu Mn1=</t>
  </si>
  <si>
    <t>=&gt;</t>
  </si>
  <si>
    <t xml:space="preserve">   ( Cm2)   ;</t>
  </si>
  <si>
    <t>( % )</t>
  </si>
  <si>
    <t xml:space="preserve">-ThiÕt kÕ bè trÝ thÐp </t>
  </si>
  <si>
    <t>As(tk) =</t>
  </si>
  <si>
    <t>( Cm2 )</t>
  </si>
  <si>
    <t xml:space="preserve">               =</t>
  </si>
  <si>
    <t xml:space="preserve">- Ta thÊy : </t>
  </si>
  <si>
    <t>As(tk) &gt; As(yc)</t>
  </si>
  <si>
    <t>b.ThÐp chÞu Mn2=</t>
  </si>
  <si>
    <t>( Cm2)  ;</t>
  </si>
  <si>
    <t>c.ThÐp chÞu Mg1=</t>
  </si>
  <si>
    <t xml:space="preserve">  ( Cm2)  ;</t>
  </si>
  <si>
    <t>d.ThÐp chÞu Mg2=</t>
  </si>
  <si>
    <t>7.KÕt LuËn</t>
  </si>
  <si>
    <t>-Sµn thiÕt kÕ bè trÝ ®ñ cèt thÐp.Sµn ®¶m b¶o kh¶ n¨ng chÞu t¶i</t>
  </si>
  <si>
    <t>¤ 2,18 x 6,86</t>
  </si>
  <si>
    <t>+TÜnh t¶i g</t>
  </si>
  <si>
    <t>+Ho¹t t¶i p</t>
  </si>
  <si>
    <t xml:space="preserve"> &gt; 2</t>
  </si>
  <si>
    <t>LV 2 Ph­¬ng</t>
  </si>
  <si>
    <t>4.Néi lùc trong b¶n sµn</t>
  </si>
  <si>
    <t>TiÕt DiÖn</t>
  </si>
  <si>
    <t xml:space="preserve">M </t>
  </si>
  <si>
    <t>§¬n VÞ</t>
  </si>
  <si>
    <t xml:space="preserve">M (Gèi) </t>
  </si>
  <si>
    <t>M (NhÞp)</t>
  </si>
  <si>
    <t>a.ThÐp chÞu Mn=</t>
  </si>
  <si>
    <t>b.ThÐp chÞu Mg=</t>
  </si>
  <si>
    <t>Hs</t>
  </si>
  <si>
    <r>
      <t>(T/m</t>
    </r>
    <r>
      <rPr>
        <vertAlign val="superscript"/>
        <sz val="12"/>
        <rFont val="Times New Roman"/>
        <family val="1"/>
      </rPr>
      <t>2</t>
    </r>
    <r>
      <rPr>
        <sz val="12"/>
        <rFont val="Times New Roman"/>
        <family val="1"/>
      </rPr>
      <t>)</t>
    </r>
  </si>
  <si>
    <t>(T/m)</t>
  </si>
  <si>
    <r>
      <rPr>
        <sz val="14"/>
        <color indexed="10"/>
        <rFont val=".VnTime"/>
        <family val="2"/>
      </rPr>
      <t>Mµu ®á</t>
    </r>
    <r>
      <rPr>
        <sz val="11"/>
        <color theme="1"/>
        <rFont val=".VnTime"/>
        <family val="2"/>
      </rPr>
      <t>: lµ nhËp d÷ liÖu</t>
    </r>
  </si>
  <si>
    <r>
      <rPr>
        <sz val="14"/>
        <color indexed="17"/>
        <rFont val=".VnTime"/>
        <family val="2"/>
      </rPr>
      <t xml:space="preserve">Mµu xanh: </t>
    </r>
    <r>
      <rPr>
        <sz val="11"/>
        <color theme="1"/>
        <rFont val=".VnTime"/>
        <family val="2"/>
      </rPr>
      <t>Kh«ng cÇn nhËp, d÷ liÖu tù tÝnh</t>
    </r>
  </si>
  <si>
    <t>(T/m2)</t>
  </si>
  <si>
    <r>
      <t>B12,5(</t>
    </r>
    <r>
      <rPr>
        <sz val="13"/>
        <color indexed="30"/>
        <rFont val=".VnTime"/>
        <family val="2"/>
      </rPr>
      <t>M150</t>
    </r>
    <r>
      <rPr>
        <sz val="13"/>
        <color theme="1"/>
        <rFont val=".VnTime"/>
        <family val="2"/>
      </rPr>
      <t>)</t>
    </r>
  </si>
  <si>
    <r>
      <t>B15(</t>
    </r>
    <r>
      <rPr>
        <sz val="13"/>
        <color indexed="30"/>
        <rFont val=".VnTime"/>
        <family val="2"/>
      </rPr>
      <t>M200</t>
    </r>
    <r>
      <rPr>
        <sz val="13"/>
        <color theme="1"/>
        <rFont val=".VnTime"/>
        <family val="2"/>
      </rPr>
      <t>)</t>
    </r>
  </si>
  <si>
    <r>
      <t>B20(</t>
    </r>
    <r>
      <rPr>
        <sz val="13"/>
        <color indexed="30"/>
        <rFont val=".VnTime"/>
        <family val="2"/>
      </rPr>
      <t>M250</t>
    </r>
    <r>
      <rPr>
        <sz val="13"/>
        <color theme="1"/>
        <rFont val=".VnTime"/>
        <family val="2"/>
      </rPr>
      <t>)</t>
    </r>
  </si>
  <si>
    <r>
      <t>B22,5(</t>
    </r>
    <r>
      <rPr>
        <sz val="13"/>
        <color indexed="30"/>
        <rFont val=".VnTime"/>
        <family val="2"/>
      </rPr>
      <t>M300</t>
    </r>
    <r>
      <rPr>
        <sz val="13"/>
        <color theme="1"/>
        <rFont val=".VnTime"/>
        <family val="2"/>
      </rPr>
      <t>)</t>
    </r>
  </si>
  <si>
    <r>
      <t>B25(</t>
    </r>
    <r>
      <rPr>
        <sz val="13"/>
        <color indexed="30"/>
        <rFont val=".VnTime"/>
        <family val="2"/>
      </rPr>
      <t>M350</t>
    </r>
    <r>
      <rPr>
        <sz val="13"/>
        <color theme="1"/>
        <rFont val=".VnTime"/>
        <family val="2"/>
      </rPr>
      <t>)</t>
    </r>
  </si>
  <si>
    <r>
      <t>B30(</t>
    </r>
    <r>
      <rPr>
        <sz val="13"/>
        <color indexed="30"/>
        <rFont val=".VnTime"/>
        <family val="2"/>
      </rPr>
      <t>M400</t>
    </r>
    <r>
      <rPr>
        <sz val="13"/>
        <color theme="1"/>
        <rFont val=".VnTime"/>
        <family val="2"/>
      </rPr>
      <t>)</t>
    </r>
  </si>
  <si>
    <r>
      <t>B35(</t>
    </r>
    <r>
      <rPr>
        <sz val="13"/>
        <color indexed="30"/>
        <rFont val=".VnTime"/>
        <family val="2"/>
      </rPr>
      <t>M450</t>
    </r>
    <r>
      <rPr>
        <sz val="13"/>
        <color theme="1"/>
        <rFont val=".VnTime"/>
        <family val="2"/>
      </rPr>
      <t>)</t>
    </r>
  </si>
  <si>
    <r>
      <t>B40(</t>
    </r>
    <r>
      <rPr>
        <sz val="13"/>
        <color indexed="30"/>
        <rFont val=".VnTime"/>
        <family val="2"/>
      </rPr>
      <t>M500</t>
    </r>
    <r>
      <rPr>
        <sz val="13"/>
        <color theme="1"/>
        <rFont val=".VnTime"/>
        <family val="2"/>
      </rPr>
      <t>)</t>
    </r>
  </si>
  <si>
    <r>
      <t>B45(</t>
    </r>
    <r>
      <rPr>
        <sz val="13"/>
        <color indexed="30"/>
        <rFont val=".VnTime"/>
        <family val="2"/>
      </rPr>
      <t>M600</t>
    </r>
    <r>
      <rPr>
        <sz val="13"/>
        <color theme="1"/>
        <rFont val=".VnTime"/>
        <family val="2"/>
      </rPr>
      <t>)</t>
    </r>
  </si>
  <si>
    <r>
      <t>B50(</t>
    </r>
    <r>
      <rPr>
        <sz val="13"/>
        <color indexed="30"/>
        <rFont val=".VnTime"/>
        <family val="2"/>
      </rPr>
      <t>M700</t>
    </r>
    <r>
      <rPr>
        <sz val="13"/>
        <color theme="1"/>
        <rFont val=".VnTime"/>
        <family val="2"/>
      </rPr>
      <t>)</t>
    </r>
  </si>
  <si>
    <r>
      <t>B55(</t>
    </r>
    <r>
      <rPr>
        <sz val="13"/>
        <color indexed="30"/>
        <rFont val=".VnTime"/>
        <family val="2"/>
      </rPr>
      <t>M750</t>
    </r>
    <r>
      <rPr>
        <sz val="13"/>
        <color theme="1"/>
        <rFont val=".VnTime"/>
        <family val="2"/>
      </rPr>
      <t>)</t>
    </r>
  </si>
  <si>
    <r>
      <t>B60(</t>
    </r>
    <r>
      <rPr>
        <sz val="13"/>
        <color indexed="30"/>
        <rFont val=".VnTime"/>
        <family val="2"/>
      </rPr>
      <t>M800</t>
    </r>
    <r>
      <rPr>
        <sz val="13"/>
        <color theme="1"/>
        <rFont val=".VnTime"/>
        <family val="2"/>
      </rPr>
      <t>)</t>
    </r>
  </si>
  <si>
    <r>
      <rPr>
        <sz val="13"/>
        <color indexed="10"/>
        <rFont val=".VnTime"/>
        <family val="2"/>
      </rPr>
      <t>1</t>
    </r>
    <r>
      <rPr>
        <sz val="13"/>
        <color theme="1"/>
        <rFont val=".VnTime"/>
        <family val="2"/>
      </rPr>
      <t>.</t>
    </r>
    <r>
      <rPr>
        <sz val="13"/>
        <color indexed="8"/>
        <rFont val=".VnTime"/>
        <family val="2"/>
      </rPr>
      <t xml:space="preserve">Nhãm bª t«ng h¹t nhá xem ®iÒu </t>
    </r>
    <r>
      <rPr>
        <b/>
        <sz val="13"/>
        <color indexed="8"/>
        <rFont val=".VnTime"/>
        <family val="2"/>
      </rPr>
      <t>5.1.1.3</t>
    </r>
    <r>
      <rPr>
        <sz val="13"/>
        <color indexed="8"/>
        <rFont val=".VnTime"/>
        <family val="2"/>
      </rPr>
      <t>. TCVN 356-2005</t>
    </r>
  </si>
  <si>
    <r>
      <rPr>
        <sz val="13"/>
        <color indexed="10"/>
        <rFont val=".VnTime"/>
        <family val="2"/>
      </rPr>
      <t>2</t>
    </r>
    <r>
      <rPr>
        <sz val="13"/>
        <color theme="1"/>
        <rFont val=".VnTime"/>
        <family val="2"/>
      </rPr>
      <t xml:space="preserve">.Ký hiÖu M ®Ó chØ m¸c bª t«ng theo quy ®Þnh tr­íc ®©y. </t>
    </r>
    <r>
      <rPr>
        <sz val="13"/>
        <color indexed="8"/>
        <rFont val=".VnTime"/>
        <family val="2"/>
      </rPr>
      <t>T</t>
    </r>
    <r>
      <rPr>
        <sz val="13"/>
        <color theme="1"/>
        <rFont val=".VnTime"/>
        <family val="2"/>
      </rPr>
      <t>­¬ng quan gi÷a c¸c gi¸ trÞ cÊp ®é bÒn cña bª t«ng vµ m¸c bª t«ng cho trong B¶ng A.1 vµ A.2, Phô lôc A trong tiªu chuÈn nµy.</t>
    </r>
  </si>
  <si>
    <r>
      <rPr>
        <sz val="13"/>
        <color indexed="10"/>
        <rFont val=".VnTime"/>
        <family val="2"/>
      </rPr>
      <t>3</t>
    </r>
    <r>
      <rPr>
        <sz val="13"/>
        <color indexed="8"/>
        <rFont val=".VnTime"/>
        <family val="2"/>
      </rPr>
      <t>.C¸c gi¸ trÞ c­êng ®é cña bª t«ng tæ ong trong b¶ng øng víi bª t«ng tæ ong cã ®é Èm lµ 10%.</t>
    </r>
  </si>
  <si>
    <r>
      <rPr>
        <sz val="13"/>
        <color indexed="10"/>
        <rFont val=".VnTime"/>
        <family val="2"/>
      </rPr>
      <t>4</t>
    </r>
    <r>
      <rPr>
        <sz val="13"/>
        <color theme="1"/>
        <rFont val=".VnTime"/>
        <family val="2"/>
      </rPr>
      <t>.§èi víi bª t«ng Keramzit – Perlit cã cèt liÖu b»ng c¸t Perlit, gi¸ trÞ Rbt ®­îc lÊy b»ng gi¸ trÞ cña bª t«ng nhÑ cã cèt liÖu c¸t h¹t xèp nh©n víi 0,85.</t>
    </r>
  </si>
  <si>
    <r>
      <rPr>
        <sz val="13"/>
        <color indexed="10"/>
        <rFont val=".VnTime"/>
        <family val="2"/>
      </rPr>
      <t>5</t>
    </r>
    <r>
      <rPr>
        <sz val="13"/>
        <color theme="1"/>
        <rFont val=".VnTime"/>
        <family val="2"/>
      </rPr>
      <t>.§èi víi bª t«ng rçng, gi¸ trÞ Rb ®­îc lÊy nh­ ®èi víi bª t«ng nhÑ; cßn gi¸ trÞ Rbt  nh©n thªm víi 0,7.</t>
    </r>
  </si>
  <si>
    <r>
      <rPr>
        <sz val="13"/>
        <color indexed="10"/>
        <rFont val=".VnTime"/>
        <family val="2"/>
      </rPr>
      <t>6</t>
    </r>
    <r>
      <rPr>
        <sz val="13"/>
        <color theme="1"/>
        <rFont val=".VnTime"/>
        <family val="2"/>
      </rPr>
      <t xml:space="preserve">.§èi víi bª t«ng tù øng suÊt, gi¸ trÞ Rb ®­îc lÊy nh­ ®èi víi bª t«ng nÆng, cßn gi¸ trÞ Rbt </t>
    </r>
    <r>
      <rPr>
        <b/>
        <sz val="13"/>
        <color indexed="8"/>
        <rFont val=".VnTime"/>
        <family val="2"/>
      </rPr>
      <t xml:space="preserve"> </t>
    </r>
    <r>
      <rPr>
        <sz val="13"/>
        <color theme="1"/>
        <rFont val=".VnTime"/>
        <family val="2"/>
      </rPr>
      <t>nh©n víi 1,2.</t>
    </r>
  </si>
  <si>
    <r>
      <t xml:space="preserve">                    </t>
    </r>
    <r>
      <rPr>
        <b/>
        <sz val="13"/>
        <rFont val=".VnTime"/>
        <family val="2"/>
      </rPr>
      <t xml:space="preserve">               B=αβM</t>
    </r>
  </si>
  <si>
    <r>
      <t>AIII</t>
    </r>
    <r>
      <rPr>
        <sz val="13"/>
        <color indexed="8"/>
        <rFont val=".VnTime"/>
        <family val="2"/>
      </rPr>
      <t>B</t>
    </r>
  </si>
  <si>
    <t>BẢNG TÍNH VÀ BỐ TRÍ THÉP SÀN</t>
  </si>
  <si>
    <r>
      <rPr>
        <sz val="13"/>
        <color indexed="10"/>
        <rFont val="Times New Roman"/>
        <family val="1"/>
      </rPr>
      <t>Mµu ®á</t>
    </r>
    <r>
      <rPr>
        <sz val="13"/>
        <color indexed="8"/>
        <rFont val="Times New Roman"/>
        <family val="1"/>
      </rPr>
      <t>: lµ nhËp d÷ liÖu</t>
    </r>
  </si>
  <si>
    <r>
      <rPr>
        <sz val="13"/>
        <color indexed="17"/>
        <rFont val="Times New Roman"/>
        <family val="1"/>
      </rPr>
      <t xml:space="preserve">Mµu xanh: </t>
    </r>
    <r>
      <rPr>
        <sz val="13"/>
        <color indexed="8"/>
        <rFont val="Times New Roman"/>
        <family val="1"/>
      </rPr>
      <t>Kh«ng cÇn nhËp, d÷ liÖu tù tÝnh</t>
    </r>
  </si>
  <si>
    <r>
      <t xml:space="preserve">a =   </t>
    </r>
    <r>
      <rPr>
        <sz val="13"/>
        <color indexed="10"/>
        <rFont val="Times New Roman"/>
        <family val="1"/>
      </rPr>
      <t xml:space="preserve"> </t>
    </r>
  </si>
  <si>
    <t>1.1.1.1. Tính toán theo phương cạnh h</t>
  </si>
  <si>
    <t>Thống kê thép</t>
  </si>
  <si>
    <t>Thép cọc</t>
  </si>
  <si>
    <t>Dọc</t>
  </si>
  <si>
    <t>Mũi</t>
  </si>
  <si>
    <t>Đai</t>
  </si>
  <si>
    <t>Lưới</t>
  </si>
  <si>
    <t>số cọc</t>
  </si>
  <si>
    <t>số tim</t>
  </si>
  <si>
    <t>Thép móng</t>
  </si>
  <si>
    <t>THEP DAM</t>
  </si>
  <si>
    <t>Phi</t>
  </si>
  <si>
    <t>Chieu dai</t>
  </si>
  <si>
    <t>so thanh</t>
  </si>
  <si>
    <t>so cau kien</t>
  </si>
  <si>
    <t>tong chieu dai</t>
  </si>
  <si>
    <t>1A</t>
  </si>
  <si>
    <t>2A</t>
  </si>
  <si>
    <t>3A</t>
  </si>
  <si>
    <t>4A</t>
  </si>
  <si>
    <t>PHI</t>
  </si>
  <si>
    <t>CHIEU DAI</t>
  </si>
  <si>
    <t>SO THANH</t>
  </si>
  <si>
    <t>TONG CHIEU DAI</t>
  </si>
  <si>
    <t>KHOI LUONG</t>
  </si>
  <si>
    <t>Tên cột</t>
  </si>
  <si>
    <t>Phần tử</t>
  </si>
  <si>
    <t>h</t>
  </si>
  <si>
    <t>Chiều dài</t>
  </si>
  <si>
    <t>Vị trí</t>
  </si>
  <si>
    <t>Mômen M2</t>
  </si>
  <si>
    <t>(T.m)</t>
  </si>
  <si>
    <t>Mômen M3</t>
  </si>
  <si>
    <t>Lực dọc</t>
  </si>
  <si>
    <t>(T)</t>
  </si>
  <si>
    <r>
      <t>A</t>
    </r>
    <r>
      <rPr>
        <b/>
        <vertAlign val="subscript"/>
        <sz val="10"/>
        <color rgb="FF000000"/>
        <rFont val="Tahoma"/>
        <family val="2"/>
      </rPr>
      <t>S</t>
    </r>
  </si>
  <si>
    <r>
      <t>(cm</t>
    </r>
    <r>
      <rPr>
        <b/>
        <vertAlign val="superscript"/>
        <sz val="10"/>
        <color rgb="FF000000"/>
        <rFont val="Tahoma"/>
        <family val="2"/>
      </rPr>
      <t>2</t>
    </r>
    <r>
      <rPr>
        <b/>
        <sz val="10"/>
        <color rgb="FF000000"/>
        <rFont val="Tahoma"/>
        <family val="2"/>
      </rPr>
      <t>)</t>
    </r>
  </si>
  <si>
    <t>TVTK Bố trí thép</t>
  </si>
  <si>
    <r>
      <t>A</t>
    </r>
    <r>
      <rPr>
        <b/>
        <vertAlign val="subscript"/>
        <sz val="10"/>
        <color theme="1"/>
        <rFont val="Tahoma"/>
        <family val="2"/>
      </rPr>
      <t>Sbt</t>
    </r>
  </si>
  <si>
    <r>
      <t>(cm</t>
    </r>
    <r>
      <rPr>
        <b/>
        <vertAlign val="superscript"/>
        <sz val="10"/>
        <color theme="1"/>
        <rFont val="Tahoma"/>
        <family val="2"/>
      </rPr>
      <t>2</t>
    </r>
    <r>
      <rPr>
        <b/>
        <sz val="10"/>
        <color theme="1"/>
        <rFont val="Tahoma"/>
        <family val="2"/>
      </rPr>
      <t>)</t>
    </r>
  </si>
  <si>
    <r>
      <t>m</t>
    </r>
    <r>
      <rPr>
        <b/>
        <vertAlign val="subscript"/>
        <sz val="8.5"/>
        <color theme="1"/>
        <rFont val="Tahoma"/>
        <family val="2"/>
      </rPr>
      <t>bt</t>
    </r>
  </si>
  <si>
    <r>
      <t>A</t>
    </r>
    <r>
      <rPr>
        <b/>
        <vertAlign val="subscript"/>
        <sz val="10"/>
        <color theme="1"/>
        <rFont val="Tahoma"/>
        <family val="2"/>
      </rPr>
      <t xml:space="preserve">sbt </t>
    </r>
    <r>
      <rPr>
        <b/>
        <sz val="10"/>
        <color theme="1"/>
        <rFont val="Tahoma"/>
        <family val="2"/>
      </rPr>
      <t>- A</t>
    </r>
    <r>
      <rPr>
        <b/>
        <vertAlign val="subscript"/>
        <sz val="10"/>
        <color theme="1"/>
        <rFont val="Tahoma"/>
        <family val="2"/>
      </rPr>
      <t>s</t>
    </r>
  </si>
  <si>
    <t>TẦNG TRỆT</t>
  </si>
  <si>
    <t>C1</t>
  </si>
  <si>
    <t>4F18</t>
  </si>
  <si>
    <t>TẦNG 1</t>
  </si>
  <si>
    <t>TẦNG 2</t>
  </si>
  <si>
    <t>C3</t>
  </si>
  <si>
    <t>C4</t>
  </si>
  <si>
    <t>C5</t>
  </si>
  <si>
    <t>C6</t>
  </si>
  <si>
    <t>C7</t>
  </si>
  <si>
    <t>C8</t>
  </si>
  <si>
    <t>tầng trệt: S=435,7 m², lầu 1: S=378,6 m²</t>
  </si>
  <si>
    <t>15</t>
  </si>
  <si>
    <t>a = L2/L1</t>
  </si>
  <si>
    <t>P=(ptt+gtt).L1.L2</t>
  </si>
  <si>
    <r>
      <t>R</t>
    </r>
    <r>
      <rPr>
        <b/>
        <vertAlign val="subscript"/>
        <sz val="12"/>
        <rFont val="Times New Roman"/>
        <family val="1"/>
      </rPr>
      <t>b</t>
    </r>
  </si>
  <si>
    <r>
      <t>R</t>
    </r>
    <r>
      <rPr>
        <b/>
        <vertAlign val="subscript"/>
        <sz val="12"/>
        <rFont val="Times New Roman"/>
        <family val="1"/>
      </rPr>
      <t>s</t>
    </r>
  </si>
  <si>
    <r>
      <t>a</t>
    </r>
    <r>
      <rPr>
        <b/>
        <vertAlign val="subscript"/>
        <sz val="12"/>
        <rFont val="Times New Roman"/>
        <family val="1"/>
      </rPr>
      <t>m</t>
    </r>
  </si>
  <si>
    <t>Giá trị M
(TM)</t>
  </si>
  <si>
    <r>
      <t>h</t>
    </r>
    <r>
      <rPr>
        <b/>
        <vertAlign val="subscript"/>
        <sz val="12"/>
        <rFont val="Times New Roman"/>
        <family val="1"/>
      </rPr>
      <t>o</t>
    </r>
    <r>
      <rPr>
        <b/>
        <sz val="12"/>
        <rFont val="Times New Roman"/>
        <family val="1"/>
      </rPr>
      <t xml:space="preserve">
(m)</t>
    </r>
  </si>
  <si>
    <t>b
(m)</t>
  </si>
  <si>
    <r>
      <t>A</t>
    </r>
    <r>
      <rPr>
        <b/>
        <vertAlign val="subscript"/>
        <sz val="12"/>
        <rFont val="Times New Roman"/>
        <family val="1"/>
      </rPr>
      <t>s</t>
    </r>
    <r>
      <rPr>
        <b/>
        <sz val="12"/>
        <rFont val="Times New Roman"/>
        <family val="1"/>
      </rPr>
      <t xml:space="preserve">
(cm2)</t>
    </r>
  </si>
  <si>
    <t>Chọn thép</t>
  </si>
  <si>
    <t>As
chọn</t>
  </si>
  <si>
    <t>Ký
hiệu
ô sàn</t>
  </si>
  <si>
    <t>Ký hiệu 
ô sàn</t>
  </si>
  <si>
    <r>
      <t>cm</t>
    </r>
    <r>
      <rPr>
        <i/>
        <vertAlign val="superscript"/>
        <sz val="12"/>
        <rFont val="Times New Roman"/>
        <family val="1"/>
      </rPr>
      <t>2</t>
    </r>
  </si>
  <si>
    <t>a m.m</t>
  </si>
  <si>
    <t>S1C</t>
  </si>
  <si>
    <r>
      <t>p</t>
    </r>
    <r>
      <rPr>
        <b/>
        <vertAlign val="superscript"/>
        <sz val="13"/>
        <color rgb="FF000000"/>
        <rFont val="Times New Roman"/>
        <family val="1"/>
      </rPr>
      <t>tc</t>
    </r>
    <r>
      <rPr>
        <b/>
        <sz val="13"/>
        <color rgb="FF000000"/>
        <rFont val="Times New Roman"/>
        <family val="1"/>
      </rPr>
      <t xml:space="preserve"> (daN/m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</si>
  <si>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(daN/m</t>
    </r>
    <r>
      <rPr>
        <b/>
        <vertAlign val="superscript"/>
        <sz val="13"/>
        <color rgb="FF000000"/>
        <rFont val="Times New Roman"/>
        <family val="1"/>
      </rPr>
      <t>2</t>
    </r>
    <r>
      <rPr>
        <b/>
        <sz val="13"/>
        <color rgb="FF000000"/>
        <rFont val="Times New Roman"/>
        <family val="1"/>
      </rPr>
      <t>)</t>
    </r>
  </si>
  <si>
    <t>ko don vi</t>
  </si>
  <si>
    <r>
      <t>Tm</t>
    </r>
    <r>
      <rPr>
        <i/>
        <vertAlign val="superscript"/>
        <sz val="11"/>
        <rFont val="Times New Roman"/>
        <family val="1"/>
      </rPr>
      <t>2</t>
    </r>
  </si>
  <si>
    <t>ζ</t>
  </si>
  <si>
    <t>μ</t>
  </si>
  <si>
    <r>
      <t>ξ</t>
    </r>
    <r>
      <rPr>
        <vertAlign val="subscript"/>
        <sz val="10"/>
        <color indexed="8"/>
        <rFont val="Tahoma"/>
        <family val="2"/>
        <charset val="163"/>
      </rPr>
      <t xml:space="preserve">R </t>
    </r>
    <r>
      <rPr>
        <sz val="10"/>
        <color indexed="8"/>
        <rFont val="Tahoma"/>
        <family val="2"/>
        <charset val="163"/>
      </rPr>
      <t>=</t>
    </r>
  </si>
  <si>
    <r>
      <t>α</t>
    </r>
    <r>
      <rPr>
        <vertAlign val="subscript"/>
        <sz val="10"/>
        <color indexed="8"/>
        <rFont val="Tahoma"/>
        <family val="2"/>
        <charset val="163"/>
      </rPr>
      <t>R</t>
    </r>
    <r>
      <rPr>
        <sz val="10"/>
        <color indexed="8"/>
        <rFont val="Tahoma"/>
        <family val="2"/>
        <charset val="163"/>
      </rPr>
      <t>=</t>
    </r>
  </si>
  <si>
    <t>μ_max</t>
  </si>
  <si>
    <t>Chiều dày tương đương lớp bậc thang</t>
  </si>
  <si>
    <t>Chiếu nghỉ g1</t>
  </si>
  <si>
    <t>g2 ve thang</t>
  </si>
  <si>
    <t>L3' B1</t>
  </si>
  <si>
    <t>tỉ số hd1/hs</t>
  </si>
  <si>
    <t>tỉ số B1/cosA</t>
  </si>
  <si>
    <t>tỉ số L1cosA/B1</t>
  </si>
  <si>
    <t>hs=L0/30 - L0/35</t>
  </si>
  <si>
    <t>Mx|</t>
  </si>
  <si>
    <t>M1 mx</t>
  </si>
  <si>
    <t>M2 my</t>
  </si>
  <si>
    <t>MI mx|</t>
  </si>
  <si>
    <t>q2cosA</t>
  </si>
  <si>
    <t xml:space="preserve">                 THIẾT KẾ CỘT BÊ TÔNG CỐT THÉP THEO TCVN 5574- 2012</t>
  </si>
  <si>
    <t>- Mác thép dọc:</t>
  </si>
  <si>
    <t>b. Thông số hình học</t>
  </si>
  <si>
    <t>- Chiều rộng tiết diện cột b =</t>
  </si>
  <si>
    <t>- Chiều cao tiết diện cột  h =</t>
  </si>
  <si>
    <t>- Trọng tâm cốt thép      a =</t>
  </si>
  <si>
    <r>
      <t>Lo = Y</t>
    </r>
    <r>
      <rPr>
        <sz val="13"/>
        <rFont val="Times New Roman"/>
        <family val="1"/>
      </rPr>
      <t>.L =</t>
    </r>
  </si>
  <si>
    <t>c. Thông số nội lực</t>
  </si>
  <si>
    <t>Chiều dài 
(m)</t>
  </si>
  <si>
    <t>Vị trí 
(m)</t>
  </si>
  <si>
    <t>Tổ hợp</t>
  </si>
  <si>
    <t>Mômen M2
 ( T.m )</t>
  </si>
  <si>
    <t>Mômen M3 
 ( T.m )</t>
  </si>
  <si>
    <t>Lực dọc 
N
(T)</t>
  </si>
  <si>
    <t>TANG TRET</t>
  </si>
  <si>
    <t>C881</t>
  </si>
  <si>
    <t>TH2X</t>
  </si>
  <si>
    <t>II. Tính toán cốt thép dọc cột bê tông cốt thép</t>
  </si>
  <si>
    <r>
      <t>a. Xác định hệ số uốn dọc cột theo phương h (m</t>
    </r>
    <r>
      <rPr>
        <b/>
        <vertAlign val="subscript"/>
        <sz val="13"/>
        <color indexed="8"/>
        <rFont val="Times New Roman"/>
        <family val="1"/>
      </rPr>
      <t>h</t>
    </r>
    <r>
      <rPr>
        <b/>
        <sz val="13"/>
        <color indexed="8"/>
        <rFont val="Times New Roman"/>
        <family val="1"/>
      </rPr>
      <t xml:space="preserve"> )</t>
    </r>
  </si>
  <si>
    <r>
      <t>L</t>
    </r>
    <r>
      <rPr>
        <vertAlign val="subscript"/>
        <sz val="13"/>
        <color indexed="8"/>
        <rFont val="Times New Roman"/>
        <family val="1"/>
      </rPr>
      <t>o</t>
    </r>
    <r>
      <rPr>
        <sz val="13"/>
        <color indexed="8"/>
        <rFont val="Times New Roman"/>
        <family val="1"/>
      </rPr>
      <t xml:space="preserve"> / i</t>
    </r>
    <r>
      <rPr>
        <vertAlign val="subscript"/>
        <sz val="13"/>
        <color indexed="8"/>
        <rFont val="Times New Roman"/>
        <family val="1"/>
      </rPr>
      <t>h</t>
    </r>
    <r>
      <rPr>
        <sz val="13"/>
        <color indexed="8"/>
        <rFont val="Times New Roman"/>
        <family val="1"/>
      </rPr>
      <t>=</t>
    </r>
  </si>
  <si>
    <r>
      <t xml:space="preserve">   ®</t>
    </r>
    <r>
      <rPr>
        <sz val="13"/>
        <color indexed="8"/>
        <rFont val="Times New Roman"/>
        <family val="1"/>
      </rPr>
      <t xml:space="preserve"> m</t>
    </r>
    <r>
      <rPr>
        <vertAlign val="subscript"/>
        <sz val="13"/>
        <color indexed="8"/>
        <rFont val="Times New Roman"/>
        <family val="1"/>
      </rPr>
      <t xml:space="preserve">h </t>
    </r>
    <r>
      <rPr>
        <sz val="13"/>
        <color indexed="8"/>
        <rFont val="Times New Roman"/>
        <family val="1"/>
      </rPr>
      <t xml:space="preserve">= </t>
    </r>
  </si>
  <si>
    <t xml:space="preserve">Độ lệch tâm tĩnh học:      </t>
  </si>
  <si>
    <r>
      <t>e</t>
    </r>
    <r>
      <rPr>
        <vertAlign val="subscript"/>
        <sz val="13"/>
        <color indexed="8"/>
        <rFont val="Times New Roman"/>
        <family val="1"/>
      </rPr>
      <t xml:space="preserve">1h </t>
    </r>
    <r>
      <rPr>
        <sz val="13"/>
        <color indexed="8"/>
        <rFont val="Times New Roman"/>
        <family val="1"/>
      </rPr>
      <t>= M</t>
    </r>
    <r>
      <rPr>
        <vertAlign val="subscript"/>
        <sz val="13"/>
        <color indexed="8"/>
        <rFont val="Times New Roman"/>
        <family val="1"/>
      </rPr>
      <t>3</t>
    </r>
    <r>
      <rPr>
        <sz val="13"/>
        <color indexed="8"/>
        <rFont val="Times New Roman"/>
        <family val="1"/>
      </rPr>
      <t xml:space="preserve"> / N =  </t>
    </r>
  </si>
  <si>
    <r>
      <t>Độ lệch tâm ngẫu nhiên:           e</t>
    </r>
    <r>
      <rPr>
        <vertAlign val="subscript"/>
        <sz val="13"/>
        <color indexed="8"/>
        <rFont val="Times New Roman"/>
        <family val="1"/>
      </rPr>
      <t>ah</t>
    </r>
    <r>
      <rPr>
        <sz val="13"/>
        <color indexed="8"/>
        <rFont val="Times New Roman"/>
        <family val="1"/>
      </rPr>
      <t xml:space="preserve"> ≥ max ( L/600, h/30) =  </t>
    </r>
  </si>
  <si>
    <t xml:space="preserve">Độ lệch tâm ban đầu:  </t>
  </si>
  <si>
    <r>
      <t xml:space="preserve">                    e</t>
    </r>
    <r>
      <rPr>
        <vertAlign val="subscript"/>
        <sz val="13"/>
        <color indexed="8"/>
        <rFont val="Times New Roman"/>
        <family val="1"/>
      </rPr>
      <t>a1</t>
    </r>
    <r>
      <rPr>
        <sz val="13"/>
        <color indexed="8"/>
        <rFont val="Times New Roman"/>
        <family val="1"/>
      </rPr>
      <t xml:space="preserve"> = max ( e</t>
    </r>
    <r>
      <rPr>
        <vertAlign val="subscript"/>
        <sz val="13"/>
        <color indexed="8"/>
        <rFont val="Times New Roman"/>
        <family val="1"/>
      </rPr>
      <t>1h</t>
    </r>
    <r>
      <rPr>
        <sz val="13"/>
        <color indexed="8"/>
        <rFont val="Times New Roman"/>
        <family val="1"/>
      </rPr>
      <t>, e</t>
    </r>
    <r>
      <rPr>
        <vertAlign val="subscript"/>
        <sz val="13"/>
        <color indexed="8"/>
        <rFont val="Times New Roman"/>
        <family val="1"/>
      </rPr>
      <t>ah</t>
    </r>
    <r>
      <rPr>
        <sz val="13"/>
        <color indexed="8"/>
        <rFont val="Times New Roman"/>
        <family val="1"/>
      </rPr>
      <t xml:space="preserve">) =  </t>
    </r>
  </si>
  <si>
    <t xml:space="preserve">Lực dọc tới hạn  </t>
  </si>
  <si>
    <r>
      <t xml:space="preserve">    N</t>
    </r>
    <r>
      <rPr>
        <vertAlign val="subscript"/>
        <sz val="13"/>
        <color indexed="8"/>
        <rFont val="Times New Roman"/>
        <family val="1"/>
      </rPr>
      <t>cr</t>
    </r>
    <r>
      <rPr>
        <sz val="13"/>
        <color indexed="8"/>
        <rFont val="Times New Roman"/>
        <family val="1"/>
      </rPr>
      <t xml:space="preserve"> = 2.5 θ E</t>
    </r>
    <r>
      <rPr>
        <vertAlign val="subscript"/>
        <sz val="13"/>
        <color indexed="8"/>
        <rFont val="Times New Roman"/>
        <family val="1"/>
      </rPr>
      <t>b</t>
    </r>
    <r>
      <rPr>
        <sz val="13"/>
        <color indexed="8"/>
        <rFont val="Times New Roman"/>
        <family val="1"/>
      </rPr>
      <t>. J</t>
    </r>
    <r>
      <rPr>
        <vertAlign val="subscript"/>
        <sz val="13"/>
        <color indexed="8"/>
        <rFont val="Times New Roman"/>
        <family val="1"/>
      </rPr>
      <t>h</t>
    </r>
    <r>
      <rPr>
        <sz val="13"/>
        <color indexed="8"/>
        <rFont val="Times New Roman"/>
        <family val="1"/>
      </rPr>
      <t xml:space="preserve"> / L</t>
    </r>
    <r>
      <rPr>
        <vertAlign val="subscript"/>
        <sz val="13"/>
        <color indexed="8"/>
        <rFont val="Times New Roman"/>
        <family val="1"/>
      </rPr>
      <t>o</t>
    </r>
    <r>
      <rPr>
        <vertAlign val="superscript"/>
        <sz val="13"/>
        <color indexed="8"/>
        <rFont val="Times New Roman"/>
        <family val="1"/>
      </rPr>
      <t>2</t>
    </r>
    <r>
      <rPr>
        <sz val="13"/>
        <color indexed="8"/>
        <rFont val="Times New Roman"/>
        <family val="1"/>
      </rPr>
      <t xml:space="preserve"> = </t>
    </r>
  </si>
  <si>
    <r>
      <t xml:space="preserve">             θ  = ( 0.2e</t>
    </r>
    <r>
      <rPr>
        <vertAlign val="subscript"/>
        <sz val="13"/>
        <color indexed="8"/>
        <rFont val="Times New Roman"/>
        <family val="1"/>
      </rPr>
      <t>1h</t>
    </r>
    <r>
      <rPr>
        <sz val="13"/>
        <color indexed="8"/>
        <rFont val="Times New Roman"/>
        <family val="1"/>
      </rPr>
      <t xml:space="preserve"> + 1.05h ) / ( 1.5 e</t>
    </r>
    <r>
      <rPr>
        <vertAlign val="subscript"/>
        <sz val="13"/>
        <color indexed="8"/>
        <rFont val="Times New Roman"/>
        <family val="1"/>
      </rPr>
      <t>1h</t>
    </r>
    <r>
      <rPr>
        <sz val="13"/>
        <color indexed="8"/>
        <rFont val="Times New Roman"/>
        <family val="1"/>
      </rPr>
      <t xml:space="preserve"> + h ) =</t>
    </r>
  </si>
  <si>
    <r>
      <t>J</t>
    </r>
    <r>
      <rPr>
        <vertAlign val="subscript"/>
        <sz val="13"/>
        <color indexed="8"/>
        <rFont val="Times New Roman"/>
        <family val="1"/>
      </rPr>
      <t>h</t>
    </r>
    <r>
      <rPr>
        <sz val="13"/>
        <color indexed="8"/>
        <rFont val="Times New Roman"/>
        <family val="1"/>
      </rPr>
      <t xml:space="preserve"> = b.h</t>
    </r>
    <r>
      <rPr>
        <vertAlign val="superscript"/>
        <sz val="13"/>
        <color indexed="8"/>
        <rFont val="Times New Roman"/>
        <family val="1"/>
      </rPr>
      <t>3</t>
    </r>
    <r>
      <rPr>
        <sz val="13"/>
        <color indexed="8"/>
        <rFont val="Times New Roman"/>
        <family val="1"/>
      </rPr>
      <t xml:space="preserve">  /12 = </t>
    </r>
  </si>
  <si>
    <r>
      <t>m</t>
    </r>
    <r>
      <rPr>
        <vertAlign val="superscript"/>
        <sz val="13"/>
        <color indexed="8"/>
        <rFont val="Times New Roman"/>
        <family val="1"/>
      </rPr>
      <t>4</t>
    </r>
  </si>
  <si>
    <r>
      <t>b. Xác định hệ số uốn dọc cột theo phương b (m</t>
    </r>
    <r>
      <rPr>
        <b/>
        <vertAlign val="subscript"/>
        <sz val="13"/>
        <color indexed="8"/>
        <rFont val="Times New Roman"/>
        <family val="1"/>
      </rPr>
      <t>b</t>
    </r>
    <r>
      <rPr>
        <b/>
        <sz val="13"/>
        <color indexed="8"/>
        <rFont val="Times New Roman"/>
        <family val="1"/>
      </rPr>
      <t xml:space="preserve"> )</t>
    </r>
  </si>
  <si>
    <r>
      <t>L</t>
    </r>
    <r>
      <rPr>
        <vertAlign val="subscript"/>
        <sz val="13"/>
        <color indexed="8"/>
        <rFont val="Times New Roman"/>
        <family val="1"/>
      </rPr>
      <t>o</t>
    </r>
    <r>
      <rPr>
        <sz val="13"/>
        <color indexed="8"/>
        <rFont val="Times New Roman"/>
        <family val="1"/>
      </rPr>
      <t xml:space="preserve"> / i</t>
    </r>
    <r>
      <rPr>
        <vertAlign val="subscript"/>
        <sz val="13"/>
        <color indexed="8"/>
        <rFont val="Times New Roman"/>
        <family val="1"/>
      </rPr>
      <t>b</t>
    </r>
    <r>
      <rPr>
        <sz val="13"/>
        <color indexed="8"/>
        <rFont val="Times New Roman"/>
        <family val="1"/>
      </rPr>
      <t xml:space="preserve"> =</t>
    </r>
  </si>
  <si>
    <r>
      <t xml:space="preserve">   ®</t>
    </r>
    <r>
      <rPr>
        <sz val="13"/>
        <color indexed="8"/>
        <rFont val="Times New Roman"/>
        <family val="1"/>
      </rPr>
      <t xml:space="preserve"> m</t>
    </r>
    <r>
      <rPr>
        <vertAlign val="subscript"/>
        <sz val="13"/>
        <color indexed="8"/>
        <rFont val="Times New Roman"/>
        <family val="1"/>
      </rPr>
      <t xml:space="preserve">b </t>
    </r>
    <r>
      <rPr>
        <sz val="13"/>
        <color indexed="8"/>
        <rFont val="Times New Roman"/>
        <family val="1"/>
      </rPr>
      <t xml:space="preserve">= </t>
    </r>
  </si>
  <si>
    <t xml:space="preserve">Độ lệch tâm tĩnh học:  </t>
  </si>
  <si>
    <r>
      <t>e</t>
    </r>
    <r>
      <rPr>
        <vertAlign val="subscript"/>
        <sz val="13"/>
        <color indexed="8"/>
        <rFont val="Times New Roman"/>
        <family val="1"/>
      </rPr>
      <t xml:space="preserve">1b </t>
    </r>
    <r>
      <rPr>
        <sz val="13"/>
        <color indexed="8"/>
        <rFont val="Times New Roman"/>
        <family val="1"/>
      </rPr>
      <t>= M</t>
    </r>
    <r>
      <rPr>
        <vertAlign val="subscript"/>
        <sz val="13"/>
        <color indexed="8"/>
        <rFont val="Times New Roman"/>
        <family val="1"/>
      </rPr>
      <t>2</t>
    </r>
    <r>
      <rPr>
        <sz val="13"/>
        <color indexed="8"/>
        <rFont val="Times New Roman"/>
        <family val="1"/>
      </rPr>
      <t xml:space="preserve"> / N =  </t>
    </r>
  </si>
  <si>
    <t xml:space="preserve">Độ lệch tâm ngẫu nhiên:  </t>
  </si>
  <si>
    <r>
      <t xml:space="preserve">       e</t>
    </r>
    <r>
      <rPr>
        <vertAlign val="subscript"/>
        <sz val="13"/>
        <color indexed="8"/>
        <rFont val="Times New Roman"/>
        <family val="1"/>
      </rPr>
      <t>ab</t>
    </r>
    <r>
      <rPr>
        <sz val="13"/>
        <color indexed="8"/>
        <rFont val="Times New Roman"/>
        <family val="1"/>
      </rPr>
      <t xml:space="preserve"> ≥ max ( L/600, b/30) =  </t>
    </r>
  </si>
  <si>
    <t>Độ lệch tâm ban đầu:</t>
  </si>
  <si>
    <r>
      <t>e</t>
    </r>
    <r>
      <rPr>
        <vertAlign val="subscript"/>
        <sz val="13"/>
        <color indexed="8"/>
        <rFont val="Times New Roman"/>
        <family val="1"/>
      </rPr>
      <t>a2</t>
    </r>
    <r>
      <rPr>
        <sz val="13"/>
        <color indexed="8"/>
        <rFont val="Times New Roman"/>
        <family val="1"/>
      </rPr>
      <t xml:space="preserve"> = max ( e</t>
    </r>
    <r>
      <rPr>
        <vertAlign val="subscript"/>
        <sz val="13"/>
        <color indexed="8"/>
        <rFont val="Times New Roman"/>
        <family val="1"/>
      </rPr>
      <t>1b</t>
    </r>
    <r>
      <rPr>
        <sz val="13"/>
        <color indexed="8"/>
        <rFont val="Times New Roman"/>
        <family val="1"/>
      </rPr>
      <t>, e</t>
    </r>
    <r>
      <rPr>
        <vertAlign val="subscript"/>
        <sz val="13"/>
        <color indexed="8"/>
        <rFont val="Times New Roman"/>
        <family val="1"/>
      </rPr>
      <t>ab</t>
    </r>
    <r>
      <rPr>
        <sz val="13"/>
        <color indexed="8"/>
        <rFont val="Times New Roman"/>
        <family val="1"/>
      </rPr>
      <t xml:space="preserve">) =  </t>
    </r>
  </si>
  <si>
    <t xml:space="preserve">Lực dọc tới hạn                              </t>
  </si>
  <si>
    <r>
      <t>N</t>
    </r>
    <r>
      <rPr>
        <vertAlign val="subscript"/>
        <sz val="13"/>
        <color indexed="8"/>
        <rFont val="Times New Roman"/>
        <family val="1"/>
      </rPr>
      <t>cr</t>
    </r>
    <r>
      <rPr>
        <sz val="13"/>
        <color indexed="8"/>
        <rFont val="Times New Roman"/>
        <family val="1"/>
      </rPr>
      <t xml:space="preserve"> = 2.5 θ E</t>
    </r>
    <r>
      <rPr>
        <vertAlign val="subscript"/>
        <sz val="13"/>
        <color indexed="8"/>
        <rFont val="Times New Roman"/>
        <family val="1"/>
      </rPr>
      <t>b</t>
    </r>
    <r>
      <rPr>
        <sz val="13"/>
        <color indexed="8"/>
        <rFont val="Times New Roman"/>
        <family val="1"/>
      </rPr>
      <t>. J</t>
    </r>
    <r>
      <rPr>
        <vertAlign val="subscript"/>
        <sz val="13"/>
        <color indexed="8"/>
        <rFont val="Times New Roman"/>
        <family val="1"/>
      </rPr>
      <t>b</t>
    </r>
    <r>
      <rPr>
        <sz val="13"/>
        <color indexed="8"/>
        <rFont val="Times New Roman"/>
        <family val="1"/>
      </rPr>
      <t xml:space="preserve"> / L</t>
    </r>
    <r>
      <rPr>
        <vertAlign val="subscript"/>
        <sz val="13"/>
        <color indexed="8"/>
        <rFont val="Times New Roman"/>
        <family val="1"/>
      </rPr>
      <t>o</t>
    </r>
    <r>
      <rPr>
        <vertAlign val="superscript"/>
        <sz val="13"/>
        <color indexed="8"/>
        <rFont val="Times New Roman"/>
        <family val="1"/>
      </rPr>
      <t>2</t>
    </r>
    <r>
      <rPr>
        <sz val="13"/>
        <color indexed="8"/>
        <rFont val="Times New Roman"/>
        <family val="1"/>
      </rPr>
      <t xml:space="preserve"> = </t>
    </r>
  </si>
  <si>
    <r>
      <t>θ  = ( 0.2e</t>
    </r>
    <r>
      <rPr>
        <vertAlign val="subscript"/>
        <sz val="13"/>
        <color indexed="8"/>
        <rFont val="Times New Roman"/>
        <family val="1"/>
      </rPr>
      <t>1b</t>
    </r>
    <r>
      <rPr>
        <sz val="13"/>
        <color indexed="8"/>
        <rFont val="Times New Roman"/>
        <family val="1"/>
      </rPr>
      <t xml:space="preserve"> + 1.05b ) / ( 1.5 e</t>
    </r>
    <r>
      <rPr>
        <vertAlign val="subscript"/>
        <sz val="13"/>
        <color indexed="8"/>
        <rFont val="Times New Roman"/>
        <family val="1"/>
      </rPr>
      <t>1b</t>
    </r>
    <r>
      <rPr>
        <sz val="13"/>
        <color indexed="8"/>
        <rFont val="Times New Roman"/>
        <family val="1"/>
      </rPr>
      <t>+ b)  =</t>
    </r>
  </si>
  <si>
    <r>
      <t>J</t>
    </r>
    <r>
      <rPr>
        <vertAlign val="subscript"/>
        <sz val="13"/>
        <color indexed="8"/>
        <rFont val="Times New Roman"/>
        <family val="1"/>
      </rPr>
      <t xml:space="preserve">b </t>
    </r>
    <r>
      <rPr>
        <sz val="13"/>
        <color indexed="8"/>
        <rFont val="Times New Roman"/>
        <family val="1"/>
      </rPr>
      <t>= h.b</t>
    </r>
    <r>
      <rPr>
        <vertAlign val="superscript"/>
        <sz val="13"/>
        <color indexed="8"/>
        <rFont val="Times New Roman"/>
        <family val="1"/>
      </rPr>
      <t>3</t>
    </r>
    <r>
      <rPr>
        <sz val="13"/>
        <color indexed="8"/>
        <rFont val="Times New Roman"/>
        <family val="1"/>
      </rPr>
      <t xml:space="preserve">  /12  = </t>
    </r>
  </si>
  <si>
    <t>c. Mômen sau khi xét đến hệ số uốn dọc thep hai phương</t>
  </si>
  <si>
    <t xml:space="preserve">Mômen thep phương h:                      </t>
  </si>
  <si>
    <r>
      <t xml:space="preserve">  M</t>
    </r>
    <r>
      <rPr>
        <vertAlign val="subscript"/>
        <sz val="13"/>
        <color indexed="8"/>
        <rFont val="Times New Roman"/>
        <family val="1"/>
      </rPr>
      <t>h</t>
    </r>
    <r>
      <rPr>
        <sz val="13"/>
        <color indexed="8"/>
        <rFont val="Times New Roman"/>
        <family val="1"/>
      </rPr>
      <t xml:space="preserve"> = m</t>
    </r>
    <r>
      <rPr>
        <vertAlign val="subscript"/>
        <sz val="13"/>
        <color indexed="8"/>
        <rFont val="Times New Roman"/>
        <family val="1"/>
      </rPr>
      <t>h</t>
    </r>
    <r>
      <rPr>
        <sz val="13"/>
        <color indexed="8"/>
        <rFont val="Times New Roman"/>
        <family val="1"/>
      </rPr>
      <t>. M</t>
    </r>
    <r>
      <rPr>
        <vertAlign val="subscript"/>
        <sz val="13"/>
        <color indexed="8"/>
        <rFont val="Times New Roman"/>
        <family val="1"/>
      </rPr>
      <t>3</t>
    </r>
    <r>
      <rPr>
        <sz val="13"/>
        <color indexed="8"/>
        <rFont val="Times New Roman"/>
        <family val="1"/>
      </rPr>
      <t xml:space="preserve">  = </t>
    </r>
  </si>
  <si>
    <t xml:space="preserve">Mômen thep phương b:              </t>
  </si>
  <si>
    <r>
      <t>M</t>
    </r>
    <r>
      <rPr>
        <vertAlign val="subscript"/>
        <sz val="13"/>
        <color indexed="8"/>
        <rFont val="Times New Roman"/>
        <family val="1"/>
      </rPr>
      <t>b</t>
    </r>
    <r>
      <rPr>
        <sz val="13"/>
        <color indexed="8"/>
        <rFont val="Times New Roman"/>
        <family val="1"/>
      </rPr>
      <t xml:space="preserve"> = m</t>
    </r>
    <r>
      <rPr>
        <vertAlign val="subscript"/>
        <sz val="13"/>
        <color indexed="8"/>
        <rFont val="Times New Roman"/>
        <family val="1"/>
      </rPr>
      <t>b</t>
    </r>
    <r>
      <rPr>
        <sz val="13"/>
        <color indexed="8"/>
        <rFont val="Times New Roman"/>
        <family val="1"/>
      </rPr>
      <t>. M</t>
    </r>
    <r>
      <rPr>
        <vertAlign val="subscript"/>
        <sz val="13"/>
        <color indexed="8"/>
        <rFont val="Times New Roman"/>
        <family val="1"/>
      </rPr>
      <t>2</t>
    </r>
    <r>
      <rPr>
        <sz val="13"/>
        <color indexed="8"/>
        <rFont val="Times New Roman"/>
        <family val="1"/>
      </rPr>
      <t xml:space="preserve">  = </t>
    </r>
  </si>
  <si>
    <t>d. Quan niệm phương tính toán</t>
  </si>
  <si>
    <t>Nhận xét</t>
  </si>
  <si>
    <r>
      <t xml:space="preserve"> M</t>
    </r>
    <r>
      <rPr>
        <vertAlign val="subscript"/>
        <sz val="13"/>
        <color indexed="8"/>
        <rFont val="Times New Roman"/>
        <family val="1"/>
      </rPr>
      <t xml:space="preserve">h </t>
    </r>
    <r>
      <rPr>
        <sz val="13"/>
        <color indexed="8"/>
        <rFont val="Times New Roman"/>
        <family val="1"/>
      </rPr>
      <t xml:space="preserve">/ h = </t>
    </r>
  </si>
  <si>
    <r>
      <t xml:space="preserve"> M</t>
    </r>
    <r>
      <rPr>
        <vertAlign val="subscript"/>
        <sz val="13"/>
        <color indexed="8"/>
        <rFont val="Times New Roman"/>
        <family val="1"/>
      </rPr>
      <t xml:space="preserve">b </t>
    </r>
    <r>
      <rPr>
        <sz val="13"/>
        <color indexed="8"/>
        <rFont val="Times New Roman"/>
        <family val="1"/>
      </rPr>
      <t xml:space="preserve">/ b = </t>
    </r>
  </si>
  <si>
    <t xml:space="preserve">  ® Tính theo phương</t>
  </si>
  <si>
    <t>Khi đó đặt:</t>
  </si>
  <si>
    <t>ho = h1- a =</t>
  </si>
  <si>
    <t>Z = h1- 2a =</t>
  </si>
  <si>
    <r>
      <t>x1 = N / (R</t>
    </r>
    <r>
      <rPr>
        <vertAlign val="subscript"/>
        <sz val="13"/>
        <color indexed="8"/>
        <rFont val="Times New Roman"/>
        <family val="1"/>
      </rPr>
      <t>b</t>
    </r>
    <r>
      <rPr>
        <sz val="13"/>
        <color indexed="8"/>
        <rFont val="Times New Roman"/>
        <family val="1"/>
      </rPr>
      <t xml:space="preserve"> .b1) = </t>
    </r>
  </si>
  <si>
    <t>ho =</t>
  </si>
  <si>
    <r>
      <t xml:space="preserve">            ®</t>
    </r>
    <r>
      <rPr>
        <sz val="12"/>
        <color indexed="8"/>
        <rFont val="Symbol"/>
        <family val="1"/>
        <charset val="2"/>
      </rPr>
      <t/>
    </r>
  </si>
  <si>
    <r>
      <t>m</t>
    </r>
    <r>
      <rPr>
        <vertAlign val="subscript"/>
        <sz val="13"/>
        <color indexed="8"/>
        <rFont val="Times New Roman"/>
        <family val="1"/>
      </rPr>
      <t>o</t>
    </r>
    <r>
      <rPr>
        <sz val="13"/>
        <color indexed="8"/>
        <rFont val="Times New Roman"/>
        <family val="1"/>
      </rPr>
      <t xml:space="preserve"> =</t>
    </r>
  </si>
  <si>
    <r>
      <t>Mômen tương đương:  M = M1 + m</t>
    </r>
    <r>
      <rPr>
        <vertAlign val="subscript"/>
        <sz val="13"/>
        <color indexed="8"/>
        <rFont val="Times New Roman"/>
        <family val="1"/>
      </rPr>
      <t>o</t>
    </r>
    <r>
      <rPr>
        <sz val="13"/>
        <color indexed="8"/>
        <rFont val="Times New Roman"/>
        <family val="1"/>
      </rPr>
      <t>M2.h1/b1 =</t>
    </r>
  </si>
  <si>
    <t>Độ lệch tâm tĩnh học:</t>
  </si>
  <si>
    <r>
      <t>e</t>
    </r>
    <r>
      <rPr>
        <vertAlign val="subscript"/>
        <sz val="13"/>
        <color indexed="8"/>
        <rFont val="Times New Roman"/>
        <family val="1"/>
      </rPr>
      <t xml:space="preserve">1 </t>
    </r>
    <r>
      <rPr>
        <sz val="13"/>
        <color indexed="8"/>
        <rFont val="Times New Roman"/>
        <family val="1"/>
      </rPr>
      <t xml:space="preserve">= M / N =  </t>
    </r>
  </si>
  <si>
    <t>Độ lệch tâm ngẫu nhiên:</t>
  </si>
  <si>
    <r>
      <t>e</t>
    </r>
    <r>
      <rPr>
        <vertAlign val="subscript"/>
        <sz val="13"/>
        <color indexed="8"/>
        <rFont val="Times New Roman"/>
        <family val="1"/>
      </rPr>
      <t>0</t>
    </r>
    <r>
      <rPr>
        <sz val="13"/>
        <color indexed="8"/>
        <rFont val="Times New Roman"/>
        <family val="1"/>
      </rPr>
      <t xml:space="preserve"> = max ( e</t>
    </r>
    <r>
      <rPr>
        <vertAlign val="subscript"/>
        <sz val="13"/>
        <color indexed="8"/>
        <rFont val="Times New Roman"/>
        <family val="1"/>
      </rPr>
      <t>1</t>
    </r>
    <r>
      <rPr>
        <sz val="13"/>
        <color indexed="8"/>
        <rFont val="Times New Roman"/>
        <family val="1"/>
      </rPr>
      <t>, e</t>
    </r>
    <r>
      <rPr>
        <vertAlign val="subscript"/>
        <sz val="13"/>
        <color indexed="8"/>
        <rFont val="Times New Roman"/>
        <family val="1"/>
      </rPr>
      <t>a</t>
    </r>
    <r>
      <rPr>
        <sz val="13"/>
        <color indexed="8"/>
        <rFont val="Times New Roman"/>
        <family val="1"/>
      </rPr>
      <t xml:space="preserve">) =  </t>
    </r>
  </si>
  <si>
    <t>Độ lệch tâm:</t>
  </si>
  <si>
    <r>
      <t>e =0,5.h -a + m.e</t>
    </r>
    <r>
      <rPr>
        <vertAlign val="subscript"/>
        <sz val="13"/>
        <color indexed="8"/>
        <rFont val="Times New Roman"/>
        <family val="1"/>
      </rPr>
      <t xml:space="preserve">o </t>
    </r>
    <r>
      <rPr>
        <sz val="13"/>
        <color indexed="8"/>
        <rFont val="Times New Roman"/>
        <family val="1"/>
      </rPr>
      <t xml:space="preserve">=  </t>
    </r>
  </si>
  <si>
    <r>
      <t xml:space="preserve"> </t>
    </r>
    <r>
      <rPr>
        <sz val="13"/>
        <color indexed="8"/>
        <rFont val="Times New Roman"/>
        <family val="1"/>
      </rPr>
      <t>e = e</t>
    </r>
    <r>
      <rPr>
        <vertAlign val="subscript"/>
        <sz val="13"/>
        <color indexed="8"/>
        <rFont val="Times New Roman"/>
        <family val="1"/>
      </rPr>
      <t xml:space="preserve">o </t>
    </r>
    <r>
      <rPr>
        <sz val="13"/>
        <color indexed="8"/>
        <rFont val="Times New Roman"/>
        <family val="1"/>
      </rPr>
      <t xml:space="preserve">/ ho  =  </t>
    </r>
  </si>
  <si>
    <t>x1 =</t>
  </si>
  <si>
    <r>
      <t>ξ</t>
    </r>
    <r>
      <rPr>
        <vertAlign val="subscript"/>
        <sz val="13"/>
        <color indexed="8"/>
        <rFont val="Times New Roman"/>
        <family val="1"/>
      </rPr>
      <t>R.</t>
    </r>
    <r>
      <rPr>
        <sz val="13"/>
        <color indexed="8"/>
        <rFont val="Times New Roman"/>
        <family val="1"/>
      </rPr>
      <t>ho =</t>
    </r>
  </si>
  <si>
    <t>Nhận xét:</t>
  </si>
  <si>
    <t>Tính toán nén</t>
  </si>
  <si>
    <t>Trường hợp tính như nén đúng tâm</t>
  </si>
  <si>
    <r>
      <t>g</t>
    </r>
    <r>
      <rPr>
        <vertAlign val="subscript"/>
        <sz val="13"/>
        <color indexed="8"/>
        <rFont val="Times New Roman"/>
        <family val="1"/>
      </rPr>
      <t>e</t>
    </r>
    <r>
      <rPr>
        <sz val="13"/>
        <color indexed="8"/>
        <rFont val="Times New Roman"/>
        <family val="1"/>
      </rPr>
      <t xml:space="preserve"> =1/[(0.5-e)(2+e)] =</t>
    </r>
  </si>
  <si>
    <r>
      <t>j</t>
    </r>
    <r>
      <rPr>
        <vertAlign val="subscript"/>
        <sz val="13"/>
        <color indexed="8"/>
        <rFont val="Times New Roman"/>
        <family val="1"/>
      </rPr>
      <t>e</t>
    </r>
    <r>
      <rPr>
        <sz val="13"/>
        <color indexed="8"/>
        <rFont val="Times New Roman"/>
        <family val="1"/>
      </rPr>
      <t xml:space="preserve"> = j + (1 - j)e /0.3 =</t>
    </r>
  </si>
  <si>
    <r>
      <t>l</t>
    </r>
    <r>
      <rPr>
        <vertAlign val="subscript"/>
        <sz val="13"/>
        <color indexed="8"/>
        <rFont val="Times New Roman"/>
        <family val="1"/>
      </rPr>
      <t>b</t>
    </r>
    <r>
      <rPr>
        <sz val="13"/>
        <color indexed="8"/>
        <rFont val="Times New Roman"/>
        <family val="1"/>
      </rPr>
      <t>= Lo /i</t>
    </r>
    <r>
      <rPr>
        <vertAlign val="subscript"/>
        <sz val="13"/>
        <color indexed="8"/>
        <rFont val="Times New Roman"/>
        <family val="1"/>
      </rPr>
      <t>b</t>
    </r>
    <r>
      <rPr>
        <sz val="13"/>
        <color indexed="8"/>
        <rFont val="Times New Roman"/>
        <family val="1"/>
      </rPr>
      <t xml:space="preserve"> =</t>
    </r>
  </si>
  <si>
    <t xml:space="preserve"> j  =   </t>
  </si>
  <si>
    <r>
      <t>l</t>
    </r>
    <r>
      <rPr>
        <vertAlign val="subscript"/>
        <sz val="13"/>
        <color indexed="8"/>
        <rFont val="Times New Roman"/>
        <family val="1"/>
      </rPr>
      <t>h</t>
    </r>
    <r>
      <rPr>
        <sz val="13"/>
        <color indexed="8"/>
        <rFont val="Times New Roman"/>
        <family val="1"/>
      </rPr>
      <t>= Lo /i</t>
    </r>
    <r>
      <rPr>
        <vertAlign val="subscript"/>
        <sz val="13"/>
        <color indexed="8"/>
        <rFont val="Times New Roman"/>
        <family val="1"/>
      </rPr>
      <t>h</t>
    </r>
    <r>
      <rPr>
        <sz val="13"/>
        <color indexed="8"/>
        <rFont val="Times New Roman"/>
        <family val="1"/>
      </rPr>
      <t xml:space="preserve"> =</t>
    </r>
  </si>
  <si>
    <r>
      <t>l</t>
    </r>
    <r>
      <rPr>
        <vertAlign val="subscript"/>
        <sz val="13"/>
        <color indexed="8"/>
        <rFont val="Times New Roman"/>
        <family val="1"/>
      </rPr>
      <t xml:space="preserve">max </t>
    </r>
    <r>
      <rPr>
        <sz val="13"/>
        <color indexed="8"/>
        <rFont val="Times New Roman"/>
        <family val="1"/>
      </rPr>
      <t>= max(l</t>
    </r>
    <r>
      <rPr>
        <vertAlign val="subscript"/>
        <sz val="13"/>
        <color indexed="8"/>
        <rFont val="Times New Roman"/>
        <family val="1"/>
      </rPr>
      <t>b</t>
    </r>
    <r>
      <rPr>
        <sz val="13"/>
        <color indexed="8"/>
        <rFont val="Times New Roman"/>
        <family val="1"/>
      </rPr>
      <t xml:space="preserve"> , l</t>
    </r>
    <r>
      <rPr>
        <vertAlign val="subscript"/>
        <sz val="13"/>
        <color indexed="8"/>
        <rFont val="Times New Roman"/>
        <family val="1"/>
      </rPr>
      <t>h</t>
    </r>
    <r>
      <rPr>
        <sz val="13"/>
        <color indexed="8"/>
        <rFont val="Times New Roman"/>
        <family val="1"/>
      </rPr>
      <t xml:space="preserve"> ) =</t>
    </r>
  </si>
  <si>
    <t>Diện tích toàn bộ cốt thép dọc</t>
  </si>
  <si>
    <r>
      <t>A</t>
    </r>
    <r>
      <rPr>
        <vertAlign val="subscript"/>
        <sz val="13"/>
        <color indexed="8"/>
        <rFont val="Times New Roman"/>
        <family val="1"/>
      </rPr>
      <t>s</t>
    </r>
    <r>
      <rPr>
        <sz val="13"/>
        <color indexed="8"/>
        <rFont val="Times New Roman"/>
        <family val="1"/>
      </rPr>
      <t xml:space="preserve"> = [( g</t>
    </r>
    <r>
      <rPr>
        <vertAlign val="subscript"/>
        <sz val="13"/>
        <color indexed="8"/>
        <rFont val="Times New Roman"/>
        <family val="1"/>
      </rPr>
      <t>e</t>
    </r>
    <r>
      <rPr>
        <sz val="13"/>
        <color indexed="8"/>
        <rFont val="Times New Roman"/>
        <family val="1"/>
      </rPr>
      <t xml:space="preserve"> N/ j</t>
    </r>
    <r>
      <rPr>
        <vertAlign val="subscript"/>
        <sz val="13"/>
        <color indexed="8"/>
        <rFont val="Times New Roman"/>
        <family val="1"/>
      </rPr>
      <t>e</t>
    </r>
    <r>
      <rPr>
        <sz val="13"/>
        <color indexed="8"/>
        <rFont val="Times New Roman"/>
        <family val="1"/>
      </rPr>
      <t>)-(R</t>
    </r>
    <r>
      <rPr>
        <vertAlign val="subscript"/>
        <sz val="13"/>
        <color indexed="8"/>
        <rFont val="Times New Roman"/>
        <family val="1"/>
      </rPr>
      <t>b</t>
    </r>
    <r>
      <rPr>
        <sz val="13"/>
        <color indexed="8"/>
        <rFont val="Times New Roman"/>
        <family val="1"/>
      </rPr>
      <t>b1h1)]/(R</t>
    </r>
    <r>
      <rPr>
        <vertAlign val="subscript"/>
        <sz val="13"/>
        <color indexed="8"/>
        <rFont val="Times New Roman"/>
        <family val="1"/>
      </rPr>
      <t>s</t>
    </r>
    <r>
      <rPr>
        <sz val="13"/>
        <color indexed="8"/>
        <rFont val="Times New Roman"/>
        <family val="1"/>
      </rPr>
      <t>- R</t>
    </r>
    <r>
      <rPr>
        <vertAlign val="subscript"/>
        <sz val="13"/>
        <color indexed="8"/>
        <rFont val="Times New Roman"/>
        <family val="1"/>
      </rPr>
      <t>b</t>
    </r>
    <r>
      <rPr>
        <sz val="13"/>
        <color indexed="8"/>
        <rFont val="Times New Roman"/>
        <family val="1"/>
      </rPr>
      <t>) =</t>
    </r>
  </si>
  <si>
    <r>
      <t>cm</t>
    </r>
    <r>
      <rPr>
        <vertAlign val="superscript"/>
        <sz val="13"/>
        <color indexed="8"/>
        <rFont val="Times New Roman"/>
        <family val="1"/>
      </rPr>
      <t>2</t>
    </r>
  </si>
  <si>
    <t>Trường hợp nén lệch tâm bé</t>
  </si>
  <si>
    <r>
      <t>Chiều cao vùng nén x = [x</t>
    </r>
    <r>
      <rPr>
        <vertAlign val="subscript"/>
        <sz val="13"/>
        <color indexed="8"/>
        <rFont val="Times New Roman"/>
        <family val="1"/>
      </rPr>
      <t>R</t>
    </r>
    <r>
      <rPr>
        <sz val="13"/>
        <color indexed="8"/>
        <rFont val="Times New Roman"/>
        <family val="1"/>
      </rPr>
      <t xml:space="preserve"> + (1-x</t>
    </r>
    <r>
      <rPr>
        <vertAlign val="subscript"/>
        <sz val="13"/>
        <color indexed="8"/>
        <rFont val="Times New Roman"/>
        <family val="1"/>
      </rPr>
      <t>R</t>
    </r>
    <r>
      <rPr>
        <sz val="13"/>
        <color indexed="8"/>
        <rFont val="Times New Roman"/>
        <family val="1"/>
      </rPr>
      <t>)/(1+50.e</t>
    </r>
    <r>
      <rPr>
        <vertAlign val="subscript"/>
        <sz val="13"/>
        <color indexed="8"/>
        <rFont val="Times New Roman"/>
        <family val="1"/>
      </rPr>
      <t>o</t>
    </r>
    <r>
      <rPr>
        <vertAlign val="superscript"/>
        <sz val="13"/>
        <color indexed="8"/>
        <rFont val="Times New Roman"/>
        <family val="1"/>
      </rPr>
      <t>2</t>
    </r>
    <r>
      <rPr>
        <sz val="13"/>
        <color indexed="8"/>
        <rFont val="Times New Roman"/>
        <family val="1"/>
      </rPr>
      <t>)].ho=</t>
    </r>
  </si>
  <si>
    <r>
      <t xml:space="preserve">  với </t>
    </r>
    <r>
      <rPr>
        <sz val="13"/>
        <color indexed="8"/>
        <rFont val="Times New Roman"/>
        <family val="1"/>
      </rPr>
      <t>e</t>
    </r>
    <r>
      <rPr>
        <vertAlign val="subscript"/>
        <sz val="13"/>
        <color indexed="8"/>
        <rFont val="Times New Roman"/>
        <family val="1"/>
      </rPr>
      <t>o</t>
    </r>
    <r>
      <rPr>
        <sz val="13"/>
        <color indexed="8"/>
        <rFont val="Times New Roman"/>
        <family val="1"/>
      </rPr>
      <t>= e</t>
    </r>
    <r>
      <rPr>
        <vertAlign val="subscript"/>
        <sz val="13"/>
        <color indexed="8"/>
        <rFont val="Times New Roman"/>
        <family val="1"/>
      </rPr>
      <t xml:space="preserve">o </t>
    </r>
    <r>
      <rPr>
        <sz val="13"/>
        <color indexed="8"/>
        <rFont val="Times New Roman"/>
        <family val="1"/>
      </rPr>
      <t xml:space="preserve">/ h1 =  </t>
    </r>
  </si>
  <si>
    <t>Diệnt ích toàn bộ cốt thép dọc</t>
  </si>
  <si>
    <r>
      <t>A</t>
    </r>
    <r>
      <rPr>
        <vertAlign val="subscript"/>
        <sz val="13"/>
        <color indexed="8"/>
        <rFont val="Times New Roman"/>
        <family val="1"/>
      </rPr>
      <t>s</t>
    </r>
    <r>
      <rPr>
        <sz val="13"/>
        <color indexed="8"/>
        <rFont val="Times New Roman"/>
        <family val="1"/>
      </rPr>
      <t xml:space="preserve"> = [ Ne -R</t>
    </r>
    <r>
      <rPr>
        <vertAlign val="subscript"/>
        <sz val="13"/>
        <color indexed="8"/>
        <rFont val="Times New Roman"/>
        <family val="1"/>
      </rPr>
      <t>b</t>
    </r>
    <r>
      <rPr>
        <sz val="13"/>
        <color indexed="8"/>
        <rFont val="Times New Roman"/>
        <family val="1"/>
      </rPr>
      <t>b1x(ho - 0.5x)] /(kR</t>
    </r>
    <r>
      <rPr>
        <vertAlign val="subscript"/>
        <sz val="13"/>
        <color indexed="8"/>
        <rFont val="Times New Roman"/>
        <family val="1"/>
      </rPr>
      <t>sc</t>
    </r>
    <r>
      <rPr>
        <sz val="13"/>
        <color indexed="8"/>
        <rFont val="Times New Roman"/>
        <family val="1"/>
      </rPr>
      <t>Z) =</t>
    </r>
  </si>
  <si>
    <t>Trường hợp nén lệch tâm lớn</t>
  </si>
  <si>
    <t xml:space="preserve">Chiều cao vùng nén                             x =  x1  = </t>
  </si>
  <si>
    <r>
      <t>A</t>
    </r>
    <r>
      <rPr>
        <vertAlign val="subscript"/>
        <sz val="13"/>
        <color indexed="8"/>
        <rFont val="Times New Roman"/>
        <family val="1"/>
      </rPr>
      <t>s</t>
    </r>
    <r>
      <rPr>
        <sz val="13"/>
        <color indexed="8"/>
        <rFont val="Times New Roman"/>
        <family val="1"/>
      </rPr>
      <t xml:space="preserve"> = [ N(e+0.5x-h</t>
    </r>
    <r>
      <rPr>
        <vertAlign val="subscript"/>
        <sz val="13"/>
        <color indexed="8"/>
        <rFont val="Times New Roman"/>
        <family val="1"/>
      </rPr>
      <t>o</t>
    </r>
    <r>
      <rPr>
        <sz val="13"/>
        <color indexed="8"/>
        <rFont val="Times New Roman"/>
        <family val="1"/>
      </rPr>
      <t>)] /(kR</t>
    </r>
    <r>
      <rPr>
        <vertAlign val="subscript"/>
        <sz val="13"/>
        <color indexed="8"/>
        <rFont val="Times New Roman"/>
        <family val="1"/>
      </rPr>
      <t>s</t>
    </r>
    <r>
      <rPr>
        <sz val="13"/>
        <color indexed="8"/>
        <rFont val="Times New Roman"/>
        <family val="1"/>
      </rPr>
      <t>Z) =</t>
    </r>
  </si>
  <si>
    <t>Hàm lượng cốt thép</t>
  </si>
  <si>
    <r>
      <t>μ = A</t>
    </r>
    <r>
      <rPr>
        <vertAlign val="subscript"/>
        <sz val="13"/>
        <color indexed="8"/>
        <rFont val="Times New Roman"/>
        <family val="1"/>
      </rPr>
      <t xml:space="preserve">s </t>
    </r>
    <r>
      <rPr>
        <sz val="13"/>
        <color indexed="8"/>
        <rFont val="Times New Roman"/>
        <family val="1"/>
      </rPr>
      <t>/(b.h</t>
    </r>
    <r>
      <rPr>
        <vertAlign val="subscript"/>
        <sz val="13"/>
        <color indexed="8"/>
        <rFont val="Times New Roman"/>
        <family val="1"/>
      </rPr>
      <t>o</t>
    </r>
    <r>
      <rPr>
        <sz val="13"/>
        <color indexed="8"/>
        <rFont val="Times New Roman"/>
        <family val="1"/>
      </rPr>
      <t>) =</t>
    </r>
  </si>
  <si>
    <r>
      <t>μ</t>
    </r>
    <r>
      <rPr>
        <vertAlign val="subscript"/>
        <sz val="13"/>
        <color indexed="8"/>
        <rFont val="Times New Roman"/>
        <family val="1"/>
      </rPr>
      <t xml:space="preserve">max </t>
    </r>
    <r>
      <rPr>
        <sz val="13"/>
        <color indexed="8"/>
        <rFont val="Times New Roman"/>
        <family val="1"/>
      </rPr>
      <t>=</t>
    </r>
    <r>
      <rPr>
        <sz val="10"/>
        <color indexed="8"/>
        <rFont val="Symbol"/>
        <family val="1"/>
        <charset val="2"/>
      </rPr>
      <t/>
    </r>
  </si>
  <si>
    <r>
      <t xml:space="preserve">  Hệ số Y </t>
    </r>
    <r>
      <rPr>
        <sz val="13"/>
        <color indexed="8"/>
        <rFont val="Times New Roman"/>
        <family val="1"/>
      </rPr>
      <t>Ψ =</t>
    </r>
  </si>
  <si>
    <t>Za</t>
  </si>
  <si>
    <t>C153</t>
  </si>
  <si>
    <t>η</t>
  </si>
  <si>
    <t>μ_s</t>
  </si>
  <si>
    <t>%</t>
  </si>
  <si>
    <t>Js</t>
  </si>
  <si>
    <t>x10^6</t>
  </si>
  <si>
    <t>mm4</t>
  </si>
  <si>
    <t>J</t>
  </si>
  <si>
    <t>156</t>
  </si>
  <si>
    <t>Tên phần 
tử</t>
  </si>
  <si>
    <t>Giá trị 2 cặp nội lực</t>
  </si>
  <si>
    <t>Ch.cao cột       H</t>
  </si>
  <si>
    <r>
      <rPr>
        <sz val="12"/>
        <color theme="1"/>
        <rFont val="Times New Roman"/>
        <family val="1"/>
      </rPr>
      <t>Lớp b.vệ a=a'</t>
    </r>
    <r>
      <rPr>
        <sz val="11"/>
        <color theme="1"/>
        <rFont val="Times New Roman"/>
        <family val="1"/>
      </rPr>
      <t xml:space="preserve"> </t>
    </r>
  </si>
  <si>
    <r>
      <rPr>
        <sz val="12"/>
        <color theme="1"/>
        <rFont val="Times New Roman"/>
        <family val="1"/>
      </rPr>
      <t>h</t>
    </r>
    <r>
      <rPr>
        <vertAlign val="subscript"/>
        <sz val="12"/>
        <color theme="1"/>
        <rFont val="Times New Roman"/>
        <family val="1"/>
      </rPr>
      <t>o</t>
    </r>
    <r>
      <rPr>
        <sz val="11"/>
        <color theme="1"/>
        <rFont val="Times New Roman"/>
        <family val="1"/>
      </rPr>
      <t xml:space="preserve">   </t>
    </r>
  </si>
  <si>
    <r>
      <rPr>
        <sz val="12"/>
        <color theme="1"/>
        <rFont val="Times New Roman"/>
        <family val="1"/>
      </rPr>
      <t>e</t>
    </r>
    <r>
      <rPr>
        <vertAlign val="subscript"/>
        <sz val="11"/>
        <color theme="1"/>
        <rFont val="Times New Roman"/>
        <family val="1"/>
      </rPr>
      <t>ox1</t>
    </r>
  </si>
  <si>
    <r>
      <rPr>
        <sz val="12"/>
        <color theme="1"/>
        <rFont val="Times New Roman"/>
        <family val="1"/>
      </rPr>
      <t>e</t>
    </r>
    <r>
      <rPr>
        <vertAlign val="subscript"/>
        <sz val="11"/>
        <color theme="1"/>
        <rFont val="Times New Roman"/>
        <family val="1"/>
      </rPr>
      <t>ox2</t>
    </r>
  </si>
  <si>
    <r>
      <rPr>
        <sz val="12"/>
        <color theme="1"/>
        <rFont val="Times New Roman"/>
        <family val="1"/>
      </rPr>
      <t>I</t>
    </r>
    <r>
      <rPr>
        <vertAlign val="subscript"/>
        <sz val="12"/>
        <color theme="1"/>
        <rFont val="Times New Roman"/>
        <family val="1"/>
      </rPr>
      <t>s-x1</t>
    </r>
  </si>
  <si>
    <r>
      <rPr>
        <sz val="12"/>
        <color theme="1"/>
        <rFont val="Times New Roman"/>
        <family val="1"/>
      </rPr>
      <t>I</t>
    </r>
    <r>
      <rPr>
        <vertAlign val="subscript"/>
        <sz val="12"/>
        <color theme="1"/>
        <rFont val="Times New Roman"/>
        <family val="1"/>
      </rPr>
      <t>s-x2</t>
    </r>
  </si>
  <si>
    <r>
      <rPr>
        <sz val="12"/>
        <color theme="1"/>
        <rFont val="Times New Roman"/>
        <family val="1"/>
      </rPr>
      <t>I</t>
    </r>
    <r>
      <rPr>
        <vertAlign val="subscript"/>
        <sz val="12"/>
        <color theme="1"/>
        <rFont val="Times New Roman"/>
        <family val="1"/>
      </rPr>
      <t>b-x</t>
    </r>
  </si>
  <si>
    <t>S    phương x1</t>
  </si>
  <si>
    <t>S    phương x2</t>
  </si>
  <si>
    <r>
      <rPr>
        <sz val="11"/>
        <color theme="1"/>
        <rFont val="Times New Roman"/>
        <family val="1"/>
      </rPr>
      <t>N</t>
    </r>
    <r>
      <rPr>
        <vertAlign val="subscript"/>
        <sz val="11"/>
        <color theme="1"/>
        <rFont val="Times New Roman"/>
        <family val="1"/>
      </rPr>
      <t>cr</t>
    </r>
    <r>
      <rPr>
        <sz val="11"/>
        <color theme="1"/>
        <rFont val="Times New Roman"/>
        <family val="1"/>
      </rPr>
      <t xml:space="preserve">   phương x1      </t>
    </r>
    <r>
      <rPr>
        <i/>
        <sz val="11"/>
        <color theme="1"/>
        <rFont val="Times New Roman"/>
        <family val="1"/>
      </rPr>
      <t>(Tonf)</t>
    </r>
  </si>
  <si>
    <r>
      <rPr>
        <sz val="11"/>
        <color theme="1"/>
        <rFont val="Times New Roman"/>
        <family val="1"/>
      </rPr>
      <t>N</t>
    </r>
    <r>
      <rPr>
        <vertAlign val="subscript"/>
        <sz val="11"/>
        <color theme="1"/>
        <rFont val="Times New Roman"/>
        <family val="1"/>
      </rPr>
      <t>cr</t>
    </r>
    <r>
      <rPr>
        <sz val="11"/>
        <color theme="1"/>
        <rFont val="Times New Roman"/>
        <family val="1"/>
      </rPr>
      <t xml:space="preserve">   phương x2      </t>
    </r>
    <r>
      <rPr>
        <i/>
        <sz val="11"/>
        <color theme="1"/>
        <rFont val="Times New Roman"/>
        <family val="1"/>
      </rPr>
      <t>(Tonf)</t>
    </r>
  </si>
  <si>
    <r>
      <rPr>
        <sz val="11"/>
        <color theme="1"/>
        <rFont val="Noto Sans Symbols"/>
      </rPr>
      <t>h</t>
    </r>
    <r>
      <rPr>
        <sz val="11"/>
        <color theme="1"/>
        <rFont val="Times New Roman"/>
        <family val="1"/>
      </rPr>
      <t xml:space="preserve">     phương x1</t>
    </r>
  </si>
  <si>
    <r>
      <rPr>
        <sz val="11"/>
        <color theme="1"/>
        <rFont val="Noto Sans Symbols"/>
      </rPr>
      <t>h</t>
    </r>
    <r>
      <rPr>
        <sz val="11"/>
        <color theme="1"/>
        <rFont val="Times New Roman"/>
        <family val="1"/>
      </rPr>
      <t xml:space="preserve">     phương x2</t>
    </r>
  </si>
  <si>
    <t>e'  phương x1</t>
  </si>
  <si>
    <t>e'   phương x2</t>
  </si>
  <si>
    <t>e    phương x1</t>
  </si>
  <si>
    <t>e    phương x2</t>
  </si>
  <si>
    <t>x  phương x1</t>
  </si>
  <si>
    <t>x  phương x2</t>
  </si>
  <si>
    <t>x'  phương x1</t>
  </si>
  <si>
    <t>x'  phương x2</t>
  </si>
  <si>
    <r>
      <rPr>
        <sz val="11"/>
        <color theme="1"/>
        <rFont val="Times New Roman"/>
        <family val="1"/>
      </rPr>
      <t>A</t>
    </r>
    <r>
      <rPr>
        <vertAlign val="subscript"/>
        <sz val="11"/>
        <color theme="1"/>
        <rFont val="Times New Roman"/>
        <family val="1"/>
      </rPr>
      <t>s</t>
    </r>
    <r>
      <rPr>
        <sz val="11"/>
        <color theme="1"/>
        <rFont val="Times New Roman"/>
        <family val="1"/>
      </rPr>
      <t xml:space="preserve"> (cm</t>
    </r>
    <r>
      <rPr>
        <vertAlign val="superscript"/>
        <sz val="11"/>
        <color theme="1"/>
        <rFont val="Times New Roman"/>
        <family val="1"/>
      </rPr>
      <t>2</t>
    </r>
    <r>
      <rPr>
        <sz val="11"/>
        <color theme="1"/>
        <rFont val="Times New Roman"/>
        <family val="1"/>
      </rPr>
      <t xml:space="preserve">) cạnh h       </t>
    </r>
  </si>
  <si>
    <t>Phương cạnh h</t>
  </si>
  <si>
    <t>Tính và chọn thép (bố trí dọc cạnh b)</t>
  </si>
  <si>
    <t>N-max</t>
  </si>
  <si>
    <t>M3-tư</t>
  </si>
  <si>
    <t>M3-max</t>
  </si>
  <si>
    <t>N - tư</t>
  </si>
  <si>
    <t>Cặp nội lực 1</t>
  </si>
  <si>
    <t>Cặp nội lực 2</t>
  </si>
  <si>
    <t>Cặp 1</t>
  </si>
  <si>
    <t>Cặp 2</t>
  </si>
  <si>
    <r>
      <rPr>
        <sz val="11"/>
        <color theme="1"/>
        <rFont val="Times New Roman"/>
        <family val="1"/>
      </rPr>
      <t>A</t>
    </r>
    <r>
      <rPr>
        <vertAlign val="subscript"/>
        <sz val="11"/>
        <color theme="1"/>
        <rFont val="Times New Roman"/>
        <family val="1"/>
      </rPr>
      <t>s</t>
    </r>
    <r>
      <rPr>
        <sz val="11"/>
        <color theme="1"/>
        <rFont val="Times New Roman"/>
        <family val="1"/>
      </rPr>
      <t>=A</t>
    </r>
    <r>
      <rPr>
        <vertAlign val="subscript"/>
        <sz val="11"/>
        <color theme="1"/>
        <rFont val="Times New Roman"/>
        <family val="1"/>
      </rPr>
      <t>s'</t>
    </r>
  </si>
  <si>
    <t>chọn thép</t>
  </si>
  <si>
    <r>
      <rPr>
        <sz val="11"/>
        <color theme="1"/>
        <rFont val="Times New Roman"/>
        <family val="1"/>
      </rPr>
      <t>A</t>
    </r>
    <r>
      <rPr>
        <vertAlign val="subscript"/>
        <sz val="11"/>
        <color theme="1"/>
        <rFont val="Times New Roman"/>
        <family val="1"/>
      </rPr>
      <t>s chon</t>
    </r>
  </si>
  <si>
    <r>
      <rPr>
        <sz val="11"/>
        <color theme="1"/>
        <rFont val="Noto Sans Symbols"/>
      </rPr>
      <t>m</t>
    </r>
    <r>
      <rPr>
        <vertAlign val="subscript"/>
        <sz val="10"/>
        <color theme="1"/>
        <rFont val="Times New Roman"/>
        <family val="1"/>
      </rPr>
      <t>chọn</t>
    </r>
  </si>
  <si>
    <t>Ton</t>
  </si>
  <si>
    <t>Tonf-m</t>
  </si>
  <si>
    <r>
      <rPr>
        <i/>
        <sz val="12"/>
        <color theme="1"/>
        <rFont val="Times New Roman"/>
        <family val="1"/>
      </rPr>
      <t>cm</t>
    </r>
    <r>
      <rPr>
        <i/>
        <vertAlign val="superscript"/>
        <sz val="12"/>
        <color theme="1"/>
        <rFont val="Times New Roman"/>
        <family val="1"/>
      </rPr>
      <t>4</t>
    </r>
  </si>
  <si>
    <r>
      <rPr>
        <sz val="11"/>
        <color theme="1"/>
        <rFont val="Noto Sans Symbols"/>
      </rPr>
      <t>m</t>
    </r>
    <r>
      <rPr>
        <vertAlign val="subscript"/>
        <sz val="11"/>
        <color theme="1"/>
        <rFont val="Times New Roman"/>
        <family val="1"/>
      </rPr>
      <t>tt</t>
    </r>
    <r>
      <rPr>
        <sz val="11"/>
        <color theme="1"/>
        <rFont val="Times New Roman"/>
        <family val="1"/>
      </rPr>
      <t xml:space="preserve"> (%)</t>
    </r>
  </si>
  <si>
    <r>
      <rPr>
        <sz val="11"/>
        <color theme="1"/>
        <rFont val="Noto Sans Symbols"/>
      </rPr>
      <t>m</t>
    </r>
    <r>
      <rPr>
        <vertAlign val="subscript"/>
        <sz val="11"/>
        <color theme="1"/>
        <rFont val="Times New Roman"/>
        <family val="1"/>
      </rPr>
      <t>gt</t>
    </r>
    <r>
      <rPr>
        <sz val="11"/>
        <color theme="1"/>
        <rFont val="Times New Roman"/>
        <family val="1"/>
      </rPr>
      <t xml:space="preserve"> (%)</t>
    </r>
  </si>
  <si>
    <r>
      <rPr>
        <sz val="11"/>
        <color theme="1"/>
        <rFont val="Times New Roman"/>
        <family val="1"/>
      </rPr>
      <t>cm</t>
    </r>
    <r>
      <rPr>
        <vertAlign val="superscript"/>
        <sz val="11"/>
        <color theme="1"/>
        <rFont val="Times New Roman"/>
        <family val="1"/>
      </rPr>
      <t>2</t>
    </r>
  </si>
  <si>
    <t>BẢNG TÍNH THÉP CỘT</t>
  </si>
  <si>
    <t>Rsc</t>
  </si>
  <si>
    <r>
      <rPr>
        <sz val="12"/>
        <color theme="1"/>
        <rFont val="Times New Roman"/>
        <family val="1"/>
      </rPr>
      <t xml:space="preserve">- Cấp độ bền BT: </t>
    </r>
    <r>
      <rPr>
        <b/>
        <sz val="12"/>
        <color rgb="FFFF0000"/>
        <rFont val="Times New Roman"/>
        <family val="1"/>
      </rPr>
      <t>B</t>
    </r>
  </si>
  <si>
    <r>
      <rPr>
        <sz val="12"/>
        <color theme="1"/>
        <rFont val="Times New Roman"/>
        <family val="1"/>
      </rPr>
      <t xml:space="preserve">   R</t>
    </r>
    <r>
      <rPr>
        <vertAlign val="subscript"/>
        <sz val="12"/>
        <color theme="1"/>
        <rFont val="Times New Roman"/>
        <family val="1"/>
      </rPr>
      <t>b</t>
    </r>
    <r>
      <rPr>
        <sz val="12"/>
        <color theme="1"/>
        <rFont val="Times New Roman"/>
        <family val="1"/>
      </rPr>
      <t xml:space="preserve">= </t>
    </r>
  </si>
  <si>
    <r>
      <rPr>
        <sz val="12"/>
        <color theme="1"/>
        <rFont val="Noto Sans Symbols"/>
      </rPr>
      <t>x</t>
    </r>
    <r>
      <rPr>
        <vertAlign val="subscript"/>
        <sz val="12"/>
        <color theme="1"/>
        <rFont val="Times New Roman"/>
        <family val="1"/>
      </rPr>
      <t>R</t>
    </r>
    <r>
      <rPr>
        <sz val="12"/>
        <color theme="1"/>
        <rFont val="Times New Roman"/>
        <family val="1"/>
      </rPr>
      <t xml:space="preserve"> =</t>
    </r>
  </si>
  <si>
    <t>- Nhóm thép</t>
  </si>
  <si>
    <r>
      <rPr>
        <sz val="11"/>
        <color theme="1"/>
        <rFont val="Times New Roman"/>
        <family val="1"/>
      </rPr>
      <t>R</t>
    </r>
    <r>
      <rPr>
        <vertAlign val="subscript"/>
        <sz val="11"/>
        <color theme="1"/>
        <rFont val="Times New Roman"/>
        <family val="1"/>
      </rPr>
      <t>s</t>
    </r>
    <r>
      <rPr>
        <sz val="11"/>
        <color theme="1"/>
        <rFont val="Times New Roman"/>
        <family val="1"/>
      </rPr>
      <t>= R</t>
    </r>
    <r>
      <rPr>
        <vertAlign val="subscript"/>
        <sz val="11"/>
        <color theme="1"/>
        <rFont val="Times New Roman"/>
        <family val="1"/>
      </rPr>
      <t>sc</t>
    </r>
    <r>
      <rPr>
        <sz val="11"/>
        <color theme="1"/>
        <rFont val="Times New Roman"/>
        <family val="1"/>
      </rPr>
      <t>=</t>
    </r>
  </si>
  <si>
    <r>
      <rPr>
        <sz val="11"/>
        <color theme="1"/>
        <rFont val="Noto Sans Symbols"/>
      </rPr>
      <t xml:space="preserve">    a </t>
    </r>
    <r>
      <rPr>
        <sz val="11"/>
        <color theme="1"/>
        <rFont val="Times New Roman"/>
        <family val="1"/>
      </rPr>
      <t>=      E</t>
    </r>
    <r>
      <rPr>
        <vertAlign val="subscript"/>
        <sz val="11"/>
        <color theme="1"/>
        <rFont val="Times New Roman"/>
        <family val="1"/>
      </rPr>
      <t>s</t>
    </r>
    <r>
      <rPr>
        <sz val="11"/>
        <color theme="1"/>
        <rFont val="Times New Roman"/>
        <family val="1"/>
      </rPr>
      <t>/E</t>
    </r>
    <r>
      <rPr>
        <vertAlign val="subscript"/>
        <sz val="11"/>
        <color theme="1"/>
        <rFont val="Times New Roman"/>
        <family val="1"/>
      </rPr>
      <t>b</t>
    </r>
    <r>
      <rPr>
        <sz val="11"/>
        <color theme="1"/>
        <rFont val="Times New Roman"/>
        <family val="1"/>
      </rPr>
      <t>=</t>
    </r>
  </si>
  <si>
    <t>- Hệ số moment</t>
  </si>
  <si>
    <r>
      <rPr>
        <sz val="12"/>
        <color theme="1"/>
        <rFont val="Times New Roman"/>
        <family val="1"/>
      </rPr>
      <t>E</t>
    </r>
    <r>
      <rPr>
        <vertAlign val="subscript"/>
        <sz val="12"/>
        <color theme="1"/>
        <rFont val="Times New Roman"/>
        <family val="1"/>
      </rPr>
      <t>b</t>
    </r>
    <r>
      <rPr>
        <sz val="12"/>
        <color theme="1"/>
        <rFont val="Times New Roman"/>
        <family val="1"/>
      </rPr>
      <t>=</t>
    </r>
  </si>
  <si>
    <t>không cần đến !!!</t>
  </si>
  <si>
    <t>Không xét tr.hợp x&lt;2a'</t>
  </si>
  <si>
    <r>
      <rPr>
        <sz val="12"/>
        <color theme="1"/>
        <rFont val="Times New Roman"/>
        <family val="1"/>
      </rPr>
      <t>E</t>
    </r>
    <r>
      <rPr>
        <vertAlign val="subscript"/>
        <sz val="12"/>
        <color theme="1"/>
        <rFont val="Times New Roman"/>
        <family val="1"/>
      </rPr>
      <t>s</t>
    </r>
    <r>
      <rPr>
        <sz val="12"/>
        <color theme="1"/>
        <rFont val="Times New Roman"/>
        <family val="1"/>
      </rPr>
      <t>=</t>
    </r>
  </si>
  <si>
    <t xml:space="preserve"> </t>
  </si>
  <si>
    <t/>
  </si>
  <si>
    <t>Js2</t>
  </si>
  <si>
    <t>e2</t>
  </si>
  <si>
    <t>utt</t>
  </si>
  <si>
    <t>chiều dày lớp bảo vệ</t>
  </si>
  <si>
    <t>Chiều dày lớp đệm</t>
  </si>
  <si>
    <t>Za(mm)</t>
  </si>
  <si>
    <t>b (mm)</t>
  </si>
  <si>
    <t>t0</t>
  </si>
  <si>
    <t>15phi dọc</t>
  </si>
  <si>
    <t>ad</t>
  </si>
  <si>
    <t>152</t>
  </si>
  <si>
    <t>CỌC</t>
  </si>
  <si>
    <t>cây</t>
  </si>
  <si>
    <t>Lớp đất cắm mũi</t>
  </si>
  <si>
    <t>Lớp</t>
  </si>
  <si>
    <t>Tên đất</t>
  </si>
  <si>
    <t>Bề dày</t>
  </si>
  <si>
    <t>Dung trọng tự nhiên</t>
  </si>
  <si>
    <t>Dung trọng đẩy nổi</t>
  </si>
  <si>
    <t>Độ ẩm tự nhiên</t>
  </si>
  <si>
    <t>Chỉ số SPT</t>
  </si>
  <si>
    <t>Góc nội ma sát</t>
  </si>
  <si>
    <t>Lực dính kết</t>
  </si>
  <si>
    <t>Độ sệt</t>
  </si>
  <si>
    <t>Mô đuyn tổng biến dạng</t>
  </si>
  <si>
    <t>Hệ số quy đổi T - &gt; kN</t>
  </si>
  <si>
    <t>kN -&gt; T</t>
  </si>
  <si>
    <t>H</t>
  </si>
  <si>
    <t>γw</t>
  </si>
  <si>
    <t>γdn</t>
  </si>
  <si>
    <t>W</t>
  </si>
  <si>
    <t>N30</t>
  </si>
  <si>
    <t>φ</t>
  </si>
  <si>
    <t>IL</t>
  </si>
  <si>
    <t>E100-400</t>
  </si>
  <si>
    <t>Z</t>
  </si>
  <si>
    <t>kN/m3</t>
  </si>
  <si>
    <t>(°)</t>
  </si>
  <si>
    <t>kN/m2</t>
  </si>
  <si>
    <t>K</t>
  </si>
  <si>
    <t>Cát san lấp</t>
  </si>
  <si>
    <t>Lớp bùn sét, xám đen, xám xanh, lẫn mùn thực vật</t>
  </si>
  <si>
    <t>6o30'</t>
  </si>
  <si>
    <t>Sét pha sét bụi dẻo mềm</t>
  </si>
  <si>
    <t>9o30’</t>
  </si>
  <si>
    <t>Cát hạt trung màu xám trắng, vàng, chặt vừa</t>
  </si>
  <si>
    <t>24o30’</t>
  </si>
  <si>
    <t>Sét pha dẻo thấp, màu vàng, nâu đỏ</t>
  </si>
  <si>
    <t>9o40’</t>
  </si>
  <si>
    <t>Sét pha xám dẻo, nâu đỏ, trạng thái nữa cứng</t>
  </si>
  <si>
    <t>15o20’</t>
  </si>
  <si>
    <t>Cát pha bụi, màu xám trắng vàng, trạng thái chặt vừa</t>
  </si>
  <si>
    <t>21o30’</t>
  </si>
  <si>
    <t>Cát hạt trung lẫn sạn chặt vừa</t>
  </si>
  <si>
    <t>27o00’</t>
  </si>
  <si>
    <t>Tên lớp đất</t>
  </si>
  <si>
    <t>độ sâu</t>
  </si>
  <si>
    <t>chiều dày</t>
  </si>
  <si>
    <t>Chiều sâu đặt đài</t>
  </si>
  <si>
    <t>Sâu lớp đất tính từ đáy đài</t>
  </si>
  <si>
    <t>Bêề dày lớp đất đặt mũi</t>
  </si>
  <si>
    <t>Chiều dài cọc cắm vào lớp đất đặt mũi</t>
  </si>
  <si>
    <t>Chiều sâu đáy đài đến lớp đất đặt mũi</t>
  </si>
  <si>
    <t>Số đoạn cọc</t>
  </si>
  <si>
    <t>Chiều dài cọc</t>
  </si>
  <si>
    <t>đoạn</t>
  </si>
  <si>
    <t>Chiều cao đài chọn sb Hđ</t>
  </si>
  <si>
    <t>SỨC CHỊU TẢI CỌC</t>
  </si>
  <si>
    <t>Theo Vật liệu</t>
  </si>
  <si>
    <t>j</t>
  </si>
  <si>
    <t>λ</t>
  </si>
  <si>
    <t>Chiều dài cọc từ đáy đài đến mũi Lcoc</t>
  </si>
  <si>
    <t>Dđoạn ngàm vào đài Lngam</t>
  </si>
  <si>
    <t>Chiều dài thực của cọc L</t>
  </si>
  <si>
    <t>μ hệ số làm việc cọc</t>
  </si>
  <si>
    <t>Fb diện tích mặt cắt ngang cọc</t>
  </si>
  <si>
    <t>Pvl</t>
  </si>
  <si>
    <t>Fa diện tích cốt dọc</t>
  </si>
  <si>
    <t>Theo cơ lý đất</t>
  </si>
  <si>
    <t>γc hệ số điều kiện làm việc</t>
  </si>
  <si>
    <r>
      <t>γ</t>
    </r>
    <r>
      <rPr>
        <vertAlign val="subscript"/>
        <sz val="13"/>
        <color theme="1"/>
        <rFont val="Times New Roman"/>
        <family val="1"/>
      </rPr>
      <t>cq điều kiện làm việc của đất dưới mũi cọc</t>
    </r>
  </si>
  <si>
    <t xml:space="preserve">γcf hệ số điều kiện làm việc của đất trên thân cọc </t>
  </si>
  <si>
    <t>u chu vi tiết diện ngang cọc</t>
  </si>
  <si>
    <t>qb là cường độ sức kháng của đất dưới mũi cọc</t>
  </si>
  <si>
    <t> fi  là cường độ sức kháng trung bình của lớp đất lên cọc</t>
  </si>
  <si>
    <t xml:space="preserve"> li  chiều dài đoạn cọc nằm trong lớp đất thứ “i” </t>
  </si>
  <si>
    <t>B¶ng 2(2)</t>
  </si>
  <si>
    <t>c¸t mÞn</t>
  </si>
  <si>
    <t>§é s©u</t>
  </si>
  <si>
    <t>trung</t>
  </si>
  <si>
    <t>b×nh</t>
  </si>
  <si>
    <t>cña</t>
  </si>
  <si>
    <t>líp</t>
  </si>
  <si>
    <t>®Êt</t>
  </si>
  <si>
    <r>
      <t>d</t>
    </r>
    <r>
      <rPr>
        <vertAlign val="subscript"/>
        <sz val="10"/>
        <rFont val=".VnArial"/>
        <family val="2"/>
      </rPr>
      <t>i</t>
    </r>
    <r>
      <rPr>
        <sz val="11"/>
        <color theme="1"/>
        <rFont val="Arial"/>
        <family val="2"/>
        <scheme val="minor"/>
      </rPr>
      <t>(m)</t>
    </r>
  </si>
  <si>
    <t>lớp đất</t>
  </si>
  <si>
    <t>trạng thái</t>
  </si>
  <si>
    <t xml:space="preserve"> chỉ tiêu cơ lý</t>
  </si>
  <si>
    <t>Zi</t>
  </si>
  <si>
    <r>
      <t>l</t>
    </r>
    <r>
      <rPr>
        <vertAlign val="subscript"/>
        <sz val="13"/>
        <color theme="1"/>
        <rFont val="Times New Roman"/>
        <family val="1"/>
      </rPr>
      <t>i</t>
    </r>
  </si>
  <si>
    <r>
      <t>γ</t>
    </r>
    <r>
      <rPr>
        <vertAlign val="subscript"/>
        <sz val="13"/>
        <color theme="1"/>
        <rFont val="Times New Roman"/>
        <family val="1"/>
      </rPr>
      <t>cf</t>
    </r>
  </si>
  <si>
    <r>
      <t>f</t>
    </r>
    <r>
      <rPr>
        <vertAlign val="subscript"/>
        <sz val="13"/>
        <color theme="1"/>
        <rFont val="Times New Roman"/>
        <family val="1"/>
      </rPr>
      <t>i</t>
    </r>
  </si>
  <si>
    <r>
      <t>f</t>
    </r>
    <r>
      <rPr>
        <vertAlign val="subscript"/>
        <sz val="13"/>
        <color theme="1"/>
        <rFont val="Times New Roman"/>
        <family val="1"/>
      </rPr>
      <t>i</t>
    </r>
    <r>
      <rPr>
        <sz val="13"/>
        <color theme="1"/>
        <rFont val="Times New Roman"/>
        <family val="1"/>
      </rPr>
      <t>xl</t>
    </r>
    <r>
      <rPr>
        <vertAlign val="subscript"/>
        <sz val="13"/>
        <color theme="1"/>
        <rFont val="Times New Roman"/>
        <family val="1"/>
      </rPr>
      <t>i</t>
    </r>
  </si>
  <si>
    <r>
      <t>kN/m</t>
    </r>
    <r>
      <rPr>
        <vertAlign val="superscript"/>
        <sz val="13"/>
        <color theme="1"/>
        <rFont val="Times New Roman"/>
        <family val="1"/>
      </rPr>
      <t>2</t>
    </r>
  </si>
  <si>
    <t>kN/m</t>
  </si>
  <si>
    <t>dẻo mềm</t>
  </si>
  <si>
    <r>
      <t>I</t>
    </r>
    <r>
      <rPr>
        <vertAlign val="subscript"/>
        <sz val="13"/>
        <color theme="1"/>
        <rFont val="Times New Roman"/>
        <family val="1"/>
      </rPr>
      <t>l</t>
    </r>
    <r>
      <rPr>
        <sz val="13"/>
        <color theme="1"/>
        <rFont val="Times New Roman"/>
        <family val="1"/>
      </rPr>
      <t>=0,8</t>
    </r>
  </si>
  <si>
    <r>
      <t>I</t>
    </r>
    <r>
      <rPr>
        <vertAlign val="subscript"/>
        <sz val="13"/>
        <color theme="1"/>
        <rFont val="Times New Roman"/>
        <family val="1"/>
      </rPr>
      <t>l</t>
    </r>
    <r>
      <rPr>
        <sz val="13"/>
        <color theme="1"/>
        <rFont val="Times New Roman"/>
        <family val="1"/>
      </rPr>
      <t>=0,53</t>
    </r>
  </si>
  <si>
    <t>chặt vừa</t>
  </si>
  <si>
    <t>cát hạt trung</t>
  </si>
  <si>
    <t>dẻo thấp</t>
  </si>
  <si>
    <r>
      <t>I</t>
    </r>
    <r>
      <rPr>
        <vertAlign val="subscript"/>
        <sz val="13"/>
        <color theme="1"/>
        <rFont val="Times New Roman"/>
        <family val="1"/>
      </rPr>
      <t>l</t>
    </r>
    <r>
      <rPr>
        <sz val="13"/>
        <color theme="1"/>
        <rFont val="Times New Roman"/>
        <family val="1"/>
      </rPr>
      <t>=0,5</t>
    </r>
  </si>
  <si>
    <t>nửa cứng</t>
  </si>
  <si>
    <r>
      <t>I</t>
    </r>
    <r>
      <rPr>
        <vertAlign val="subscript"/>
        <sz val="13"/>
        <color theme="1"/>
        <rFont val="Times New Roman"/>
        <family val="1"/>
      </rPr>
      <t>l</t>
    </r>
    <r>
      <rPr>
        <sz val="13"/>
        <color theme="1"/>
        <rFont val="Times New Roman"/>
        <family val="1"/>
      </rPr>
      <t>=0,2</t>
    </r>
  </si>
  <si>
    <t>cát pha bụi</t>
  </si>
  <si>
    <r>
      <t xml:space="preserve">Bảng 1.1. </t>
    </r>
    <r>
      <rPr>
        <sz val="13"/>
        <color theme="1"/>
        <rFont val="Times New Roman"/>
        <family val="1"/>
      </rPr>
      <t>Tính toán cường độ sức kháng trung bình trên thân cọc</t>
    </r>
  </si>
  <si>
    <t>Li</t>
  </si>
  <si>
    <t>Chiều dài cọc L0</t>
  </si>
  <si>
    <t>Mòi cäc</t>
  </si>
  <si>
    <t>fi</t>
  </si>
  <si>
    <t>fixli</t>
  </si>
  <si>
    <t>Sét pha</t>
  </si>
  <si>
    <t>Cát pha</t>
  </si>
  <si>
    <t>Cát nhỏ</t>
  </si>
  <si>
    <t>Cát vừa</t>
  </si>
  <si>
    <t>WL</t>
  </si>
  <si>
    <t>WP</t>
  </si>
  <si>
    <t>Ma sát bên của cọc fs T/m2</t>
  </si>
  <si>
    <t>Của cát chặt vừa</t>
  </si>
  <si>
    <t>Thô và vừa</t>
  </si>
  <si>
    <t>Mịn</t>
  </si>
  <si>
    <t>Bụi</t>
  </si>
  <si>
    <t>Của đất sét có độ sệt IL</t>
  </si>
  <si>
    <t>Cát/Độ sệt IL</t>
  </si>
  <si>
    <t>Độ sâu Li</t>
  </si>
  <si>
    <t>Li Down</t>
  </si>
  <si>
    <t>Li Up</t>
  </si>
  <si>
    <t>IL Down</t>
  </si>
  <si>
    <t>IL Up</t>
  </si>
  <si>
    <t>Bê tông chọn</t>
  </si>
  <si>
    <t>Chiều sâu mũi cọc đến đất tự nhiên</t>
  </si>
  <si>
    <t>Sét pha dẻo thấp</t>
  </si>
  <si>
    <r>
      <t>A</t>
    </r>
    <r>
      <rPr>
        <vertAlign val="subscript"/>
        <sz val="13"/>
        <color theme="1"/>
        <rFont val="Times New Roman"/>
        <family val="1"/>
      </rPr>
      <t xml:space="preserve">b </t>
    </r>
    <r>
      <rPr>
        <sz val="13"/>
        <color theme="1"/>
        <rFont val="Times New Roman"/>
        <family val="1"/>
      </rPr>
      <t>là diện tích tiết diện ngang mũi cọc</t>
    </r>
  </si>
  <si>
    <t>đất đắp</t>
  </si>
  <si>
    <t>lớp 1</t>
  </si>
  <si>
    <t>lớp 2</t>
  </si>
  <si>
    <t>lớp 3</t>
  </si>
  <si>
    <t>lớp 4</t>
  </si>
  <si>
    <r>
      <t>T/m</t>
    </r>
    <r>
      <rPr>
        <vertAlign val="superscript"/>
        <sz val="13"/>
        <color theme="1"/>
        <rFont val="Times New Roman"/>
        <family val="1"/>
      </rPr>
      <t>2</t>
    </r>
  </si>
  <si>
    <t>Chỉ tiêu cơ lý</t>
  </si>
  <si>
    <t>Trạng thái</t>
  </si>
  <si>
    <t>Lớp đất</t>
  </si>
  <si>
    <t>Rc,u</t>
  </si>
  <si>
    <t>yk</t>
  </si>
  <si>
    <t>Rc,d(coly)</t>
  </si>
  <si>
    <t>TÊN CỘT</t>
  </si>
  <si>
    <t>Đất mềm</t>
  </si>
  <si>
    <r>
      <t>l</t>
    </r>
    <r>
      <rPr>
        <b/>
        <vertAlign val="subscript"/>
        <sz val="13"/>
        <color theme="1"/>
        <rFont val="Times New Roman"/>
        <family val="1"/>
      </rPr>
      <t>i</t>
    </r>
  </si>
  <si>
    <r>
      <t>f</t>
    </r>
    <r>
      <rPr>
        <b/>
        <vertAlign val="subscript"/>
        <sz val="13"/>
        <color theme="1"/>
        <rFont val="Times New Roman"/>
        <family val="1"/>
      </rPr>
      <t>i</t>
    </r>
  </si>
  <si>
    <r>
      <t>f</t>
    </r>
    <r>
      <rPr>
        <b/>
        <vertAlign val="subscript"/>
        <sz val="13"/>
        <color theme="1"/>
        <rFont val="Times New Roman"/>
        <family val="1"/>
      </rPr>
      <t>i</t>
    </r>
    <r>
      <rPr>
        <b/>
        <sz val="13"/>
        <color theme="1"/>
        <rFont val="Times New Roman"/>
        <family val="1"/>
      </rPr>
      <t>xl</t>
    </r>
    <r>
      <rPr>
        <b/>
        <vertAlign val="subscript"/>
        <sz val="13"/>
        <color theme="1"/>
        <rFont val="Times New Roman"/>
        <family val="1"/>
      </rPr>
      <t>i</t>
    </r>
  </si>
  <si>
    <r>
      <t>T/m</t>
    </r>
    <r>
      <rPr>
        <b/>
        <vertAlign val="superscript"/>
        <sz val="13"/>
        <color theme="1"/>
        <rFont val="Times New Roman"/>
        <family val="1"/>
      </rPr>
      <t>2</t>
    </r>
  </si>
  <si>
    <t>1.1.1.1. Sức chịu tải của cọc theo SPT</t>
  </si>
  <si>
    <t>Rc,d</t>
  </si>
  <si>
    <t>W khối lượng cọc</t>
  </si>
  <si>
    <t>R chon</t>
  </si>
  <si>
    <t>Column</t>
  </si>
  <si>
    <t>Tổ Hợp</t>
  </si>
  <si>
    <t>N (T)</t>
  </si>
  <si>
    <t>My (Tm)</t>
  </si>
  <si>
    <t>Mx (Tm)</t>
  </si>
  <si>
    <t>Qy (T)</t>
  </si>
  <si>
    <t>Qx (T)</t>
  </si>
  <si>
    <t>Nmax, My, Mx,Qy, Qx</t>
  </si>
  <si>
    <t>N, Mymax,Mx,Qy,Qx</t>
  </si>
  <si>
    <t>N,My,Mxmax, ,Qy, Qx</t>
  </si>
  <si>
    <t>N,My,Mx,Qymax,Qx</t>
  </si>
  <si>
    <t xml:space="preserve">N,My,Mx,Qy,Qxmax, </t>
  </si>
  <si>
    <t>Tải trọng tại cột 91</t>
  </si>
  <si>
    <t>nc</t>
  </si>
  <si>
    <t>Khoảng cách cọc theo phương X 3d</t>
  </si>
  <si>
    <t>Khoảng cách cọc theo phương Y 3d</t>
  </si>
  <si>
    <t xml:space="preserve">Khoảng cách giữa mép cọc tới mép ngoài của đài chọn là: d/2 </t>
  </si>
  <si>
    <t>Kiểm tra lực dọc tác dụng lên từng cọc</t>
  </si>
  <si>
    <r>
      <t>γ</t>
    </r>
    <r>
      <rPr>
        <vertAlign val="subscript"/>
        <sz val="13"/>
        <color theme="1"/>
        <rFont val="Times New Roman"/>
        <family val="1"/>
      </rPr>
      <t>0</t>
    </r>
  </si>
  <si>
    <t>γ_bt</t>
  </si>
  <si>
    <t xml:space="preserve">γn </t>
  </si>
  <si>
    <t>Fd</t>
  </si>
  <si>
    <t>Nd</t>
  </si>
  <si>
    <t>Ntt</t>
  </si>
  <si>
    <t>Mxtt</t>
  </si>
  <si>
    <t>Mytt</t>
  </si>
  <si>
    <t>Tên cọc</t>
  </si>
  <si>
    <t>Xi (m)</t>
  </si>
  <si>
    <t>yi (m)</t>
  </si>
  <si>
    <t>xi^2</t>
  </si>
  <si>
    <t>yi^2</t>
  </si>
  <si>
    <t>Tổng yi^2</t>
  </si>
  <si>
    <t>Pi (T)</t>
  </si>
  <si>
    <t>Tổng xi^2</t>
  </si>
  <si>
    <t>pmax</t>
  </si>
  <si>
    <t>Rcd max</t>
  </si>
  <si>
    <t>pmin</t>
  </si>
  <si>
    <t>Pi (T) Mymax</t>
  </si>
  <si>
    <t>Mxmax</t>
  </si>
  <si>
    <t>Qymax</t>
  </si>
  <si>
    <t>Qxmax</t>
  </si>
  <si>
    <t>Kích thước khối móng quy ước</t>
  </si>
  <si>
    <t>Ltb</t>
  </si>
  <si>
    <t>Bqu</t>
  </si>
  <si>
    <t>Lqu</t>
  </si>
  <si>
    <t>Aqu</t>
  </si>
  <si>
    <t>y đài và đất trên đài</t>
  </si>
  <si>
    <t>G1</t>
  </si>
  <si>
    <t>G2</t>
  </si>
  <si>
    <t>y tb mong qu</t>
  </si>
  <si>
    <t>G3</t>
  </si>
  <si>
    <t>G</t>
  </si>
  <si>
    <t>Kiểm tra điều kiện làm việc đàn hồi của các lớp đất dưới móng khối quy ước</t>
  </si>
  <si>
    <t>Ntc_qu</t>
  </si>
  <si>
    <t>Mxqu</t>
  </si>
  <si>
    <t>Myqu</t>
  </si>
  <si>
    <t>Wx</t>
  </si>
  <si>
    <t>Wy</t>
  </si>
  <si>
    <t>ktc</t>
  </si>
  <si>
    <t>yII</t>
  </si>
  <si>
    <t>yii'</t>
  </si>
  <si>
    <t>Cii</t>
  </si>
  <si>
    <r>
      <t>j</t>
    </r>
    <r>
      <rPr>
        <vertAlign val="superscript"/>
        <sz val="13"/>
        <color theme="1"/>
        <rFont val="Times New Roman"/>
        <family val="1"/>
      </rPr>
      <t>tc</t>
    </r>
  </si>
  <si>
    <t>Rtt</t>
  </si>
  <si>
    <t>Ứng suất dưới đáy khối móng quy ước</t>
  </si>
  <si>
    <t>ptc_tb</t>
  </si>
  <si>
    <t>ptc_max</t>
  </si>
  <si>
    <t>ptc_min</t>
  </si>
  <si>
    <t>1,2RttII</t>
  </si>
  <si>
    <t>Kiểm tra độ lún khối móng quy ước</t>
  </si>
  <si>
    <r>
      <t>ứng suất bản thân σ</t>
    </r>
    <r>
      <rPr>
        <b/>
        <vertAlign val="subscript"/>
        <sz val="13"/>
        <color theme="1"/>
        <rFont val="Times New Roman"/>
        <family val="1"/>
      </rPr>
      <t>bt</t>
    </r>
  </si>
  <si>
    <t>Mũi cọc</t>
  </si>
  <si>
    <r>
      <t>T/m</t>
    </r>
    <r>
      <rPr>
        <b/>
        <vertAlign val="superscript"/>
        <sz val="13"/>
        <color theme="1"/>
        <rFont val="Times New Roman"/>
        <family val="1"/>
      </rPr>
      <t>3</t>
    </r>
  </si>
  <si>
    <t>điểm</t>
  </si>
  <si>
    <t>độ sâu z</t>
  </si>
  <si>
    <t>Lqu/Bqu</t>
  </si>
  <si>
    <t>Z/Bqu</t>
  </si>
  <si>
    <t>Ko</t>
  </si>
  <si>
    <t>Điểm</t>
  </si>
  <si>
    <r>
      <t>E</t>
    </r>
    <r>
      <rPr>
        <b/>
        <vertAlign val="subscript"/>
        <sz val="13"/>
        <color theme="1"/>
        <rFont val="Times New Roman"/>
        <family val="1"/>
      </rPr>
      <t>100-400</t>
    </r>
  </si>
  <si>
    <t>Tổng</t>
  </si>
  <si>
    <t>Kiểm tra điều kiện xuyên thủng</t>
  </si>
  <si>
    <t>bc</t>
  </si>
  <si>
    <t>hc</t>
  </si>
  <si>
    <t>Bct</t>
  </si>
  <si>
    <t>Lct</t>
  </si>
  <si>
    <t>um</t>
  </si>
  <si>
    <t>Tính toán cốt thép I-I</t>
  </si>
  <si>
    <t>Số cọc theo phương Y</t>
  </si>
  <si>
    <t>bđ</t>
  </si>
  <si>
    <t>Chọn sơ bộ chiều cao đài</t>
  </si>
  <si>
    <t>Qy</t>
  </si>
  <si>
    <t>Qx</t>
  </si>
  <si>
    <t>Tính toán cốt thép II-II</t>
  </si>
  <si>
    <t>1.1.1. Kiểm tra cọc trong quá trình cẩu lấp</t>
  </si>
  <si>
    <t>0,027L</t>
  </si>
  <si>
    <t>1.1.1.1. Trong quá trình lắp dựng</t>
  </si>
  <si>
    <t>Mmaxx</t>
  </si>
  <si>
    <t>1.1.1.1. Tính thép làm móc cẩu:</t>
  </si>
  <si>
    <t>Ld</t>
  </si>
  <si>
    <t>Bd</t>
  </si>
  <si>
    <t>h2l</t>
  </si>
  <si>
    <t>h2b</t>
  </si>
  <si>
    <t>Hđ chọn</t>
  </si>
  <si>
    <t>ngàm đài</t>
  </si>
  <si>
    <r>
      <t>γ</t>
    </r>
    <r>
      <rPr>
        <b/>
        <vertAlign val="subscript"/>
        <sz val="13"/>
        <color theme="1"/>
        <rFont val="Times New Roman"/>
        <family val="1"/>
      </rPr>
      <t>cf</t>
    </r>
  </si>
  <si>
    <r>
      <t>x</t>
    </r>
    <r>
      <rPr>
        <b/>
        <vertAlign val="subscript"/>
        <sz val="11"/>
        <color theme="1"/>
        <rFont val="Times New Roman"/>
        <family val="1"/>
      </rPr>
      <t>i</t>
    </r>
    <r>
      <rPr>
        <b/>
        <sz val="11"/>
        <color theme="1"/>
        <rFont val="Times New Roman"/>
        <family val="1"/>
      </rPr>
      <t xml:space="preserve"> (m)</t>
    </r>
  </si>
  <si>
    <r>
      <t>y</t>
    </r>
    <r>
      <rPr>
        <b/>
        <vertAlign val="subscript"/>
        <sz val="11"/>
        <color theme="1"/>
        <rFont val="Times New Roman"/>
        <family val="1"/>
      </rPr>
      <t>i</t>
    </r>
    <r>
      <rPr>
        <b/>
        <sz val="11"/>
        <color theme="1"/>
        <rFont val="Times New Roman"/>
        <family val="1"/>
      </rPr>
      <t xml:space="preserve"> (m)</t>
    </r>
  </si>
  <si>
    <r>
      <t>x</t>
    </r>
    <r>
      <rPr>
        <b/>
        <vertAlign val="subscript"/>
        <sz val="11"/>
        <color theme="1"/>
        <rFont val="Times New Roman"/>
        <family val="1"/>
      </rPr>
      <t>i</t>
    </r>
    <r>
      <rPr>
        <b/>
        <vertAlign val="superscript"/>
        <sz val="11"/>
        <color theme="1"/>
        <rFont val="Times New Roman"/>
        <family val="1"/>
      </rPr>
      <t>2</t>
    </r>
  </si>
  <si>
    <r>
      <t>y</t>
    </r>
    <r>
      <rPr>
        <b/>
        <vertAlign val="subscript"/>
        <sz val="11"/>
        <color theme="1"/>
        <rFont val="Times New Roman"/>
        <family val="1"/>
      </rPr>
      <t>i</t>
    </r>
    <r>
      <rPr>
        <b/>
        <vertAlign val="superscript"/>
        <sz val="11"/>
        <color theme="1"/>
        <rFont val="Times New Roman"/>
        <family val="1"/>
      </rPr>
      <t>2</t>
    </r>
  </si>
  <si>
    <r>
      <t>P</t>
    </r>
    <r>
      <rPr>
        <b/>
        <vertAlign val="subscript"/>
        <sz val="11"/>
        <color theme="1"/>
        <rFont val="Times New Roman"/>
        <family val="1"/>
      </rPr>
      <t>i</t>
    </r>
    <r>
      <rPr>
        <b/>
        <sz val="11"/>
        <color theme="1"/>
        <rFont val="Times New Roman"/>
        <family val="1"/>
      </rPr>
      <t xml:space="preserve"> (T)</t>
    </r>
  </si>
  <si>
    <r>
      <t>My</t>
    </r>
    <r>
      <rPr>
        <b/>
        <vertAlign val="subscript"/>
        <sz val="11"/>
        <color theme="1"/>
        <rFont val="Times New Roman"/>
        <family val="1"/>
      </rPr>
      <t>max</t>
    </r>
  </si>
  <si>
    <r>
      <t>Mx</t>
    </r>
    <r>
      <rPr>
        <b/>
        <vertAlign val="subscript"/>
        <sz val="11"/>
        <color theme="1"/>
        <rFont val="Times New Roman"/>
        <family val="1"/>
      </rPr>
      <t>max</t>
    </r>
  </si>
  <si>
    <r>
      <t>Qy</t>
    </r>
    <r>
      <rPr>
        <b/>
        <vertAlign val="subscript"/>
        <sz val="11"/>
        <color theme="1"/>
        <rFont val="Times New Roman"/>
        <family val="1"/>
      </rPr>
      <t>max</t>
    </r>
  </si>
  <si>
    <r>
      <t>Qx</t>
    </r>
    <r>
      <rPr>
        <b/>
        <vertAlign val="subscript"/>
        <sz val="11"/>
        <color theme="1"/>
        <rFont val="Times New Roman"/>
        <family val="1"/>
      </rPr>
      <t>max</t>
    </r>
  </si>
  <si>
    <r>
      <t>𝛄</t>
    </r>
    <r>
      <rPr>
        <b/>
        <vertAlign val="subscript"/>
        <sz val="13"/>
        <color theme="1"/>
        <rFont val="Times New Roman"/>
        <family val="1"/>
      </rPr>
      <t>i</t>
    </r>
  </si>
  <si>
    <r>
      <t>Bề dày h</t>
    </r>
    <r>
      <rPr>
        <b/>
        <vertAlign val="subscript"/>
        <sz val="13"/>
        <color theme="1"/>
        <rFont val="Times New Roman"/>
        <family val="1"/>
      </rPr>
      <t>i</t>
    </r>
  </si>
  <si>
    <t>hi</t>
  </si>
  <si>
    <t>Z (m)</t>
  </si>
  <si>
    <t>Tổng:</t>
  </si>
  <si>
    <t xml:space="preserve">
 </t>
  </si>
  <si>
    <t>Lớp lấy</t>
  </si>
  <si>
    <t>độ lún</t>
  </si>
  <si>
    <t>TÍNH TOÁN VÀ CẤU TẠO KHUNG TRỤC 2 &amp; F</t>
  </si>
  <si>
    <t>S=</t>
  </si>
  <si>
    <t>B=L=</t>
  </si>
  <si>
    <t>Trụ Sở Làm Việc Xã Tân Ân -Huyện Ngọc Hiển-Tỉnh Cà Mau</t>
  </si>
  <si>
    <t>Xã Tân Ân -Huyện Ngọc Hiển-Tỉnh Cà Mau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</si>
</sst>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3">
    <numFmt numFmtId="41" formatCode="_-* #,##0_-;\-* #,##0_-;_-* &quot;-&quot;_-;_-@_-"/>
    <numFmt numFmtId="43" formatCode="_-* #,##0.00_-;\-* #,##0.00_-;_-* &quot;-&quot;??_-;_-@_-"/>
    <numFmt numFmtId="164" formatCode="_-* #,##0.00\ _₫_-;\-* #,##0.00\ _₫_-;_-* &quot;-&quot;??\ _₫_-;_-@_-"/>
    <numFmt numFmtId="165" formatCode="_(* #,##0.00_);_(* \(#,##0.00\);_(* &quot;-&quot;??_);_(@_)"/>
    <numFmt numFmtId="166" formatCode="_-* #,##0.0_-;\-* #,##0.0_-;_-* &quot;-&quot;??_-;_-@_-"/>
    <numFmt numFmtId="167" formatCode="0.0"/>
    <numFmt numFmtId="168" formatCode="0.000"/>
    <numFmt numFmtId="169" formatCode="_-* #,##0.000_-;\-* #,##0.000_-;_-* &quot;-&quot;??_-;_-@_-"/>
    <numFmt numFmtId="170" formatCode="_-* #,##0_-;\-* #,##0_-;_-* &quot;-&quot;??_-;_-@_-"/>
    <numFmt numFmtId="171" formatCode="0.00;[Red]0.00"/>
    <numFmt numFmtId="172" formatCode="_-* #,##0\ _₫_-;\-* #,##0\ _₫_-;_-* &quot;-&quot;??\ _₫_-;_-@_-"/>
    <numFmt numFmtId="173" formatCode="0.0000"/>
    <numFmt numFmtId="174" formatCode="0.00000"/>
    <numFmt numFmtId="175" formatCode="_-* #,##0.0\ _₫_-;\-* #,##0.0\ _₫_-;_-* &quot;-&quot;?\ _₫_-;_-@_-"/>
    <numFmt numFmtId="176" formatCode="_-* #,##0.00000_-;\-* #,##0.00000_-;_-* &quot;-&quot;??_-;_-@_-"/>
    <numFmt numFmtId="177" formatCode="_-* #,##0.000\ _₫_-;\-* #,##0.000\ _₫_-;_-* &quot;-&quot;???\ _₫_-;_-@_-"/>
    <numFmt numFmtId="178" formatCode="&quot;S¬ ®å &quot;0"/>
    <numFmt numFmtId="179" formatCode="_(* #,##0_);_(* \(#,##0\);_(* &quot;-&quot;??_);_(@_)"/>
    <numFmt numFmtId="180" formatCode="_(* #,##0.0000_);_(* \(#,##0.0000\);_(* &quot;-&quot;??_);_(@_)"/>
    <numFmt numFmtId="181" formatCode="_(* #,##0.000_);_(* \(#,##0.000\);_(* &quot;-&quot;??_);_(@_)"/>
    <numFmt numFmtId="182" formatCode="_-* #,##0.00_-;\-* #,##0.00_-;_-* &quot;-&quot;_-;_-@_-"/>
    <numFmt numFmtId="183" formatCode="_-* #,##0.0000000_-;\-* #,##0.0000000_-;_-* &quot;-&quot;_-;_-@_-"/>
    <numFmt numFmtId="184" formatCode="_-* #,##0.000_-;\-* #,##0.000_-;_-* &quot;-&quot;_-;_-@_-"/>
    <numFmt numFmtId="185" formatCode="_-* #,##0.0000_-;\-* #,##0.0000_-;_-* &quot;-&quot;??_-;_-@_-"/>
    <numFmt numFmtId="186" formatCode="_-* #,##0.000\ _₫_-;\-* #,##0.000\ _₫_-;_-* &quot;-&quot;????\ _₫_-;_-@_-"/>
    <numFmt numFmtId="187" formatCode="0.0E+00"/>
    <numFmt numFmtId="188" formatCode="_-* #,##0.000\ _₫_-;\-* #,##0.000\ _₫_-;_-* &quot;-&quot;??\ _₫_-;_-@_-"/>
    <numFmt numFmtId="189" formatCode="#,##0.0000"/>
    <numFmt numFmtId="190" formatCode="#,##0.0"/>
    <numFmt numFmtId="191" formatCode="0.0%"/>
    <numFmt numFmtId="192" formatCode="_-* #,##0.0000\ _₫_-;\-* #,##0.0000\ _₫_-;_-* &quot;-&quot;??\ _₫_-;_-@_-"/>
    <numFmt numFmtId="193" formatCode="_-* #,##0.0000\ _₫_-;\-* #,##0.0000\ _₫_-;_-* &quot;-&quot;????\ _₫_-;_-@_-"/>
    <numFmt numFmtId="194" formatCode="0.00000000000"/>
  </numFmts>
  <fonts count="192">
    <font>
      <sz val="11"/>
      <color theme="1"/>
      <name val="Arial"/>
      <family val="2"/>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scheme val="minor"/>
    </font>
    <font>
      <sz val="13"/>
      <color theme="1"/>
      <name val="Times New Roman"/>
      <family val="1"/>
    </font>
    <font>
      <b/>
      <sz val="13"/>
      <color theme="1"/>
      <name val="Times New Roman"/>
      <family val="1"/>
    </font>
    <font>
      <b/>
      <sz val="13"/>
      <color rgb="FF000000"/>
      <name val="Times New Roman"/>
      <family val="1"/>
    </font>
    <font>
      <b/>
      <vertAlign val="subscript"/>
      <sz val="13"/>
      <color rgb="FF000000"/>
      <name val="Times New Roman"/>
      <family val="1"/>
    </font>
    <font>
      <b/>
      <vertAlign val="superscript"/>
      <sz val="13"/>
      <color rgb="FF000000"/>
      <name val="Times New Roman"/>
      <family val="1"/>
    </font>
    <font>
      <sz val="13"/>
      <color rgb="FF000000"/>
      <name val="Times New Roman"/>
      <family val="1"/>
    </font>
    <font>
      <b/>
      <i/>
      <sz val="13"/>
      <color theme="1"/>
      <name val="Times New Roman"/>
      <family val="1"/>
    </font>
    <font>
      <sz val="13"/>
      <color rgb="FFFF0000"/>
      <name val="Times New Roman"/>
      <family val="1"/>
    </font>
    <font>
      <sz val="12"/>
      <color theme="1"/>
      <name val="Times New Roman"/>
      <family val="1"/>
    </font>
    <font>
      <sz val="7"/>
      <color theme="1"/>
      <name val="Times New Roman"/>
      <family val="1"/>
    </font>
    <font>
      <b/>
      <i/>
      <sz val="13"/>
      <color rgb="FF000000"/>
      <name val="Times New Roman"/>
      <family val="1"/>
    </font>
    <font>
      <b/>
      <sz val="11"/>
      <color theme="1"/>
      <name val="Arial"/>
      <family val="2"/>
      <scheme val="minor"/>
    </font>
    <font>
      <sz val="10"/>
      <name val="Times New Roman"/>
      <family val="1"/>
    </font>
    <font>
      <sz val="10"/>
      <name val="Arial"/>
      <family val="2"/>
    </font>
    <font>
      <sz val="12"/>
      <name val="Times New Roman"/>
      <family val="1"/>
    </font>
    <font>
      <b/>
      <sz val="14"/>
      <name val="Times New Roman"/>
      <family val="1"/>
    </font>
    <font>
      <b/>
      <sz val="12"/>
      <name val="Times New Roman"/>
      <family val="1"/>
    </font>
    <font>
      <b/>
      <vertAlign val="subscript"/>
      <sz val="12"/>
      <name val="Times New Roman"/>
      <family val="1"/>
    </font>
    <font>
      <vertAlign val="superscript"/>
      <sz val="12"/>
      <name val="Times New Roman"/>
      <family val="1"/>
    </font>
    <font>
      <b/>
      <sz val="12"/>
      <color indexed="10"/>
      <name val="Times New Roman"/>
      <family val="1"/>
    </font>
    <font>
      <sz val="13"/>
      <color indexed="8"/>
      <name val="Times New Roman"/>
      <family val="1"/>
    </font>
    <font>
      <sz val="12"/>
      <color indexed="10"/>
      <name val="Times New Roman"/>
      <family val="1"/>
    </font>
    <font>
      <sz val="11"/>
      <name val="Times New Roman"/>
      <family val="1"/>
    </font>
    <font>
      <vertAlign val="subscript"/>
      <sz val="13"/>
      <color indexed="8"/>
      <name val="Times New Roman"/>
      <family val="1"/>
    </font>
    <font>
      <vertAlign val="superscript"/>
      <sz val="13"/>
      <color indexed="8"/>
      <name val="Times New Roman"/>
      <family val="1"/>
    </font>
    <font>
      <sz val="13"/>
      <color rgb="FF000000"/>
      <name val="Symbol"/>
      <family val="1"/>
      <charset val="2"/>
    </font>
    <font>
      <sz val="11"/>
      <name val="VNbook-Antiqua"/>
      <family val="2"/>
    </font>
    <font>
      <sz val="12"/>
      <name val="Symbol"/>
      <family val="1"/>
      <charset val="2"/>
    </font>
    <font>
      <sz val="10"/>
      <name val="VNI-Times"/>
    </font>
    <font>
      <b/>
      <sz val="10"/>
      <name val="Times New Roman"/>
      <family val="1"/>
    </font>
    <font>
      <sz val="11"/>
      <color indexed="10"/>
      <name val="Times New Roman"/>
      <family val="1"/>
    </font>
    <font>
      <b/>
      <sz val="11"/>
      <name val="Times New Roman"/>
      <family val="1"/>
    </font>
    <font>
      <b/>
      <vertAlign val="subscript"/>
      <sz val="11"/>
      <name val="Times New Roman"/>
      <family val="1"/>
    </font>
    <font>
      <i/>
      <sz val="12"/>
      <name val="Times New Roman"/>
      <family val="1"/>
    </font>
    <font>
      <b/>
      <i/>
      <u/>
      <sz val="12"/>
      <name val="Times New Roman"/>
      <family val="1"/>
    </font>
    <font>
      <b/>
      <sz val="11"/>
      <name val="Symbol"/>
      <family val="1"/>
      <charset val="2"/>
    </font>
    <font>
      <vertAlign val="subscript"/>
      <sz val="12"/>
      <name val="Times New Roman"/>
      <family val="1"/>
    </font>
    <font>
      <i/>
      <vertAlign val="superscript"/>
      <sz val="12"/>
      <name val="Times New Roman"/>
      <family val="1"/>
    </font>
    <font>
      <i/>
      <sz val="12"/>
      <name val="Symbol"/>
      <family val="1"/>
      <charset val="2"/>
    </font>
    <font>
      <b/>
      <u/>
      <sz val="12"/>
      <name val="Times New Roman"/>
      <family val="1"/>
    </font>
    <font>
      <i/>
      <sz val="11"/>
      <name val="Times New Roman"/>
      <family val="1"/>
    </font>
    <font>
      <i/>
      <vertAlign val="superscript"/>
      <sz val="11"/>
      <name val="Times New Roman"/>
      <family val="1"/>
    </font>
    <font>
      <sz val="8"/>
      <name val="Arial"/>
      <family val="2"/>
      <scheme val="minor"/>
    </font>
    <font>
      <sz val="12"/>
      <color theme="0"/>
      <name val="Times New Roman"/>
      <family val="1"/>
    </font>
    <font>
      <sz val="11"/>
      <color theme="0"/>
      <name val="Times New Roman"/>
      <family val="1"/>
    </font>
    <font>
      <sz val="10"/>
      <color theme="0"/>
      <name val="Times New Roman"/>
      <family val="1"/>
    </font>
    <font>
      <vertAlign val="superscript"/>
      <sz val="13"/>
      <color rgb="FF000000"/>
      <name val="Times New Roman"/>
      <family val="1"/>
    </font>
    <font>
      <sz val="12"/>
      <color indexed="12"/>
      <name val="Times New Roman"/>
      <family val="1"/>
    </font>
    <font>
      <b/>
      <sz val="14"/>
      <color indexed="10"/>
      <name val="Times New Roman"/>
      <family val="1"/>
    </font>
    <font>
      <b/>
      <sz val="12"/>
      <color indexed="12"/>
      <name val="Times New Roman"/>
      <family val="1"/>
    </font>
    <font>
      <sz val="14"/>
      <name val="Times New Roman"/>
      <family val="1"/>
    </font>
    <font>
      <sz val="12"/>
      <name val="Times New Roman"/>
      <family val="1"/>
      <charset val="163"/>
    </font>
    <font>
      <b/>
      <sz val="12"/>
      <name val="Times New Roman"/>
      <family val="1"/>
      <charset val="163"/>
    </font>
    <font>
      <b/>
      <sz val="14"/>
      <name val="Times New Roman"/>
      <family val="1"/>
      <charset val="163"/>
    </font>
    <font>
      <b/>
      <sz val="12"/>
      <color indexed="10"/>
      <name val="Times New Roman"/>
      <family val="1"/>
      <charset val="163"/>
    </font>
    <font>
      <b/>
      <sz val="11"/>
      <color indexed="10"/>
      <name val="Times New Roman"/>
      <family val="1"/>
      <charset val="163"/>
    </font>
    <font>
      <b/>
      <sz val="12"/>
      <color indexed="12"/>
      <name val="Times New Roman"/>
      <family val="1"/>
      <charset val="163"/>
    </font>
    <font>
      <sz val="10"/>
      <color theme="1"/>
      <name val="Times New Roman"/>
      <family val="1"/>
    </font>
    <font>
      <vertAlign val="subscript"/>
      <sz val="13"/>
      <color rgb="FF000000"/>
      <name val="Times New Roman"/>
      <family val="1"/>
    </font>
    <font>
      <sz val="14"/>
      <color theme="1"/>
      <name val=".VnTime"/>
      <family val="2"/>
    </font>
    <font>
      <b/>
      <sz val="13"/>
      <color rgb="FFFF0000"/>
      <name val="Times New Roman"/>
      <family val="1"/>
    </font>
    <font>
      <sz val="13"/>
      <name val="Times New Roman"/>
      <family val="1"/>
    </font>
    <font>
      <sz val="13"/>
      <color indexed="10"/>
      <name val="Times New Roman"/>
      <family val="1"/>
    </font>
    <font>
      <b/>
      <sz val="13"/>
      <color indexed="8"/>
      <name val="Times New Roman"/>
      <family val="1"/>
    </font>
    <font>
      <b/>
      <sz val="13"/>
      <name val="Times New Roman"/>
      <family val="1"/>
    </font>
    <font>
      <b/>
      <sz val="13"/>
      <color indexed="10"/>
      <name val="Times New Roman"/>
      <family val="1"/>
    </font>
    <font>
      <sz val="14"/>
      <color indexed="30"/>
      <name val=".VnTime"/>
      <family val="2"/>
    </font>
    <font>
      <sz val="14"/>
      <color indexed="10"/>
      <name val=".VnTime"/>
      <family val="2"/>
    </font>
    <font>
      <sz val="14"/>
      <name val=".VnArialH"/>
      <family val="2"/>
    </font>
    <font>
      <sz val="10"/>
      <name val=".VnArial"/>
      <family val="2"/>
    </font>
    <font>
      <b/>
      <sz val="10"/>
      <name val=".VnArial"/>
      <family val="2"/>
    </font>
    <font>
      <sz val="12"/>
      <name val=".VnArial"/>
      <family val="2"/>
    </font>
    <font>
      <sz val="12"/>
      <color indexed="8"/>
      <name val=".VnTime"/>
      <family val="2"/>
    </font>
    <font>
      <b/>
      <sz val="8"/>
      <name val=".VnArial"/>
      <family val="2"/>
    </font>
    <font>
      <b/>
      <sz val="12"/>
      <name val=".VnArialH"/>
      <family val="2"/>
    </font>
    <font>
      <sz val="13"/>
      <color theme="1"/>
      <name val=".VnTime"/>
      <family val="2"/>
    </font>
    <font>
      <sz val="13"/>
      <color indexed="10"/>
      <name val=".VnTime"/>
      <family val="2"/>
    </font>
    <font>
      <sz val="13"/>
      <color indexed="8"/>
      <name val=".VnTime"/>
      <family val="2"/>
    </font>
    <font>
      <b/>
      <sz val="13"/>
      <color indexed="10"/>
      <name val=".VnTime"/>
      <family val="2"/>
    </font>
    <font>
      <sz val="13"/>
      <color indexed="30"/>
      <name val=".VnTime"/>
      <family val="2"/>
    </font>
    <font>
      <sz val="13"/>
      <name val=".VnTime"/>
      <family val="2"/>
    </font>
    <font>
      <sz val="14"/>
      <color indexed="17"/>
      <name val=".VnTime"/>
      <family val="2"/>
    </font>
    <font>
      <b/>
      <sz val="20"/>
      <color indexed="10"/>
      <name val=".VnTime"/>
      <family val="2"/>
    </font>
    <font>
      <b/>
      <sz val="14"/>
      <color indexed="30"/>
      <name val=".VnTime"/>
      <family val="2"/>
    </font>
    <font>
      <b/>
      <sz val="16"/>
      <color indexed="30"/>
      <name val=".VnTime"/>
      <family val="2"/>
    </font>
    <font>
      <sz val="12"/>
      <color indexed="10"/>
      <name val=".VnTime"/>
      <family val="2"/>
    </font>
    <font>
      <b/>
      <sz val="14"/>
      <color indexed="17"/>
      <name val=".VnTime"/>
      <family val="2"/>
    </font>
    <font>
      <b/>
      <sz val="12"/>
      <color indexed="17"/>
      <name val=".VnTime"/>
      <family val="2"/>
    </font>
    <font>
      <sz val="14"/>
      <name val=".VnTime"/>
      <family val="2"/>
    </font>
    <font>
      <sz val="11"/>
      <color theme="1"/>
      <name val=".VnTime"/>
      <family val="2"/>
    </font>
    <font>
      <b/>
      <sz val="13"/>
      <color indexed="8"/>
      <name val=".VnTime"/>
      <family val="2"/>
    </font>
    <font>
      <u/>
      <sz val="13"/>
      <name val=".VnTime"/>
      <family val="2"/>
    </font>
    <font>
      <b/>
      <sz val="13"/>
      <name val=".VnTime"/>
      <family val="2"/>
    </font>
    <font>
      <sz val="13"/>
      <color indexed="17"/>
      <name val="Times New Roman"/>
      <family val="1"/>
    </font>
    <font>
      <b/>
      <sz val="13"/>
      <color indexed="30"/>
      <name val="Times New Roman"/>
      <family val="1"/>
    </font>
    <font>
      <b/>
      <sz val="13"/>
      <color indexed="17"/>
      <name val="Times New Roman"/>
      <family val="1"/>
    </font>
    <font>
      <sz val="13"/>
      <color indexed="30"/>
      <name val="Times New Roman"/>
      <family val="1"/>
    </font>
    <font>
      <sz val="13"/>
      <color rgb="FF00B050"/>
      <name val="Times New Roman"/>
      <family val="1"/>
    </font>
    <font>
      <b/>
      <sz val="13"/>
      <color rgb="FF00B050"/>
      <name val="Times New Roman"/>
      <family val="1"/>
    </font>
    <font>
      <b/>
      <sz val="10"/>
      <color rgb="FF000000"/>
      <name val="Tahoma"/>
      <family val="2"/>
    </font>
    <font>
      <b/>
      <sz val="10"/>
      <color theme="1"/>
      <name val="Tahoma"/>
      <family val="2"/>
    </font>
    <font>
      <b/>
      <vertAlign val="subscript"/>
      <sz val="10"/>
      <color rgb="FF000000"/>
      <name val="Tahoma"/>
      <family val="2"/>
    </font>
    <font>
      <b/>
      <vertAlign val="superscript"/>
      <sz val="10"/>
      <color rgb="FF000000"/>
      <name val="Tahoma"/>
      <family val="2"/>
    </font>
    <font>
      <b/>
      <vertAlign val="subscript"/>
      <sz val="10"/>
      <color theme="1"/>
      <name val="Tahoma"/>
      <family val="2"/>
    </font>
    <font>
      <b/>
      <vertAlign val="superscript"/>
      <sz val="10"/>
      <color theme="1"/>
      <name val="Tahoma"/>
      <family val="2"/>
    </font>
    <font>
      <b/>
      <sz val="12"/>
      <color theme="1"/>
      <name val="Symbol"/>
      <family val="1"/>
      <charset val="2"/>
    </font>
    <font>
      <b/>
      <vertAlign val="subscript"/>
      <sz val="8.5"/>
      <color theme="1"/>
      <name val="Tahoma"/>
      <family val="2"/>
    </font>
    <font>
      <sz val="10"/>
      <color rgb="FFFF0000"/>
      <name val="Tahoma"/>
      <family val="2"/>
    </font>
    <font>
      <sz val="10"/>
      <color theme="1"/>
      <name val="Tahoma"/>
      <family val="2"/>
    </font>
    <font>
      <sz val="10"/>
      <color rgb="FF000000"/>
      <name val="Tahoma"/>
      <family val="2"/>
    </font>
    <font>
      <sz val="10"/>
      <color rgb="FF0000FF"/>
      <name val="Tahoma"/>
      <family val="2"/>
    </font>
    <font>
      <sz val="10"/>
      <color rgb="FFFF0000"/>
      <name val="Symbol"/>
      <family val="1"/>
      <charset val="2"/>
    </font>
    <font>
      <b/>
      <sz val="12"/>
      <name val="Symbol"/>
      <family val="1"/>
      <charset val="2"/>
    </font>
    <font>
      <b/>
      <i/>
      <sz val="12"/>
      <name val="Times New Roman"/>
      <family val="1"/>
    </font>
    <font>
      <b/>
      <i/>
      <sz val="12"/>
      <name val="Symbol"/>
      <family val="1"/>
      <charset val="2"/>
    </font>
    <font>
      <sz val="10"/>
      <color indexed="8"/>
      <name val="Tahoma"/>
      <family val="2"/>
      <charset val="163"/>
    </font>
    <font>
      <vertAlign val="subscript"/>
      <sz val="10"/>
      <color indexed="8"/>
      <name val="Tahoma"/>
      <family val="2"/>
      <charset val="163"/>
    </font>
    <font>
      <sz val="10"/>
      <color rgb="FF000000"/>
      <name val="Tahoma"/>
      <family val="2"/>
      <charset val="163"/>
    </font>
    <font>
      <sz val="13"/>
      <color theme="5"/>
      <name val="Times New Roman"/>
      <family val="1"/>
    </font>
    <font>
      <b/>
      <sz val="13"/>
      <color indexed="8"/>
      <name val="Times New Roman"/>
      <family val="1"/>
      <charset val="163"/>
    </font>
    <font>
      <sz val="13"/>
      <color indexed="8"/>
      <name val="Times New Roman"/>
      <family val="1"/>
      <charset val="163"/>
    </font>
    <font>
      <b/>
      <sz val="13"/>
      <name val="Times New Roman"/>
      <family val="1"/>
      <charset val="163"/>
    </font>
    <font>
      <sz val="13"/>
      <name val="Times New Roman"/>
      <family val="1"/>
      <charset val="163"/>
    </font>
    <font>
      <b/>
      <sz val="13"/>
      <color indexed="10"/>
      <name val="Times New Roman"/>
      <family val="1"/>
      <charset val="163"/>
    </font>
    <font>
      <b/>
      <sz val="13"/>
      <color rgb="FFFF0000"/>
      <name val="Times New Roman"/>
      <family val="1"/>
      <charset val="163"/>
    </font>
    <font>
      <sz val="13"/>
      <color rgb="FFFF0000"/>
      <name val="Times New Roman"/>
      <family val="1"/>
      <charset val="163"/>
    </font>
    <font>
      <sz val="13"/>
      <color indexed="10"/>
      <name val="Times New Roman"/>
      <family val="1"/>
      <charset val="163"/>
    </font>
    <font>
      <b/>
      <vertAlign val="subscript"/>
      <sz val="13"/>
      <color indexed="8"/>
      <name val="Times New Roman"/>
      <family val="1"/>
    </font>
    <font>
      <sz val="12"/>
      <color indexed="8"/>
      <name val="Symbol"/>
      <family val="1"/>
      <charset val="2"/>
    </font>
    <font>
      <i/>
      <sz val="13"/>
      <color indexed="12"/>
      <name val="Times New Roman"/>
      <family val="1"/>
      <charset val="163"/>
    </font>
    <font>
      <b/>
      <i/>
      <sz val="13"/>
      <color indexed="12"/>
      <name val="Times New Roman"/>
      <family val="1"/>
      <charset val="163"/>
    </font>
    <font>
      <b/>
      <sz val="13"/>
      <color rgb="FF0000FF"/>
      <name val="Times New Roman"/>
      <family val="1"/>
      <charset val="163"/>
    </font>
    <font>
      <sz val="10"/>
      <color indexed="8"/>
      <name val="Symbol"/>
      <family val="1"/>
      <charset val="2"/>
    </font>
    <font>
      <sz val="10"/>
      <color rgb="FF000000"/>
      <name val="Arial"/>
      <family val="2"/>
    </font>
    <font>
      <sz val="9"/>
      <color theme="1"/>
      <name val="Arial"/>
      <family val="2"/>
    </font>
    <font>
      <b/>
      <sz val="16"/>
      <color theme="1"/>
      <name val="Arial"/>
      <family val="2"/>
    </font>
    <font>
      <sz val="8"/>
      <color theme="1"/>
      <name val="Times New Roman"/>
      <family val="1"/>
    </font>
    <font>
      <sz val="20"/>
      <color theme="1"/>
      <name val="Times New Roman"/>
      <family val="1"/>
    </font>
    <font>
      <b/>
      <i/>
      <sz val="20"/>
      <color theme="1"/>
      <name val="Times New Roman"/>
      <family val="1"/>
    </font>
    <font>
      <b/>
      <i/>
      <sz val="14"/>
      <color theme="1"/>
      <name val="Times New Roman"/>
      <family val="1"/>
    </font>
    <font>
      <sz val="14"/>
      <color theme="1"/>
      <name val="Times New Roman"/>
      <family val="1"/>
    </font>
    <font>
      <sz val="12"/>
      <color theme="1"/>
      <name val="Times New Roman"/>
      <family val="1"/>
    </font>
    <font>
      <b/>
      <sz val="12"/>
      <color rgb="FFFF0000"/>
      <name val="Times New Roman"/>
      <family val="1"/>
    </font>
    <font>
      <sz val="12"/>
      <color theme="1"/>
      <name val="Noto Sans Symbols"/>
    </font>
    <font>
      <sz val="11"/>
      <color theme="1"/>
      <name val="Times New Roman"/>
      <family val="1"/>
    </font>
    <font>
      <b/>
      <i/>
      <sz val="8"/>
      <color theme="1"/>
      <name val="Times New Roman"/>
      <family val="1"/>
    </font>
    <font>
      <b/>
      <i/>
      <sz val="10"/>
      <color theme="1"/>
      <name val="Times New Roman"/>
      <family val="1"/>
    </font>
    <font>
      <sz val="12"/>
      <color rgb="FFFF0000"/>
      <name val="Times New Roman"/>
      <family val="1"/>
    </font>
    <font>
      <sz val="11"/>
      <color theme="1"/>
      <name val="Noto Sans Symbols"/>
    </font>
    <font>
      <sz val="9"/>
      <color theme="1"/>
      <name val="Times New Roman"/>
      <family val="1"/>
    </font>
    <font>
      <i/>
      <sz val="9"/>
      <color rgb="FFFF0000"/>
      <name val="Arial"/>
      <family val="2"/>
    </font>
    <font>
      <sz val="9"/>
      <color rgb="FFFF0000"/>
      <name val="Arial"/>
      <family val="2"/>
    </font>
    <font>
      <b/>
      <sz val="11"/>
      <color rgb="FFFF0000"/>
      <name val="Times New Roman"/>
      <family val="1"/>
    </font>
    <font>
      <b/>
      <sz val="10"/>
      <color theme="1"/>
      <name val="Times New Roman"/>
      <family val="1"/>
    </font>
    <font>
      <sz val="10"/>
      <color theme="1"/>
      <name val="Times New Roman"/>
      <family val="1"/>
    </font>
    <font>
      <sz val="13"/>
      <color theme="1"/>
      <name val="Times"/>
      <family val="2"/>
    </font>
    <font>
      <b/>
      <i/>
      <sz val="12"/>
      <color theme="1"/>
      <name val="Times New Roman"/>
      <family val="1"/>
    </font>
    <font>
      <i/>
      <sz val="11"/>
      <color theme="1"/>
      <name val="Times New Roman"/>
      <family val="1"/>
    </font>
    <font>
      <i/>
      <sz val="12"/>
      <color theme="1"/>
      <name val="Times New Roman"/>
      <family val="1"/>
    </font>
    <font>
      <vertAlign val="subscript"/>
      <sz val="12"/>
      <color theme="1"/>
      <name val="Times New Roman"/>
      <family val="1"/>
    </font>
    <font>
      <vertAlign val="subscript"/>
      <sz val="11"/>
      <color theme="1"/>
      <name val="Times New Roman"/>
      <family val="1"/>
    </font>
    <font>
      <vertAlign val="superscript"/>
      <sz val="11"/>
      <color theme="1"/>
      <name val="Times New Roman"/>
      <family val="1"/>
    </font>
    <font>
      <vertAlign val="subscript"/>
      <sz val="10"/>
      <color theme="1"/>
      <name val="Times New Roman"/>
      <family val="1"/>
    </font>
    <font>
      <i/>
      <vertAlign val="superscript"/>
      <sz val="12"/>
      <color theme="1"/>
      <name val="Times New Roman"/>
      <family val="1"/>
    </font>
    <font>
      <sz val="11"/>
      <color rgb="FF000000"/>
      <name val="Times New Roman"/>
      <family val="1"/>
    </font>
    <font>
      <sz val="11"/>
      <color theme="1"/>
      <name val="Times New Roman"/>
      <family val="1"/>
    </font>
    <font>
      <sz val="10"/>
      <color rgb="FF000000"/>
      <name val="Arial"/>
      <family val="2"/>
    </font>
    <font>
      <sz val="9"/>
      <color theme="1"/>
      <name val="Arial"/>
      <family val="2"/>
    </font>
    <font>
      <sz val="10"/>
      <color theme="1"/>
      <name val="Arial"/>
      <family val="2"/>
      <scheme val="minor"/>
    </font>
    <font>
      <vertAlign val="subscript"/>
      <sz val="13"/>
      <color theme="1"/>
      <name val="Times New Roman"/>
      <family val="1"/>
    </font>
    <font>
      <b/>
      <sz val="11"/>
      <color theme="1"/>
      <name val="Times New Roman"/>
      <family val="1"/>
    </font>
    <font>
      <b/>
      <sz val="10"/>
      <name val=".VnArialH"/>
      <family val="2"/>
    </font>
    <font>
      <vertAlign val="subscript"/>
      <sz val="10"/>
      <name val=".VnArial"/>
      <family val="2"/>
    </font>
    <font>
      <vertAlign val="superscript"/>
      <sz val="13"/>
      <color theme="1"/>
      <name val="Times New Roman"/>
      <family val="1"/>
    </font>
    <font>
      <sz val="10"/>
      <color theme="1"/>
      <name val=".VnArial"/>
      <family val="2"/>
    </font>
    <font>
      <sz val="10"/>
      <color rgb="FF0000FF"/>
      <name val=".VnArial"/>
      <family val="2"/>
    </font>
    <font>
      <sz val="10"/>
      <color rgb="FFFF0000"/>
      <name val=".VnArial"/>
      <family val="2"/>
    </font>
    <font>
      <sz val="11"/>
      <color rgb="FFFF0000"/>
      <name val="Times New Roman"/>
      <family val="1"/>
    </font>
    <font>
      <sz val="13"/>
      <color theme="1"/>
      <name val="Symbol"/>
      <family val="1"/>
      <charset val="2"/>
    </font>
    <font>
      <b/>
      <vertAlign val="subscript"/>
      <sz val="13"/>
      <color theme="1"/>
      <name val="Times New Roman"/>
      <family val="1"/>
    </font>
    <font>
      <b/>
      <i/>
      <sz val="11"/>
      <color indexed="8"/>
      <name val="Arial"/>
      <family val="2"/>
    </font>
    <font>
      <sz val="10"/>
      <color theme="1"/>
      <name val="Calibri"/>
      <family val="2"/>
    </font>
    <font>
      <b/>
      <vertAlign val="superscript"/>
      <sz val="13"/>
      <color theme="1"/>
      <name val="Times New Roman"/>
      <family val="1"/>
    </font>
    <font>
      <b/>
      <vertAlign val="subscript"/>
      <sz val="11"/>
      <color theme="1"/>
      <name val="Times New Roman"/>
      <family val="1"/>
    </font>
    <font>
      <b/>
      <vertAlign val="superscript"/>
      <sz val="11"/>
      <color theme="1"/>
      <name val="Times New Roman"/>
      <family val="1"/>
    </font>
    <font>
      <b/>
      <sz val="13"/>
      <color theme="1"/>
      <name val="Times New Roman"/>
      <family val="1"/>
      <charset val="163"/>
    </font>
    <font>
      <b/>
      <sz val="13"/>
      <color theme="1"/>
      <name val="Cambria Math"/>
      <family val="1"/>
      <charset val="163"/>
    </font>
  </fonts>
  <fills count="31">
    <fill>
      <patternFill patternType="none"/>
    </fill>
    <fill>
      <patternFill patternType="gray125"/>
    </fill>
    <fill>
      <patternFill patternType="solid">
        <fgColor rgb="FFF2F2F2"/>
        <bgColor indexed="64"/>
      </patternFill>
    </fill>
    <fill>
      <patternFill patternType="solid">
        <fgColor rgb="FFFFFF00"/>
        <bgColor indexed="64"/>
      </patternFill>
    </fill>
    <fill>
      <patternFill patternType="solid">
        <fgColor indexed="22"/>
        <bgColor indexed="31"/>
      </patternFill>
    </fill>
    <fill>
      <patternFill patternType="solid">
        <fgColor rgb="FFFFFFFF"/>
        <bgColor indexed="64"/>
      </patternFill>
    </fill>
    <fill>
      <patternFill patternType="solid">
        <fgColor indexed="40"/>
        <bgColor indexed="64"/>
      </patternFill>
    </fill>
    <fill>
      <patternFill patternType="solid">
        <fgColor indexed="22"/>
        <bgColor indexed="64"/>
      </patternFill>
    </fill>
    <fill>
      <patternFill patternType="solid">
        <fgColor indexed="14"/>
        <bgColor indexed="64"/>
      </patternFill>
    </fill>
    <fill>
      <patternFill patternType="solid">
        <fgColor indexed="44"/>
        <bgColor indexed="64"/>
      </patternFill>
    </fill>
    <fill>
      <patternFill patternType="solid">
        <fgColor rgb="FF00B050"/>
        <bgColor indexed="64"/>
      </patternFill>
    </fill>
    <fill>
      <patternFill patternType="solid">
        <fgColor indexed="15"/>
        <bgColor indexed="64"/>
      </patternFill>
    </fill>
    <fill>
      <patternFill patternType="solid">
        <fgColor indexed="52"/>
        <bgColor indexed="64"/>
      </patternFill>
    </fill>
    <fill>
      <patternFill patternType="solid">
        <fgColor theme="0"/>
        <bgColor indexed="64"/>
      </patternFill>
    </fill>
    <fill>
      <patternFill patternType="solid">
        <fgColor rgb="FFD9D9D9"/>
        <bgColor indexed="64"/>
      </patternFill>
    </fill>
    <fill>
      <patternFill patternType="solid">
        <fgColor indexed="27"/>
        <bgColor indexed="64"/>
      </patternFill>
    </fill>
    <fill>
      <patternFill patternType="solid">
        <fgColor rgb="FFBFBFBF"/>
        <bgColor indexed="64"/>
      </patternFill>
    </fill>
    <fill>
      <patternFill patternType="solid">
        <fgColor indexed="9"/>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FFFF"/>
        <bgColor rgb="FF000000"/>
      </patternFill>
    </fill>
    <fill>
      <patternFill patternType="solid">
        <fgColor theme="6" tint="0.59999389629810485"/>
        <bgColor indexed="64"/>
      </patternFill>
    </fill>
    <fill>
      <patternFill patternType="solid">
        <fgColor rgb="FF99CCFF"/>
        <bgColor rgb="FF99CCFF"/>
      </patternFill>
    </fill>
    <fill>
      <patternFill patternType="solid">
        <fgColor rgb="FFC0C0C0"/>
        <bgColor rgb="FFC0C0C0"/>
      </patternFill>
    </fill>
    <fill>
      <patternFill patternType="solid">
        <fgColor theme="7"/>
        <bgColor theme="7"/>
      </patternFill>
    </fill>
    <fill>
      <patternFill patternType="solid">
        <fgColor theme="0" tint="-0.249977111117893"/>
        <bgColor indexed="64"/>
      </patternFill>
    </fill>
    <fill>
      <patternFill patternType="solid">
        <fgColor indexed="45"/>
        <bgColor indexed="64"/>
      </patternFill>
    </fill>
    <fill>
      <patternFill patternType="solid">
        <fgColor indexed="43"/>
        <bgColor indexed="64"/>
      </patternFill>
    </fill>
    <fill>
      <patternFill patternType="solid">
        <fgColor indexed="41"/>
        <bgColor indexed="64"/>
      </patternFill>
    </fill>
    <fill>
      <patternFill patternType="solid">
        <fgColor rgb="FFA6A6A6"/>
        <bgColor indexed="64"/>
      </patternFill>
    </fill>
    <fill>
      <patternFill patternType="solid">
        <fgColor rgb="FFFFC000"/>
        <bgColor indexed="64"/>
      </patternFill>
    </fill>
  </fills>
  <borders count="1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31"/>
      </left>
      <right style="thin">
        <color indexed="31"/>
      </right>
      <top style="thin">
        <color indexed="31"/>
      </top>
      <bottom style="thin">
        <color indexed="31"/>
      </bottom>
      <diagonal/>
    </border>
    <border>
      <left style="medium">
        <color indexed="31"/>
      </left>
      <right style="medium">
        <color indexed="31"/>
      </right>
      <top style="medium">
        <color indexed="31"/>
      </top>
      <bottom style="medium">
        <color indexed="31"/>
      </bottom>
      <diagonal/>
    </border>
    <border>
      <left style="thin">
        <color indexed="31"/>
      </left>
      <right style="thin">
        <color indexed="31"/>
      </right>
      <top/>
      <bottom style="thin">
        <color indexed="31"/>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medium">
        <color indexed="64"/>
      </right>
      <top/>
      <bottom/>
      <diagonal/>
    </border>
    <border>
      <left/>
      <right style="medium">
        <color indexed="64"/>
      </right>
      <top/>
      <bottom/>
      <diagonal/>
    </border>
    <border>
      <left/>
      <right style="medium">
        <color rgb="FF000000"/>
      </right>
      <top style="medium">
        <color indexed="64"/>
      </top>
      <bottom style="medium">
        <color indexed="64"/>
      </bottom>
      <diagonal/>
    </border>
    <border>
      <left style="thin">
        <color indexed="31"/>
      </left>
      <right/>
      <top style="thin">
        <color indexed="31"/>
      </top>
      <bottom style="thin">
        <color indexed="31"/>
      </bottom>
      <diagonal/>
    </border>
    <border>
      <left/>
      <right style="thin">
        <color indexed="31"/>
      </right>
      <top style="thin">
        <color indexed="31"/>
      </top>
      <bottom style="thin">
        <color indexed="31"/>
      </bottom>
      <diagonal/>
    </border>
    <border>
      <left style="thin">
        <color indexed="31"/>
      </left>
      <right style="thin">
        <color indexed="31"/>
      </right>
      <top style="medium">
        <color indexed="31"/>
      </top>
      <bottom style="thin">
        <color indexed="31"/>
      </bottom>
      <diagonal/>
    </border>
    <border>
      <left style="thin">
        <color indexed="31"/>
      </left>
      <right style="thin">
        <color indexed="31"/>
      </right>
      <top/>
      <bottom/>
      <diagonal/>
    </border>
    <border>
      <left style="thin">
        <color indexed="31"/>
      </left>
      <right/>
      <top/>
      <bottom/>
      <diagonal/>
    </border>
    <border>
      <left/>
      <right style="thin">
        <color indexed="31"/>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medium">
        <color indexed="64"/>
      </right>
      <top style="thin">
        <color indexed="64"/>
      </top>
      <bottom/>
      <diagonal/>
    </border>
    <border>
      <left style="medium">
        <color indexed="64"/>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rgb="FF999999"/>
      </left>
      <right style="medium">
        <color rgb="FF999999"/>
      </right>
      <top style="medium">
        <color rgb="FF999999"/>
      </top>
      <bottom/>
      <diagonal/>
    </border>
    <border>
      <left style="medium">
        <color rgb="FF999999"/>
      </left>
      <right style="medium">
        <color rgb="FF999999"/>
      </right>
      <top/>
      <bottom/>
      <diagonal/>
    </border>
    <border>
      <left style="medium">
        <color rgb="FF999999"/>
      </left>
      <right style="medium">
        <color rgb="FF999999"/>
      </right>
      <top/>
      <bottom style="thick">
        <color rgb="FF666666"/>
      </bottom>
      <diagonal/>
    </border>
    <border>
      <left/>
      <right style="medium">
        <color rgb="FF999999"/>
      </right>
      <top style="medium">
        <color rgb="FF999999"/>
      </top>
      <bottom/>
      <diagonal/>
    </border>
    <border>
      <left/>
      <right style="medium">
        <color rgb="FF999999"/>
      </right>
      <top/>
      <bottom/>
      <diagonal/>
    </border>
    <border>
      <left/>
      <right style="medium">
        <color rgb="FF999999"/>
      </right>
      <top/>
      <bottom style="thick">
        <color rgb="FF666666"/>
      </bottom>
      <diagonal/>
    </border>
    <border>
      <left style="medium">
        <color rgb="FF999999"/>
      </left>
      <right style="medium">
        <color rgb="FF999999"/>
      </right>
      <top/>
      <bottom style="medium">
        <color rgb="FF999999"/>
      </bottom>
      <diagonal/>
    </border>
    <border>
      <left/>
      <right style="medium">
        <color rgb="FF999999"/>
      </right>
      <top/>
      <bottom style="medium">
        <color rgb="FF999999"/>
      </bottom>
      <diagonal/>
    </border>
    <border>
      <left style="thin">
        <color rgb="FF000000"/>
      </left>
      <right style="thin">
        <color rgb="FF000000"/>
      </right>
      <top style="medium">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style="thin">
        <color rgb="FF000000"/>
      </right>
      <top/>
      <bottom style="dotted">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bottom style="dotted">
        <color rgb="FF000000"/>
      </bottom>
      <diagonal/>
    </border>
    <border>
      <left style="double">
        <color rgb="FF000000"/>
      </left>
      <right style="thin">
        <color rgb="FF000000"/>
      </right>
      <top/>
      <bottom style="dotted">
        <color rgb="FF000000"/>
      </bottom>
      <diagonal/>
    </border>
    <border>
      <left style="thin">
        <color rgb="FF000000"/>
      </left>
      <right/>
      <top/>
      <bottom style="dotted">
        <color rgb="FF000000"/>
      </bottom>
      <diagonal/>
    </border>
    <border>
      <left style="medium">
        <color rgb="FF000000"/>
      </left>
      <right style="thin">
        <color rgb="FF000000"/>
      </right>
      <top style="dotted">
        <color rgb="FF000000"/>
      </top>
      <bottom style="dotted">
        <color rgb="FF000000"/>
      </bottom>
      <diagonal/>
    </border>
    <border>
      <left/>
      <right style="thin">
        <color rgb="FF000000"/>
      </right>
      <top style="dotted">
        <color rgb="FF000000"/>
      </top>
      <bottom style="dotted">
        <color rgb="FF000000"/>
      </bottom>
      <diagonal/>
    </border>
    <border>
      <left style="thin">
        <color rgb="FF000000"/>
      </left>
      <right style="double">
        <color rgb="FF000000"/>
      </right>
      <top style="dotted">
        <color rgb="FF000000"/>
      </top>
      <bottom style="dotted">
        <color rgb="FF000000"/>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diagonal/>
    </border>
    <border>
      <left style="thin">
        <color indexed="64"/>
      </left>
      <right style="double">
        <color indexed="64"/>
      </right>
      <top/>
      <bottom/>
      <diagonal/>
    </border>
    <border>
      <left style="thin">
        <color indexed="64"/>
      </left>
      <right style="double">
        <color indexed="64"/>
      </right>
      <top/>
      <bottom style="thin">
        <color indexed="64"/>
      </bottom>
      <diagonal/>
    </border>
    <border>
      <left style="medium">
        <color indexed="64"/>
      </left>
      <right style="medium">
        <color indexed="64"/>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style="medium">
        <color indexed="64"/>
      </bottom>
      <diagonal/>
    </border>
  </borders>
  <cellStyleXfs count="26">
    <xf numFmtId="0" fontId="0" fillId="0" borderId="0"/>
    <xf numFmtId="43" fontId="4" fillId="0" borderId="0" applyFont="0" applyFill="0" applyBorder="0" applyAlignment="0" applyProtection="0"/>
    <xf numFmtId="0" fontId="17" fillId="0" borderId="0"/>
    <xf numFmtId="0" fontId="18" fillId="0" borderId="0"/>
    <xf numFmtId="0" fontId="64" fillId="0" borderId="0"/>
    <xf numFmtId="0" fontId="3" fillId="0" borderId="0"/>
    <xf numFmtId="0" fontId="18" fillId="0" borderId="0"/>
    <xf numFmtId="0" fontId="27" fillId="0" borderId="0"/>
    <xf numFmtId="41" fontId="4" fillId="0" borderId="0" applyFont="0" applyFill="0" applyBorder="0" applyAlignment="0" applyProtection="0"/>
    <xf numFmtId="9" fontId="4" fillId="0" borderId="0" applyFont="0" applyFill="0" applyBorder="0" applyAlignment="0" applyProtection="0"/>
    <xf numFmtId="0" fontId="138" fillId="0" borderId="0"/>
    <xf numFmtId="0" fontId="171" fillId="0" borderId="0"/>
    <xf numFmtId="0" fontId="4" fillId="0" borderId="0"/>
    <xf numFmtId="0" fontId="4" fillId="0" borderId="0"/>
    <xf numFmtId="0" fontId="18" fillId="0" borderId="0">
      <alignment vertical="center"/>
    </xf>
    <xf numFmtId="0" fontId="186" fillId="0" borderId="0"/>
    <xf numFmtId="49" fontId="185" fillId="0" borderId="0">
      <alignment horizontal="left" vertical="center"/>
    </xf>
    <xf numFmtId="0" fontId="4" fillId="0" borderId="0"/>
    <xf numFmtId="43" fontId="4" fillId="0" borderId="0" applyFont="0" applyFill="0" applyBorder="0" applyAlignment="0" applyProtection="0"/>
    <xf numFmtId="0" fontId="64" fillId="0" borderId="0"/>
    <xf numFmtId="0" fontId="2" fillId="0" borderId="0"/>
    <xf numFmtId="41" fontId="4" fillId="0" borderId="0" applyFont="0" applyFill="0" applyBorder="0" applyAlignment="0" applyProtection="0"/>
    <xf numFmtId="9" fontId="4" fillId="0" borderId="0" applyFont="0" applyFill="0" applyBorder="0" applyAlignment="0" applyProtection="0"/>
    <xf numFmtId="0" fontId="138" fillId="0" borderId="0"/>
    <xf numFmtId="0" fontId="138" fillId="0" borderId="0"/>
    <xf numFmtId="0" fontId="1" fillId="0" borderId="0"/>
  </cellStyleXfs>
  <cellXfs count="1252">
    <xf numFmtId="0" fontId="0" fillId="0" borderId="0" xfId="0"/>
    <xf numFmtId="166" fontId="0" fillId="0" borderId="0" xfId="1" applyNumberFormat="1" applyFont="1"/>
    <xf numFmtId="43" fontId="0" fillId="0" borderId="0" xfId="1" applyFont="1" applyAlignment="1">
      <alignment horizontal="center"/>
    </xf>
    <xf numFmtId="0" fontId="5" fillId="0" borderId="0" xfId="0" applyFont="1" applyAlignment="1">
      <alignment horizontal="justify" vertical="center"/>
    </xf>
    <xf numFmtId="0" fontId="13" fillId="0" borderId="0" xfId="0" applyFont="1" applyAlignment="1">
      <alignment horizontal="justify" vertical="center"/>
    </xf>
    <xf numFmtId="0" fontId="12" fillId="0" borderId="0" xfId="0" applyFont="1" applyAlignment="1">
      <alignment horizontal="justify" vertical="center"/>
    </xf>
    <xf numFmtId="43" fontId="0" fillId="0" borderId="0" xfId="1" applyFont="1"/>
    <xf numFmtId="0" fontId="5" fillId="0" borderId="0" xfId="0" applyFont="1"/>
    <xf numFmtId="0" fontId="11" fillId="0" borderId="0" xfId="0" applyFont="1" applyAlignment="1">
      <alignment vertical="center"/>
    </xf>
    <xf numFmtId="43" fontId="0" fillId="0" borderId="0" xfId="0" applyNumberFormat="1"/>
    <xf numFmtId="0" fontId="16" fillId="3" borderId="0" xfId="0" applyFont="1" applyFill="1"/>
    <xf numFmtId="0" fontId="0" fillId="0" borderId="0" xfId="0" applyNumberFormat="1"/>
    <xf numFmtId="0" fontId="17" fillId="0" borderId="0" xfId="2"/>
    <xf numFmtId="0" fontId="19" fillId="4" borderId="8" xfId="2" applyFont="1" applyFill="1" applyBorder="1" applyAlignment="1">
      <alignment horizontal="center" vertical="center" wrapText="1"/>
    </xf>
    <xf numFmtId="167" fontId="19" fillId="0" borderId="0" xfId="2" applyNumberFormat="1" applyFont="1"/>
    <xf numFmtId="0" fontId="19" fillId="0" borderId="8" xfId="2" applyFont="1" applyFill="1" applyBorder="1" applyAlignment="1">
      <alignment horizontal="center" wrapText="1"/>
    </xf>
    <xf numFmtId="167" fontId="19" fillId="0" borderId="8" xfId="2" applyNumberFormat="1" applyFont="1" applyFill="1" applyBorder="1" applyAlignment="1">
      <alignment horizontal="center" wrapText="1"/>
    </xf>
    <xf numFmtId="168" fontId="19" fillId="0" borderId="8" xfId="2" applyNumberFormat="1" applyFont="1" applyFill="1" applyBorder="1" applyAlignment="1">
      <alignment horizontal="center" wrapText="1"/>
    </xf>
    <xf numFmtId="0" fontId="19" fillId="0" borderId="0" xfId="2" applyFont="1" applyFill="1" applyBorder="1" applyAlignment="1">
      <alignment horizontal="center" wrapText="1"/>
    </xf>
    <xf numFmtId="1" fontId="19" fillId="0" borderId="8" xfId="2" applyNumberFormat="1" applyFont="1" applyFill="1" applyBorder="1" applyAlignment="1">
      <alignment horizontal="right" wrapText="1"/>
    </xf>
    <xf numFmtId="1" fontId="19" fillId="0" borderId="8" xfId="2" applyNumberFormat="1" applyFont="1" applyFill="1" applyBorder="1" applyAlignment="1">
      <alignment horizontal="right"/>
    </xf>
    <xf numFmtId="1" fontId="19" fillId="0" borderId="0" xfId="2" applyNumberFormat="1" applyFont="1"/>
    <xf numFmtId="170" fontId="19" fillId="0" borderId="8" xfId="1" applyNumberFormat="1" applyFont="1" applyFill="1" applyBorder="1" applyAlignment="1">
      <alignment horizontal="center" wrapText="1"/>
    </xf>
    <xf numFmtId="170" fontId="0" fillId="0" borderId="0" xfId="1" applyNumberFormat="1" applyFont="1"/>
    <xf numFmtId="1" fontId="24" fillId="0" borderId="8" xfId="2" applyNumberFormat="1" applyFont="1" applyFill="1" applyBorder="1" applyAlignment="1">
      <alignment horizontal="right" wrapText="1"/>
    </xf>
    <xf numFmtId="1" fontId="24" fillId="0" borderId="8" xfId="2" applyNumberFormat="1" applyFont="1" applyFill="1" applyBorder="1" applyAlignment="1">
      <alignment horizontal="right"/>
    </xf>
    <xf numFmtId="167" fontId="19" fillId="0" borderId="8" xfId="2" applyNumberFormat="1" applyFont="1" applyFill="1" applyBorder="1" applyAlignment="1">
      <alignment horizontal="center" wrapText="1"/>
    </xf>
    <xf numFmtId="168" fontId="19" fillId="0" borderId="8" xfId="2" applyNumberFormat="1" applyFont="1" applyFill="1" applyBorder="1" applyAlignment="1">
      <alignment horizontal="center" wrapText="1"/>
    </xf>
    <xf numFmtId="0" fontId="10" fillId="5" borderId="11" xfId="2" applyFont="1" applyFill="1" applyBorder="1" applyAlignment="1">
      <alignment horizontal="center" vertical="center" wrapText="1"/>
    </xf>
    <xf numFmtId="0" fontId="10" fillId="5" borderId="12" xfId="2" applyFont="1" applyFill="1" applyBorder="1" applyAlignment="1">
      <alignment horizontal="center" vertical="center" wrapText="1"/>
    </xf>
    <xf numFmtId="0" fontId="17" fillId="5" borderId="13" xfId="2" applyFill="1" applyBorder="1" applyAlignment="1">
      <alignment vertical="center" wrapText="1"/>
    </xf>
    <xf numFmtId="0" fontId="10" fillId="5" borderId="13" xfId="2" applyFont="1" applyFill="1" applyBorder="1" applyAlignment="1">
      <alignment horizontal="center" vertical="center" wrapText="1"/>
    </xf>
    <xf numFmtId="0" fontId="10" fillId="5" borderId="14" xfId="2" applyFont="1" applyFill="1" applyBorder="1" applyAlignment="1">
      <alignment horizontal="center" vertical="center" wrapText="1"/>
    </xf>
    <xf numFmtId="0" fontId="10" fillId="5" borderId="15" xfId="2" applyFont="1" applyFill="1" applyBorder="1" applyAlignment="1">
      <alignment horizontal="center" vertical="center" wrapText="1"/>
    </xf>
    <xf numFmtId="0" fontId="17" fillId="5" borderId="15" xfId="2" applyFill="1" applyBorder="1" applyAlignment="1">
      <alignment vertical="center" wrapText="1"/>
    </xf>
    <xf numFmtId="0" fontId="17" fillId="5" borderId="16" xfId="2" applyFill="1" applyBorder="1" applyAlignment="1">
      <alignment vertical="center" wrapText="1"/>
    </xf>
    <xf numFmtId="0" fontId="7" fillId="0" borderId="12" xfId="2" applyFont="1" applyBorder="1" applyAlignment="1">
      <alignment horizontal="center" vertical="center" wrapText="1"/>
    </xf>
    <xf numFmtId="0" fontId="7" fillId="0" borderId="16" xfId="2" applyFont="1" applyBorder="1" applyAlignment="1">
      <alignment horizontal="center" vertical="center" wrapText="1"/>
    </xf>
    <xf numFmtId="164" fontId="0" fillId="0" borderId="0" xfId="0" applyNumberFormat="1"/>
    <xf numFmtId="0" fontId="18" fillId="0" borderId="0" xfId="3"/>
    <xf numFmtId="0" fontId="31" fillId="0" borderId="0" xfId="3" applyFont="1" applyProtection="1">
      <protection locked="0"/>
    </xf>
    <xf numFmtId="0" fontId="27" fillId="0" borderId="0" xfId="3" applyFont="1" applyProtection="1">
      <protection locked="0"/>
    </xf>
    <xf numFmtId="0" fontId="17" fillId="0" borderId="0" xfId="3" applyFont="1" applyProtection="1">
      <protection locked="0"/>
    </xf>
    <xf numFmtId="0" fontId="31" fillId="0" borderId="0" xfId="3" applyFont="1" applyAlignment="1" applyProtection="1">
      <alignment horizontal="center"/>
      <protection locked="0"/>
    </xf>
    <xf numFmtId="0" fontId="27" fillId="0" borderId="0" xfId="3" applyFont="1" applyAlignment="1" applyProtection="1">
      <alignment horizontal="center"/>
      <protection locked="0"/>
    </xf>
    <xf numFmtId="2" fontId="27" fillId="7" borderId="19" xfId="3" applyNumberFormat="1" applyFont="1" applyFill="1" applyBorder="1" applyAlignment="1" applyProtection="1">
      <alignment horizontal="center"/>
      <protection locked="0"/>
    </xf>
    <xf numFmtId="0" fontId="36" fillId="9" borderId="18" xfId="3" applyFont="1" applyFill="1" applyBorder="1" applyAlignment="1" applyProtection="1">
      <alignment horizontal="center" vertical="center"/>
      <protection locked="0"/>
    </xf>
    <xf numFmtId="0" fontId="36" fillId="9" borderId="23" xfId="3" applyFont="1" applyFill="1" applyBorder="1" applyAlignment="1" applyProtection="1">
      <alignment horizontal="center" vertical="center"/>
      <protection locked="0"/>
    </xf>
    <xf numFmtId="0" fontId="27" fillId="0" borderId="0" xfId="3" applyFont="1" applyFill="1" applyProtection="1">
      <protection locked="0"/>
    </xf>
    <xf numFmtId="1" fontId="35" fillId="7" borderId="19" xfId="3" applyNumberFormat="1" applyFont="1" applyFill="1" applyBorder="1" applyAlignment="1" applyProtection="1">
      <alignment horizontal="center"/>
      <protection locked="0"/>
    </xf>
    <xf numFmtId="1" fontId="27" fillId="0" borderId="0" xfId="3" applyNumberFormat="1" applyFont="1" applyProtection="1">
      <protection locked="0"/>
    </xf>
    <xf numFmtId="171" fontId="31" fillId="0" borderId="0" xfId="3" applyNumberFormat="1" applyFont="1" applyProtection="1">
      <protection locked="0"/>
    </xf>
    <xf numFmtId="171" fontId="17" fillId="0" borderId="0" xfId="3" applyNumberFormat="1" applyFont="1" applyProtection="1">
      <protection locked="0"/>
    </xf>
    <xf numFmtId="171" fontId="36" fillId="9" borderId="23" xfId="3" applyNumberFormat="1" applyFont="1" applyFill="1" applyBorder="1" applyAlignment="1" applyProtection="1">
      <alignment horizontal="center" vertical="center"/>
      <protection locked="0"/>
    </xf>
    <xf numFmtId="0" fontId="40" fillId="9" borderId="23" xfId="3" applyFont="1" applyFill="1" applyBorder="1" applyAlignment="1" applyProtection="1">
      <alignment horizontal="center" vertical="center"/>
      <protection locked="0"/>
    </xf>
    <xf numFmtId="171" fontId="36" fillId="9" borderId="18" xfId="3" applyNumberFormat="1" applyFont="1" applyFill="1" applyBorder="1" applyAlignment="1" applyProtection="1">
      <alignment horizontal="center" vertical="center"/>
      <protection locked="0"/>
    </xf>
    <xf numFmtId="171" fontId="27" fillId="7" borderId="19" xfId="3" applyNumberFormat="1" applyFont="1" applyFill="1" applyBorder="1" applyAlignment="1" applyProtection="1">
      <alignment horizontal="center"/>
      <protection locked="0"/>
    </xf>
    <xf numFmtId="171" fontId="27" fillId="0" borderId="0" xfId="3" applyNumberFormat="1" applyFont="1" applyProtection="1">
      <protection locked="0"/>
    </xf>
    <xf numFmtId="171" fontId="27" fillId="0" borderId="0" xfId="3" applyNumberFormat="1" applyFont="1" applyFill="1" applyProtection="1">
      <protection locked="0"/>
    </xf>
    <xf numFmtId="0" fontId="31" fillId="0" borderId="0" xfId="3" applyFont="1" applyProtection="1">
      <protection locked="0"/>
    </xf>
    <xf numFmtId="0" fontId="27" fillId="0" borderId="0" xfId="3" applyFont="1" applyFill="1" applyProtection="1">
      <protection locked="0"/>
    </xf>
    <xf numFmtId="0" fontId="27" fillId="0" borderId="0" xfId="3" applyFont="1" applyFill="1" applyAlignment="1" applyProtection="1">
      <alignment horizontal="center"/>
      <protection locked="0"/>
    </xf>
    <xf numFmtId="0" fontId="17" fillId="0" borderId="0" xfId="3" applyFont="1" applyFill="1" applyProtection="1">
      <protection locked="0"/>
    </xf>
    <xf numFmtId="0" fontId="19" fillId="9" borderId="23" xfId="3" applyFont="1" applyFill="1" applyBorder="1" applyAlignment="1" applyProtection="1">
      <alignment horizontal="center" vertical="center"/>
      <protection locked="0"/>
    </xf>
    <xf numFmtId="0" fontId="19" fillId="9" borderId="24" xfId="3" applyFont="1" applyFill="1" applyBorder="1" applyAlignment="1" applyProtection="1">
      <alignment horizontal="center" vertical="center"/>
      <protection locked="0"/>
    </xf>
    <xf numFmtId="0" fontId="32" fillId="9" borderId="23" xfId="3" applyFont="1" applyFill="1" applyBorder="1" applyAlignment="1" applyProtection="1">
      <alignment horizontal="center" vertical="center"/>
      <protection locked="0"/>
    </xf>
    <xf numFmtId="0" fontId="19" fillId="9" borderId="25" xfId="3" applyFont="1" applyFill="1" applyBorder="1" applyAlignment="1" applyProtection="1">
      <alignment horizontal="center" vertical="center"/>
      <protection locked="0"/>
    </xf>
    <xf numFmtId="0" fontId="19" fillId="9" borderId="18" xfId="3" applyFont="1" applyFill="1" applyBorder="1" applyAlignment="1" applyProtection="1">
      <alignment horizontal="center" vertical="center"/>
      <protection locked="0"/>
    </xf>
    <xf numFmtId="0" fontId="38" fillId="9" borderId="20" xfId="3" applyFont="1" applyFill="1" applyBorder="1" applyAlignment="1" applyProtection="1">
      <alignment horizontal="center" vertical="center"/>
      <protection locked="0"/>
    </xf>
    <xf numFmtId="0" fontId="38" fillId="9" borderId="18" xfId="3" applyFont="1" applyFill="1" applyBorder="1" applyAlignment="1" applyProtection="1">
      <alignment horizontal="center" vertical="center"/>
      <protection locked="0"/>
    </xf>
    <xf numFmtId="0" fontId="43" fillId="9" borderId="19" xfId="3" applyFont="1" applyFill="1" applyBorder="1" applyAlignment="1" applyProtection="1">
      <alignment horizontal="center" vertical="center"/>
      <protection locked="0"/>
    </xf>
    <xf numFmtId="0" fontId="38" fillId="9" borderId="19" xfId="3" applyFont="1" applyFill="1" applyBorder="1" applyAlignment="1" applyProtection="1">
      <alignment horizontal="center" vertical="center"/>
      <protection locked="0"/>
    </xf>
    <xf numFmtId="0" fontId="19" fillId="9" borderId="22" xfId="3" applyFont="1" applyFill="1" applyBorder="1" applyAlignment="1" applyProtection="1">
      <alignment horizontal="center" vertical="center"/>
      <protection locked="0"/>
    </xf>
    <xf numFmtId="0" fontId="21" fillId="6" borderId="17" xfId="3" applyFont="1" applyFill="1" applyBorder="1" applyAlignment="1" applyProtection="1">
      <alignment horizontal="center"/>
      <protection locked="0"/>
    </xf>
    <xf numFmtId="0" fontId="21" fillId="6" borderId="18" xfId="3" applyFont="1" applyFill="1" applyBorder="1" applyAlignment="1" applyProtection="1">
      <alignment horizontal="center"/>
      <protection locked="0"/>
    </xf>
    <xf numFmtId="0" fontId="18" fillId="0" borderId="0" xfId="3"/>
    <xf numFmtId="0" fontId="33" fillId="0" borderId="0" xfId="3" applyFont="1" applyProtection="1">
      <protection locked="0"/>
    </xf>
    <xf numFmtId="0" fontId="17" fillId="0" borderId="0" xfId="3" applyFont="1" applyProtection="1">
      <protection locked="0"/>
    </xf>
    <xf numFmtId="2" fontId="27" fillId="7" borderId="19" xfId="3" applyNumberFormat="1" applyFont="1" applyFill="1" applyBorder="1" applyAlignment="1" applyProtection="1">
      <alignment horizontal="center"/>
      <protection locked="0"/>
    </xf>
    <xf numFmtId="0" fontId="34" fillId="0" borderId="0" xfId="3" applyFont="1" applyBorder="1" applyProtection="1"/>
    <xf numFmtId="0" fontId="17" fillId="6" borderId="23" xfId="3" applyFont="1" applyFill="1" applyBorder="1" applyAlignment="1" applyProtection="1">
      <alignment horizontal="center" wrapText="1"/>
    </xf>
    <xf numFmtId="0" fontId="17" fillId="6" borderId="24" xfId="3" applyFont="1" applyFill="1" applyBorder="1" applyAlignment="1" applyProtection="1">
      <alignment horizontal="center"/>
    </xf>
    <xf numFmtId="0" fontId="17" fillId="6" borderId="18" xfId="3" applyFont="1" applyFill="1" applyBorder="1" applyAlignment="1" applyProtection="1">
      <alignment horizontal="center"/>
    </xf>
    <xf numFmtId="0" fontId="17" fillId="0" borderId="19" xfId="3" applyFont="1" applyBorder="1" applyProtection="1"/>
    <xf numFmtId="0" fontId="17" fillId="7" borderId="19" xfId="3" applyFont="1" applyFill="1" applyBorder="1" applyProtection="1"/>
    <xf numFmtId="0" fontId="17" fillId="7" borderId="18" xfId="3" applyFont="1" applyFill="1" applyBorder="1" applyProtection="1">
      <protection locked="0"/>
    </xf>
    <xf numFmtId="0" fontId="17" fillId="7" borderId="19" xfId="3" applyFont="1" applyFill="1" applyBorder="1" applyProtection="1">
      <protection locked="0"/>
    </xf>
    <xf numFmtId="0" fontId="17" fillId="7" borderId="18" xfId="3" applyFont="1" applyFill="1" applyBorder="1" applyProtection="1"/>
    <xf numFmtId="0" fontId="17" fillId="0" borderId="0" xfId="3" applyFont="1" applyProtection="1"/>
    <xf numFmtId="0" fontId="17" fillId="0" borderId="0" xfId="3" applyFont="1" applyBorder="1" applyProtection="1"/>
    <xf numFmtId="0" fontId="17" fillId="0" borderId="20" xfId="3" applyFont="1" applyBorder="1" applyProtection="1"/>
    <xf numFmtId="0" fontId="17" fillId="6" borderId="25" xfId="3" applyFont="1" applyFill="1" applyBorder="1" applyAlignment="1" applyProtection="1">
      <alignment horizontal="center"/>
    </xf>
    <xf numFmtId="0" fontId="17" fillId="6" borderId="25" xfId="3" applyFont="1" applyFill="1" applyBorder="1" applyProtection="1">
      <protection locked="0"/>
    </xf>
    <xf numFmtId="0" fontId="17" fillId="6" borderId="26" xfId="3" applyFont="1" applyFill="1" applyBorder="1" applyAlignment="1" applyProtection="1">
      <alignment horizontal="center"/>
    </xf>
    <xf numFmtId="0" fontId="17" fillId="6" borderId="22" xfId="3" applyFont="1" applyFill="1" applyBorder="1" applyAlignment="1" applyProtection="1">
      <alignment horizontal="center"/>
    </xf>
    <xf numFmtId="0" fontId="17" fillId="6" borderId="20" xfId="3" applyFont="1" applyFill="1" applyBorder="1" applyAlignment="1" applyProtection="1">
      <alignment horizontal="center"/>
    </xf>
    <xf numFmtId="0" fontId="17" fillId="6" borderId="22" xfId="3" applyFont="1" applyFill="1" applyBorder="1" applyProtection="1">
      <protection locked="0"/>
    </xf>
    <xf numFmtId="0" fontId="17" fillId="6" borderId="23" xfId="3" applyFont="1" applyFill="1" applyBorder="1" applyAlignment="1" applyProtection="1">
      <alignment horizontal="center"/>
    </xf>
    <xf numFmtId="0" fontId="17" fillId="6" borderId="17" xfId="3" applyFont="1" applyFill="1" applyBorder="1" applyAlignment="1" applyProtection="1">
      <alignment horizontal="center"/>
    </xf>
    <xf numFmtId="0" fontId="17" fillId="6" borderId="19" xfId="3" applyFont="1" applyFill="1" applyBorder="1" applyAlignment="1" applyProtection="1">
      <alignment horizontal="center"/>
    </xf>
    <xf numFmtId="0" fontId="17" fillId="0" borderId="19" xfId="3" applyFont="1" applyBorder="1" applyAlignment="1" applyProtection="1">
      <alignment horizontal="center"/>
    </xf>
    <xf numFmtId="0" fontId="17" fillId="7" borderId="19" xfId="3" applyFont="1" applyFill="1" applyBorder="1" applyAlignment="1" applyProtection="1">
      <alignment horizontal="center"/>
    </xf>
    <xf numFmtId="0" fontId="17" fillId="8" borderId="27" xfId="3" applyFont="1" applyFill="1" applyBorder="1" applyProtection="1"/>
    <xf numFmtId="0" fontId="17" fillId="8" borderId="0" xfId="3" applyFont="1" applyFill="1" applyProtection="1"/>
    <xf numFmtId="0" fontId="17" fillId="8" borderId="25" xfId="3" applyFont="1" applyFill="1" applyBorder="1" applyProtection="1"/>
    <xf numFmtId="0" fontId="17" fillId="8" borderId="26" xfId="3" applyFont="1" applyFill="1" applyBorder="1" applyProtection="1"/>
    <xf numFmtId="0" fontId="17" fillId="8" borderId="0" xfId="3" applyFont="1" applyFill="1" applyAlignment="1" applyProtection="1">
      <alignment horizontal="center"/>
    </xf>
    <xf numFmtId="0" fontId="17" fillId="8" borderId="22" xfId="3" applyFont="1" applyFill="1" applyBorder="1" applyProtection="1"/>
    <xf numFmtId="0" fontId="17" fillId="8" borderId="21" xfId="3" applyFont="1" applyFill="1" applyBorder="1" applyProtection="1"/>
    <xf numFmtId="1" fontId="35" fillId="7" borderId="19" xfId="3" applyNumberFormat="1" applyFont="1" applyFill="1" applyBorder="1" applyAlignment="1" applyProtection="1">
      <alignment horizontal="center"/>
      <protection locked="0"/>
    </xf>
    <xf numFmtId="171" fontId="27" fillId="7" borderId="19" xfId="3" applyNumberFormat="1" applyFont="1" applyFill="1" applyBorder="1" applyAlignment="1" applyProtection="1">
      <alignment horizontal="center"/>
      <protection locked="0"/>
    </xf>
    <xf numFmtId="0" fontId="21" fillId="6" borderId="18" xfId="3" applyFont="1" applyFill="1" applyBorder="1" applyAlignment="1" applyProtection="1">
      <alignment horizontal="center"/>
      <protection locked="0"/>
    </xf>
    <xf numFmtId="0" fontId="18" fillId="0" borderId="0" xfId="3"/>
    <xf numFmtId="0" fontId="19" fillId="0" borderId="0" xfId="3" applyFont="1" applyProtection="1">
      <protection hidden="1"/>
    </xf>
    <xf numFmtId="0" fontId="21" fillId="0" borderId="0" xfId="3" applyFont="1" applyProtection="1">
      <protection hidden="1"/>
    </xf>
    <xf numFmtId="0" fontId="24" fillId="0" borderId="0" xfId="3" applyFont="1" applyProtection="1">
      <protection hidden="1"/>
    </xf>
    <xf numFmtId="0" fontId="19" fillId="0" borderId="0" xfId="3" applyFont="1" applyAlignment="1" applyProtection="1">
      <alignment horizontal="center"/>
      <protection hidden="1"/>
    </xf>
    <xf numFmtId="0" fontId="21" fillId="0" borderId="0" xfId="3" applyFont="1" applyAlignment="1" applyProtection="1">
      <alignment horizontal="center"/>
      <protection hidden="1"/>
    </xf>
    <xf numFmtId="0" fontId="24" fillId="0" borderId="0" xfId="3" applyFont="1" applyAlignment="1" applyProtection="1">
      <alignment horizontal="center"/>
      <protection hidden="1"/>
    </xf>
    <xf numFmtId="0" fontId="21" fillId="0" borderId="19" xfId="3" applyFont="1" applyBorder="1" applyProtection="1">
      <protection hidden="1"/>
    </xf>
    <xf numFmtId="0" fontId="21" fillId="0" borderId="19" xfId="3" applyFont="1" applyBorder="1" applyAlignment="1" applyProtection="1">
      <alignment horizontal="center"/>
      <protection hidden="1"/>
    </xf>
    <xf numFmtId="0" fontId="24" fillId="0" borderId="19" xfId="3" applyFont="1" applyBorder="1" applyProtection="1">
      <protection hidden="1"/>
    </xf>
    <xf numFmtId="0" fontId="24" fillId="0" borderId="19" xfId="3" applyFont="1" applyBorder="1" applyAlignment="1" applyProtection="1">
      <alignment horizontal="center"/>
      <protection hidden="1"/>
    </xf>
    <xf numFmtId="2" fontId="26" fillId="0" borderId="19" xfId="3" applyNumberFormat="1" applyFont="1" applyBorder="1" applyAlignment="1" applyProtection="1">
      <alignment horizontal="center"/>
      <protection hidden="1"/>
    </xf>
    <xf numFmtId="173" fontId="26" fillId="0" borderId="19" xfId="3" applyNumberFormat="1" applyFont="1" applyBorder="1" applyAlignment="1" applyProtection="1">
      <alignment horizontal="center"/>
      <protection hidden="1"/>
    </xf>
    <xf numFmtId="2" fontId="19" fillId="0" borderId="19" xfId="3" applyNumberFormat="1" applyFont="1" applyBorder="1" applyAlignment="1" applyProtection="1">
      <alignment horizontal="center"/>
      <protection hidden="1"/>
    </xf>
    <xf numFmtId="173" fontId="19" fillId="0" borderId="19" xfId="3" applyNumberFormat="1" applyFont="1" applyBorder="1" applyAlignment="1" applyProtection="1">
      <alignment horizontal="center"/>
      <protection hidden="1"/>
    </xf>
    <xf numFmtId="0" fontId="19" fillId="0" borderId="0" xfId="3" applyFont="1" applyBorder="1" applyProtection="1">
      <protection hidden="1"/>
    </xf>
    <xf numFmtId="0" fontId="19" fillId="0" borderId="19" xfId="3" applyFont="1" applyBorder="1" applyAlignment="1" applyProtection="1">
      <alignment horizontal="center"/>
      <protection hidden="1"/>
    </xf>
    <xf numFmtId="174" fontId="19" fillId="0" borderId="19" xfId="3" applyNumberFormat="1" applyFont="1" applyBorder="1" applyAlignment="1" applyProtection="1">
      <alignment horizontal="center"/>
      <protection hidden="1"/>
    </xf>
    <xf numFmtId="174" fontId="19" fillId="0" borderId="0" xfId="3" applyNumberFormat="1" applyFont="1" applyAlignment="1" applyProtection="1">
      <alignment horizontal="center"/>
      <protection hidden="1"/>
    </xf>
    <xf numFmtId="0" fontId="36" fillId="0" borderId="19" xfId="3" applyFont="1" applyFill="1" applyBorder="1" applyAlignment="1" applyProtection="1">
      <alignment horizontal="center" vertical="center" wrapText="1"/>
      <protection hidden="1"/>
    </xf>
    <xf numFmtId="0" fontId="19" fillId="0" borderId="19" xfId="3" applyFont="1" applyBorder="1" applyProtection="1">
      <protection hidden="1"/>
    </xf>
    <xf numFmtId="0" fontId="18" fillId="0" borderId="0" xfId="3"/>
    <xf numFmtId="0" fontId="27" fillId="0" borderId="0" xfId="3" applyFont="1" applyProtection="1">
      <protection locked="0"/>
    </xf>
    <xf numFmtId="0" fontId="27" fillId="0" borderId="0" xfId="3" applyFont="1" applyBorder="1" applyProtection="1">
      <protection locked="0"/>
    </xf>
    <xf numFmtId="0" fontId="44" fillId="0" borderId="0" xfId="3" applyFont="1" applyProtection="1">
      <protection locked="0"/>
    </xf>
    <xf numFmtId="0" fontId="36" fillId="0" borderId="0" xfId="3" applyFont="1" applyAlignment="1" applyProtection="1">
      <alignment horizontal="center" vertical="center"/>
      <protection locked="0"/>
    </xf>
    <xf numFmtId="0" fontId="36" fillId="0" borderId="0" xfId="3" applyFont="1" applyAlignment="1" applyProtection="1">
      <alignment horizontal="center"/>
      <protection locked="0"/>
    </xf>
    <xf numFmtId="0" fontId="27" fillId="0" borderId="0" xfId="3" applyFont="1" applyAlignment="1" applyProtection="1">
      <alignment horizontal="center"/>
      <protection locked="0"/>
    </xf>
    <xf numFmtId="0" fontId="17" fillId="0" borderId="0" xfId="3" applyFont="1" applyBorder="1" applyProtection="1">
      <protection locked="0"/>
    </xf>
    <xf numFmtId="1" fontId="17" fillId="0" borderId="0" xfId="3" applyNumberFormat="1" applyFont="1" applyBorder="1" applyProtection="1">
      <protection locked="0"/>
    </xf>
    <xf numFmtId="0" fontId="36" fillId="0" borderId="0" xfId="3" applyFont="1" applyFill="1" applyBorder="1" applyAlignment="1" applyProtection="1">
      <alignment horizontal="center" vertical="top" wrapText="1"/>
      <protection locked="0"/>
    </xf>
    <xf numFmtId="0" fontId="27" fillId="0" borderId="0" xfId="3" applyFont="1" applyFill="1" applyProtection="1">
      <protection locked="0"/>
    </xf>
    <xf numFmtId="0" fontId="27" fillId="0" borderId="0" xfId="3" applyFont="1" applyFill="1" applyBorder="1" applyAlignment="1" applyProtection="1">
      <alignment horizontal="center" vertical="top" wrapText="1"/>
      <protection locked="0"/>
    </xf>
    <xf numFmtId="0" fontId="17" fillId="0" borderId="0" xfId="3" applyFont="1" applyAlignment="1" applyProtection="1">
      <alignment vertical="center"/>
      <protection locked="0"/>
    </xf>
    <xf numFmtId="0" fontId="17" fillId="0" borderId="0" xfId="3" applyFont="1" applyAlignment="1" applyProtection="1">
      <alignment horizontal="center" vertical="center"/>
      <protection locked="0"/>
    </xf>
    <xf numFmtId="0" fontId="27" fillId="0" borderId="0" xfId="3" applyFont="1" applyAlignment="1" applyProtection="1">
      <alignment vertical="center"/>
      <protection locked="0"/>
    </xf>
    <xf numFmtId="0" fontId="27" fillId="0" borderId="0" xfId="3" applyFont="1" applyFill="1" applyBorder="1" applyProtection="1">
      <protection locked="0"/>
    </xf>
    <xf numFmtId="0" fontId="24" fillId="11" borderId="19" xfId="3" applyFont="1" applyFill="1" applyBorder="1" applyAlignment="1" applyProtection="1">
      <alignment horizontal="center"/>
      <protection locked="0"/>
    </xf>
    <xf numFmtId="0" fontId="24" fillId="11" borderId="19" xfId="3" applyFont="1" applyFill="1" applyBorder="1" applyAlignment="1" applyProtection="1">
      <alignment horizontal="center"/>
    </xf>
    <xf numFmtId="0" fontId="36" fillId="9" borderId="27" xfId="3" applyFont="1" applyFill="1" applyBorder="1" applyAlignment="1" applyProtection="1">
      <alignment horizontal="center" vertical="center"/>
    </xf>
    <xf numFmtId="0" fontId="36" fillId="9" borderId="27" xfId="3" applyFont="1" applyFill="1" applyBorder="1" applyAlignment="1" applyProtection="1">
      <alignment horizontal="center" vertical="center" wrapText="1"/>
    </xf>
    <xf numFmtId="0" fontId="36" fillId="9" borderId="23" xfId="3" applyFont="1" applyFill="1" applyBorder="1" applyAlignment="1" applyProtection="1">
      <alignment horizontal="center" vertical="center" wrapText="1"/>
    </xf>
    <xf numFmtId="0" fontId="21" fillId="9" borderId="23" xfId="3" applyFont="1" applyFill="1" applyBorder="1" applyAlignment="1" applyProtection="1">
      <alignment horizontal="center" vertical="center" wrapText="1"/>
    </xf>
    <xf numFmtId="0" fontId="36" fillId="9" borderId="25" xfId="3" applyFont="1" applyFill="1" applyBorder="1" applyAlignment="1" applyProtection="1">
      <alignment horizontal="center" vertical="center" wrapText="1"/>
    </xf>
    <xf numFmtId="0" fontId="36" fillId="9" borderId="29" xfId="3" applyFont="1" applyFill="1" applyBorder="1" applyAlignment="1" applyProtection="1">
      <alignment horizontal="center" vertical="top" wrapText="1"/>
    </xf>
    <xf numFmtId="0" fontId="36" fillId="9" borderId="17" xfId="3" applyFont="1" applyFill="1" applyBorder="1" applyAlignment="1" applyProtection="1">
      <alignment horizontal="center" vertical="center" wrapText="1"/>
    </xf>
    <xf numFmtId="0" fontId="36" fillId="9" borderId="29" xfId="3" applyFont="1" applyFill="1" applyBorder="1" applyAlignment="1" applyProtection="1">
      <alignment horizontal="center" vertical="center" wrapText="1"/>
    </xf>
    <xf numFmtId="0" fontId="21" fillId="9" borderId="17" xfId="3" applyFont="1" applyFill="1" applyBorder="1" applyAlignment="1" applyProtection="1">
      <alignment horizontal="center" vertical="center" wrapText="1"/>
    </xf>
    <xf numFmtId="0" fontId="36" fillId="9" borderId="21" xfId="3" applyFont="1" applyFill="1" applyBorder="1" applyAlignment="1" applyProtection="1">
      <alignment horizontal="center" vertical="center" wrapText="1"/>
    </xf>
    <xf numFmtId="0" fontId="45" fillId="9" borderId="29" xfId="3" applyFont="1" applyFill="1" applyBorder="1" applyAlignment="1" applyProtection="1">
      <alignment horizontal="center" vertical="top" wrapText="1"/>
    </xf>
    <xf numFmtId="0" fontId="45" fillId="9" borderId="17" xfId="3" applyFont="1" applyFill="1" applyBorder="1" applyAlignment="1" applyProtection="1">
      <alignment horizontal="center" vertical="top" wrapText="1"/>
    </xf>
    <xf numFmtId="0" fontId="45" fillId="9" borderId="17" xfId="3" applyFont="1" applyFill="1" applyBorder="1" applyAlignment="1" applyProtection="1">
      <alignment horizontal="center" vertical="center" wrapText="1"/>
    </xf>
    <xf numFmtId="0" fontId="36" fillId="9" borderId="26" xfId="3" applyFont="1" applyFill="1" applyBorder="1" applyAlignment="1" applyProtection="1">
      <alignment horizontal="center" vertical="top" wrapText="1"/>
    </xf>
    <xf numFmtId="0" fontId="45" fillId="9" borderId="26" xfId="3" applyFont="1" applyFill="1" applyBorder="1" applyAlignment="1" applyProtection="1">
      <alignment horizontal="center" vertical="top" wrapText="1"/>
    </xf>
    <xf numFmtId="0" fontId="45" fillId="9" borderId="18" xfId="3" applyFont="1" applyFill="1" applyBorder="1" applyAlignment="1" applyProtection="1">
      <alignment horizontal="center" vertical="top" wrapText="1"/>
    </xf>
    <xf numFmtId="0" fontId="34" fillId="9" borderId="26" xfId="3" applyFont="1" applyFill="1" applyBorder="1" applyAlignment="1" applyProtection="1">
      <alignment vertical="top" wrapText="1"/>
    </xf>
    <xf numFmtId="0" fontId="45" fillId="9" borderId="18" xfId="3" applyFont="1" applyFill="1" applyBorder="1" applyAlignment="1" applyProtection="1">
      <alignment horizontal="center" vertical="center" wrapText="1"/>
    </xf>
    <xf numFmtId="0" fontId="36" fillId="6" borderId="18" xfId="3" applyFont="1" applyFill="1" applyBorder="1" applyAlignment="1" applyProtection="1">
      <alignment horizontal="center" vertical="top" wrapText="1"/>
    </xf>
    <xf numFmtId="0" fontId="36" fillId="6" borderId="22" xfId="3" applyFont="1" applyFill="1" applyBorder="1" applyAlignment="1" applyProtection="1">
      <alignment horizontal="center" vertical="top" wrapText="1"/>
    </xf>
    <xf numFmtId="0" fontId="36" fillId="6" borderId="21" xfId="3" applyFont="1" applyFill="1" applyBorder="1" applyAlignment="1" applyProtection="1">
      <alignment horizontal="center" vertical="top" wrapText="1"/>
    </xf>
    <xf numFmtId="0" fontId="24" fillId="11" borderId="0" xfId="3" applyFont="1" applyFill="1" applyBorder="1" applyAlignment="1" applyProtection="1">
      <alignment horizontal="center"/>
      <protection locked="0"/>
    </xf>
    <xf numFmtId="0" fontId="18" fillId="0" borderId="0" xfId="3"/>
    <xf numFmtId="0" fontId="31" fillId="0" borderId="0" xfId="3" applyFont="1" applyProtection="1">
      <protection locked="0"/>
    </xf>
    <xf numFmtId="0" fontId="27" fillId="0" borderId="0" xfId="3" applyFont="1" applyProtection="1">
      <protection locked="0"/>
    </xf>
    <xf numFmtId="0" fontId="17" fillId="0" borderId="0" xfId="3" applyFont="1" applyProtection="1">
      <protection locked="0"/>
    </xf>
    <xf numFmtId="0" fontId="31" fillId="0" borderId="0" xfId="3" applyFont="1" applyAlignment="1" applyProtection="1">
      <alignment horizontal="center"/>
      <protection locked="0"/>
    </xf>
    <xf numFmtId="0" fontId="27" fillId="0" borderId="0" xfId="3" applyFont="1" applyAlignment="1" applyProtection="1">
      <alignment horizontal="center"/>
      <protection locked="0"/>
    </xf>
    <xf numFmtId="0" fontId="36" fillId="7" borderId="19" xfId="3" applyFont="1" applyFill="1" applyBorder="1" applyAlignment="1" applyProtection="1">
      <alignment horizontal="center"/>
      <protection locked="0"/>
    </xf>
    <xf numFmtId="0" fontId="36" fillId="9" borderId="18" xfId="3" applyFont="1" applyFill="1" applyBorder="1" applyAlignment="1" applyProtection="1">
      <alignment horizontal="center" vertical="center"/>
      <protection locked="0"/>
    </xf>
    <xf numFmtId="0" fontId="27" fillId="0" borderId="0" xfId="3" applyFont="1" applyFill="1" applyProtection="1">
      <protection locked="0"/>
    </xf>
    <xf numFmtId="2" fontId="27" fillId="0" borderId="19" xfId="3" applyNumberFormat="1" applyFont="1" applyFill="1" applyBorder="1" applyAlignment="1" applyProtection="1">
      <alignment horizontal="center"/>
      <protection locked="0"/>
    </xf>
    <xf numFmtId="0" fontId="17" fillId="0" borderId="0" xfId="3" applyFont="1" applyAlignment="1" applyProtection="1">
      <alignment vertical="center"/>
      <protection locked="0"/>
    </xf>
    <xf numFmtId="171" fontId="31" fillId="0" borderId="0" xfId="3" applyNumberFormat="1" applyFont="1" applyProtection="1">
      <protection locked="0"/>
    </xf>
    <xf numFmtId="171" fontId="17" fillId="0" borderId="0" xfId="3" applyNumberFormat="1" applyFont="1" applyProtection="1">
      <protection locked="0"/>
    </xf>
    <xf numFmtId="171" fontId="36" fillId="9" borderId="23" xfId="3" applyNumberFormat="1" applyFont="1" applyFill="1" applyBorder="1" applyAlignment="1" applyProtection="1">
      <alignment horizontal="center" vertical="center"/>
      <protection locked="0"/>
    </xf>
    <xf numFmtId="0" fontId="40" fillId="9" borderId="23" xfId="3" applyFont="1" applyFill="1" applyBorder="1" applyAlignment="1" applyProtection="1">
      <alignment horizontal="center" vertical="center"/>
      <protection locked="0"/>
    </xf>
    <xf numFmtId="171" fontId="36" fillId="9" borderId="18" xfId="3" applyNumberFormat="1" applyFont="1" applyFill="1" applyBorder="1" applyAlignment="1" applyProtection="1">
      <alignment horizontal="center" vertical="center"/>
      <protection locked="0"/>
    </xf>
    <xf numFmtId="171" fontId="27" fillId="0" borderId="19" xfId="3" applyNumberFormat="1" applyFont="1" applyFill="1" applyBorder="1" applyAlignment="1" applyProtection="1">
      <alignment horizontal="center"/>
      <protection locked="0"/>
    </xf>
    <xf numFmtId="171" fontId="27" fillId="0" borderId="0" xfId="3" applyNumberFormat="1" applyFont="1" applyProtection="1">
      <protection locked="0"/>
    </xf>
    <xf numFmtId="0" fontId="27" fillId="0" borderId="0" xfId="3" applyFont="1" applyFill="1" applyAlignment="1" applyProtection="1">
      <alignment horizontal="center"/>
      <protection locked="0"/>
    </xf>
    <xf numFmtId="0" fontId="17" fillId="0" borderId="0" xfId="3" applyFont="1" applyFill="1" applyProtection="1">
      <protection locked="0"/>
    </xf>
    <xf numFmtId="171" fontId="27" fillId="0" borderId="0" xfId="3" applyNumberFormat="1" applyFont="1" applyFill="1" applyProtection="1">
      <protection locked="0"/>
    </xf>
    <xf numFmtId="0" fontId="38" fillId="9" borderId="18" xfId="3" applyFont="1" applyFill="1" applyBorder="1" applyAlignment="1" applyProtection="1">
      <alignment horizontal="center" vertical="center"/>
      <protection locked="0"/>
    </xf>
    <xf numFmtId="0" fontId="36" fillId="9" borderId="27" xfId="3" applyFont="1" applyFill="1" applyBorder="1" applyAlignment="1" applyProtection="1">
      <alignment horizontal="center" vertical="center"/>
    </xf>
    <xf numFmtId="0" fontId="36" fillId="9" borderId="29" xfId="3" applyFont="1" applyFill="1" applyBorder="1" applyAlignment="1" applyProtection="1">
      <alignment horizontal="center" vertical="top" wrapText="1"/>
    </xf>
    <xf numFmtId="0" fontId="36" fillId="9" borderId="26" xfId="3" applyFont="1" applyFill="1" applyBorder="1" applyAlignment="1" applyProtection="1">
      <alignment horizontal="center" vertical="top" wrapText="1"/>
    </xf>
    <xf numFmtId="0" fontId="36" fillId="6" borderId="22" xfId="3" applyFont="1" applyFill="1" applyBorder="1" applyAlignment="1" applyProtection="1">
      <alignment horizontal="center" vertical="top" wrapText="1"/>
    </xf>
    <xf numFmtId="0" fontId="36" fillId="12" borderId="0" xfId="3" applyFont="1" applyFill="1" applyAlignment="1" applyProtection="1">
      <alignment horizontal="center" wrapText="1"/>
    </xf>
    <xf numFmtId="0" fontId="31" fillId="0" borderId="0" xfId="3" applyFont="1" applyFill="1" applyProtection="1">
      <protection locked="0"/>
    </xf>
    <xf numFmtId="0" fontId="0" fillId="0" borderId="0" xfId="0" applyFill="1"/>
    <xf numFmtId="1" fontId="19" fillId="13" borderId="23" xfId="3" applyNumberFormat="1" applyFont="1" applyFill="1" applyBorder="1" applyAlignment="1" applyProtection="1">
      <alignment horizontal="center" vertical="top" wrapText="1"/>
      <protection hidden="1"/>
    </xf>
    <xf numFmtId="0" fontId="19" fillId="13" borderId="28" xfId="3" applyFont="1" applyFill="1" applyBorder="1" applyAlignment="1" applyProtection="1">
      <alignment horizontal="center"/>
      <protection hidden="1"/>
    </xf>
    <xf numFmtId="170" fontId="19" fillId="13" borderId="19" xfId="1" applyNumberFormat="1" applyFont="1" applyFill="1" applyBorder="1" applyAlignment="1" applyProtection="1">
      <alignment horizontal="center"/>
      <protection locked="0"/>
    </xf>
    <xf numFmtId="1" fontId="19" fillId="13" borderId="19" xfId="3" applyNumberFormat="1" applyFont="1" applyFill="1" applyBorder="1" applyAlignment="1" applyProtection="1">
      <alignment horizontal="center"/>
      <protection hidden="1"/>
    </xf>
    <xf numFmtId="1" fontId="19" fillId="13" borderId="19" xfId="3" applyNumberFormat="1" applyFont="1" applyFill="1" applyBorder="1" applyAlignment="1" applyProtection="1">
      <alignment horizontal="center"/>
      <protection locked="0"/>
    </xf>
    <xf numFmtId="168" fontId="19" fillId="13" borderId="19" xfId="3" applyNumberFormat="1" applyFont="1" applyFill="1" applyBorder="1" applyAlignment="1" applyProtection="1">
      <alignment horizontal="center"/>
      <protection hidden="1"/>
    </xf>
    <xf numFmtId="168" fontId="19" fillId="13" borderId="19" xfId="3" applyNumberFormat="1" applyFont="1" applyFill="1" applyBorder="1" applyProtection="1">
      <protection hidden="1"/>
    </xf>
    <xf numFmtId="2" fontId="26" fillId="13" borderId="19" xfId="3" applyNumberFormat="1" applyFont="1" applyFill="1" applyBorder="1" applyAlignment="1" applyProtection="1">
      <alignment horizontal="center"/>
      <protection hidden="1"/>
    </xf>
    <xf numFmtId="2" fontId="19" fillId="13" borderId="19" xfId="3" applyNumberFormat="1" applyFont="1" applyFill="1" applyBorder="1" applyAlignment="1" applyProtection="1">
      <alignment horizontal="center"/>
      <protection hidden="1"/>
    </xf>
    <xf numFmtId="1" fontId="48" fillId="13" borderId="17" xfId="3" applyNumberFormat="1" applyFont="1" applyFill="1" applyBorder="1" applyAlignment="1" applyProtection="1">
      <alignment horizontal="center"/>
      <protection hidden="1"/>
    </xf>
    <xf numFmtId="1" fontId="48" fillId="13" borderId="18" xfId="3" applyNumberFormat="1" applyFont="1" applyFill="1" applyBorder="1" applyAlignment="1" applyProtection="1">
      <alignment horizontal="center"/>
      <protection hidden="1"/>
    </xf>
    <xf numFmtId="0" fontId="31" fillId="13" borderId="0" xfId="3" applyFont="1" applyFill="1" applyProtection="1">
      <protection locked="0"/>
    </xf>
    <xf numFmtId="0" fontId="20" fillId="13" borderId="0" xfId="3" applyFont="1" applyFill="1" applyProtection="1">
      <protection locked="0"/>
    </xf>
    <xf numFmtId="0" fontId="31" fillId="13" borderId="0" xfId="3" applyFont="1" applyFill="1" applyAlignment="1" applyProtection="1">
      <alignment horizontal="center"/>
      <protection locked="0"/>
    </xf>
    <xf numFmtId="0" fontId="18" fillId="13" borderId="0" xfId="3" applyFill="1"/>
    <xf numFmtId="0" fontId="39" fillId="13" borderId="0" xfId="3" applyFont="1" applyFill="1" applyProtection="1">
      <protection locked="0"/>
    </xf>
    <xf numFmtId="0" fontId="19" fillId="13" borderId="0" xfId="3" applyFont="1" applyFill="1" applyProtection="1">
      <protection locked="0"/>
    </xf>
    <xf numFmtId="0" fontId="27" fillId="13" borderId="0" xfId="3" applyFont="1" applyFill="1" applyBorder="1" applyAlignment="1" applyProtection="1">
      <alignment horizontal="center" vertical="top" wrapText="1"/>
      <protection locked="0"/>
    </xf>
    <xf numFmtId="167" fontId="27" fillId="13" borderId="0" xfId="3" applyNumberFormat="1" applyFont="1" applyFill="1" applyBorder="1" applyProtection="1">
      <protection locked="0"/>
    </xf>
    <xf numFmtId="0" fontId="27" fillId="13" borderId="0" xfId="3" applyFont="1" applyFill="1" applyProtection="1">
      <protection locked="0"/>
    </xf>
    <xf numFmtId="0" fontId="27" fillId="13" borderId="0" xfId="3" applyFont="1" applyFill="1" applyAlignment="1" applyProtection="1">
      <alignment horizontal="center"/>
      <protection locked="0"/>
    </xf>
    <xf numFmtId="0" fontId="17" fillId="13" borderId="0" xfId="3" applyFont="1" applyFill="1" applyProtection="1">
      <protection locked="0"/>
    </xf>
    <xf numFmtId="0" fontId="19" fillId="13" borderId="0" xfId="3" applyFont="1" applyFill="1" applyAlignment="1" applyProtection="1">
      <alignment vertical="center"/>
      <protection locked="0"/>
    </xf>
    <xf numFmtId="0" fontId="24" fillId="13" borderId="0" xfId="3" applyFont="1" applyFill="1" applyAlignment="1" applyProtection="1">
      <alignment horizontal="left" vertical="center"/>
      <protection locked="0"/>
    </xf>
    <xf numFmtId="0" fontId="19" fillId="13" borderId="0" xfId="3" applyFont="1" applyFill="1" applyAlignment="1" applyProtection="1">
      <alignment horizontal="right"/>
      <protection locked="0"/>
    </xf>
    <xf numFmtId="167" fontId="19" fillId="13" borderId="0" xfId="3" applyNumberFormat="1" applyFont="1" applyFill="1" applyBorder="1" applyAlignment="1" applyProtection="1">
      <alignment horizontal="center" vertical="center"/>
      <protection hidden="1"/>
    </xf>
    <xf numFmtId="0" fontId="19" fillId="13" borderId="0" xfId="3" applyFont="1" applyFill="1" applyAlignment="1" applyProtection="1">
      <alignment horizontal="left"/>
      <protection locked="0"/>
    </xf>
    <xf numFmtId="0" fontId="24" fillId="13" borderId="0" xfId="3" applyFont="1" applyFill="1" applyAlignment="1" applyProtection="1">
      <alignment horizontal="left"/>
      <protection locked="0"/>
    </xf>
    <xf numFmtId="0" fontId="27" fillId="13" borderId="17" xfId="3" applyFont="1" applyFill="1" applyBorder="1" applyAlignment="1" applyProtection="1">
      <alignment horizontal="center" vertical="top" wrapText="1"/>
      <protection locked="0"/>
    </xf>
    <xf numFmtId="0" fontId="27" fillId="13" borderId="21" xfId="3" applyFont="1" applyFill="1" applyBorder="1" applyAlignment="1" applyProtection="1">
      <alignment horizontal="center" vertical="top" wrapText="1"/>
      <protection locked="0"/>
    </xf>
    <xf numFmtId="167" fontId="27" fillId="13" borderId="21" xfId="3" applyNumberFormat="1" applyFont="1" applyFill="1" applyBorder="1" applyAlignment="1" applyProtection="1">
      <alignment horizontal="center" vertical="top" wrapText="1"/>
      <protection locked="0"/>
    </xf>
    <xf numFmtId="2" fontId="27" fillId="13" borderId="21" xfId="3" applyNumberFormat="1" applyFont="1" applyFill="1" applyBorder="1" applyAlignment="1" applyProtection="1">
      <alignment horizontal="center" vertical="top" wrapText="1"/>
    </xf>
    <xf numFmtId="173" fontId="27" fillId="13" borderId="21" xfId="3" applyNumberFormat="1" applyFont="1" applyFill="1" applyBorder="1" applyAlignment="1" applyProtection="1">
      <alignment horizontal="center" vertical="top" wrapText="1"/>
    </xf>
    <xf numFmtId="1" fontId="27" fillId="13" borderId="0" xfId="3" applyNumberFormat="1" applyFont="1" applyFill="1" applyBorder="1" applyAlignment="1" applyProtection="1">
      <alignment horizontal="center" vertical="top" wrapText="1"/>
    </xf>
    <xf numFmtId="0" fontId="49" fillId="13" borderId="17" xfId="3" applyFont="1" applyFill="1" applyBorder="1" applyAlignment="1" applyProtection="1">
      <alignment horizontal="center" vertical="top" wrapText="1"/>
      <protection locked="0"/>
    </xf>
    <xf numFmtId="0" fontId="17" fillId="13" borderId="21" xfId="3" applyFont="1" applyFill="1" applyBorder="1" applyAlignment="1" applyProtection="1">
      <alignment horizontal="center" vertical="top" wrapText="1"/>
      <protection locked="0"/>
    </xf>
    <xf numFmtId="167" fontId="27" fillId="13" borderId="21" xfId="3" quotePrefix="1" applyNumberFormat="1" applyFont="1" applyFill="1" applyBorder="1" applyAlignment="1" applyProtection="1">
      <alignment horizontal="center" vertical="top" wrapText="1"/>
      <protection locked="0"/>
    </xf>
    <xf numFmtId="0" fontId="17" fillId="13" borderId="21" xfId="3" applyFont="1" applyFill="1" applyBorder="1" applyAlignment="1" applyProtection="1">
      <alignment vertical="top" wrapText="1"/>
      <protection locked="0"/>
    </xf>
    <xf numFmtId="0" fontId="50" fillId="13" borderId="18" xfId="3" applyFont="1" applyFill="1" applyBorder="1" applyAlignment="1" applyProtection="1">
      <alignment vertical="top" wrapText="1"/>
      <protection locked="0"/>
    </xf>
    <xf numFmtId="0" fontId="17" fillId="13" borderId="22" xfId="3" applyFont="1" applyFill="1" applyBorder="1" applyAlignment="1" applyProtection="1">
      <alignment horizontal="center" vertical="top" wrapText="1"/>
      <protection locked="0"/>
    </xf>
    <xf numFmtId="167" fontId="17" fillId="13" borderId="22" xfId="3" applyNumberFormat="1" applyFont="1" applyFill="1" applyBorder="1" applyAlignment="1" applyProtection="1">
      <alignment vertical="top" wrapText="1"/>
      <protection locked="0"/>
    </xf>
    <xf numFmtId="167" fontId="17" fillId="13" borderId="22" xfId="3" applyNumberFormat="1" applyFont="1" applyFill="1" applyBorder="1" applyAlignment="1" applyProtection="1">
      <alignment horizontal="center" vertical="top" wrapText="1"/>
      <protection locked="0"/>
    </xf>
    <xf numFmtId="2" fontId="27" fillId="13" borderId="18" xfId="3" applyNumberFormat="1" applyFont="1" applyFill="1" applyBorder="1" applyAlignment="1" applyProtection="1">
      <alignment horizontal="center" vertical="top" wrapText="1"/>
    </xf>
    <xf numFmtId="173" fontId="27" fillId="13" borderId="18" xfId="3" applyNumberFormat="1" applyFont="1" applyFill="1" applyBorder="1" applyAlignment="1" applyProtection="1">
      <alignment horizontal="center" vertical="top" wrapText="1"/>
    </xf>
    <xf numFmtId="0" fontId="17" fillId="13" borderId="22" xfId="3" applyFont="1" applyFill="1" applyBorder="1" applyAlignment="1" applyProtection="1">
      <alignment vertical="top" wrapText="1"/>
      <protection locked="0"/>
    </xf>
    <xf numFmtId="1" fontId="27" fillId="13" borderId="27" xfId="3" applyNumberFormat="1" applyFont="1" applyFill="1" applyBorder="1" applyAlignment="1" applyProtection="1">
      <alignment horizontal="center" vertical="top" wrapText="1"/>
    </xf>
    <xf numFmtId="1" fontId="27" fillId="13" borderId="29" xfId="3" applyNumberFormat="1" applyFont="1" applyFill="1" applyBorder="1" applyAlignment="1" applyProtection="1">
      <alignment horizontal="center" vertical="top" wrapText="1"/>
    </xf>
    <xf numFmtId="1" fontId="27" fillId="13" borderId="26" xfId="3" applyNumberFormat="1" applyFont="1" applyFill="1" applyBorder="1" applyAlignment="1" applyProtection="1">
      <alignment horizontal="center" vertical="top" wrapText="1"/>
    </xf>
    <xf numFmtId="1" fontId="27" fillId="13" borderId="20" xfId="3" applyNumberFormat="1" applyFont="1" applyFill="1" applyBorder="1" applyAlignment="1" applyProtection="1">
      <alignment horizontal="center" vertical="top" wrapText="1"/>
    </xf>
    <xf numFmtId="0" fontId="27" fillId="13" borderId="17" xfId="3" quotePrefix="1" applyFont="1" applyFill="1" applyBorder="1" applyAlignment="1" applyProtection="1">
      <alignment horizontal="center" vertical="top" wrapText="1"/>
      <protection locked="0"/>
    </xf>
    <xf numFmtId="0" fontId="5" fillId="0" borderId="5" xfId="0" applyFont="1" applyBorder="1" applyAlignment="1">
      <alignment horizontal="justify" vertical="center"/>
    </xf>
    <xf numFmtId="0" fontId="10" fillId="14" borderId="4" xfId="0" applyFont="1" applyFill="1" applyBorder="1" applyAlignment="1">
      <alignment horizontal="center" vertical="center" wrapText="1"/>
    </xf>
    <xf numFmtId="0" fontId="10" fillId="14" borderId="31" xfId="0" applyFont="1" applyFill="1" applyBorder="1" applyAlignment="1">
      <alignment horizontal="center" vertical="center" wrapText="1"/>
    </xf>
    <xf numFmtId="0" fontId="0" fillId="14" borderId="5" xfId="0" applyFill="1" applyBorder="1" applyAlignment="1">
      <alignment horizontal="center" vertical="center" wrapText="1"/>
    </xf>
    <xf numFmtId="0" fontId="10" fillId="14" borderId="5" xfId="0" applyFont="1" applyFill="1" applyBorder="1" applyAlignment="1">
      <alignment horizontal="center" vertical="center" wrapText="1"/>
    </xf>
    <xf numFmtId="0" fontId="5" fillId="0" borderId="5" xfId="0" applyFont="1" applyBorder="1" applyAlignment="1">
      <alignment horizontal="left" vertical="center"/>
    </xf>
    <xf numFmtId="0" fontId="17" fillId="0" borderId="0" xfId="2"/>
    <xf numFmtId="0" fontId="19" fillId="0" borderId="8" xfId="2" applyFont="1" applyFill="1" applyBorder="1" applyAlignment="1">
      <alignment horizontal="center" wrapText="1"/>
    </xf>
    <xf numFmtId="167" fontId="19" fillId="0" borderId="8" xfId="2" applyNumberFormat="1" applyFont="1" applyFill="1" applyBorder="1" applyAlignment="1">
      <alignment horizontal="center" wrapText="1"/>
    </xf>
    <xf numFmtId="0" fontId="21" fillId="4" borderId="8" xfId="2" applyFont="1" applyFill="1" applyBorder="1" applyAlignment="1">
      <alignment horizontal="center" vertical="center" wrapText="1"/>
    </xf>
    <xf numFmtId="0" fontId="19" fillId="4" borderId="8" xfId="2" applyFont="1" applyFill="1" applyBorder="1" applyAlignment="1">
      <alignment horizontal="center" wrapText="1"/>
    </xf>
    <xf numFmtId="1" fontId="19" fillId="0" borderId="8" xfId="2" applyNumberFormat="1" applyFont="1" applyFill="1" applyBorder="1" applyAlignment="1">
      <alignment horizontal="center" wrapText="1"/>
    </xf>
    <xf numFmtId="0" fontId="26" fillId="0" borderId="8" xfId="2" applyFont="1" applyFill="1" applyBorder="1" applyAlignment="1">
      <alignment horizontal="center" wrapText="1"/>
    </xf>
    <xf numFmtId="1" fontId="26" fillId="0" borderId="33" xfId="2" applyNumberFormat="1" applyFont="1" applyFill="1" applyBorder="1" applyAlignment="1">
      <alignment horizontal="center" wrapText="1"/>
    </xf>
    <xf numFmtId="1" fontId="19" fillId="0" borderId="33" xfId="2" applyNumberFormat="1" applyFont="1" applyFill="1" applyBorder="1" applyAlignment="1">
      <alignment horizontal="center" wrapText="1"/>
    </xf>
    <xf numFmtId="1" fontId="19" fillId="0" borderId="34" xfId="2" applyNumberFormat="1" applyFont="1" applyFill="1" applyBorder="1" applyAlignment="1">
      <alignment horizontal="center" wrapText="1"/>
    </xf>
    <xf numFmtId="1" fontId="26" fillId="0" borderId="8" xfId="2" applyNumberFormat="1" applyFont="1" applyFill="1" applyBorder="1" applyAlignment="1">
      <alignment horizontal="right" wrapText="1"/>
    </xf>
    <xf numFmtId="1" fontId="52" fillId="0" borderId="8" xfId="2" applyNumberFormat="1" applyFont="1" applyFill="1" applyBorder="1" applyAlignment="1">
      <alignment horizontal="right" wrapText="1"/>
    </xf>
    <xf numFmtId="0" fontId="19" fillId="0" borderId="0" xfId="2" applyFont="1" applyAlignment="1">
      <alignment horizontal="justify"/>
    </xf>
    <xf numFmtId="0" fontId="21" fillId="0" borderId="0" xfId="2" applyFont="1" applyAlignment="1">
      <alignment horizontal="justify"/>
    </xf>
    <xf numFmtId="1" fontId="19" fillId="0" borderId="36" xfId="2" applyNumberFormat="1" applyFont="1" applyFill="1" applyBorder="1" applyAlignment="1">
      <alignment horizontal="center" wrapText="1"/>
    </xf>
    <xf numFmtId="167" fontId="19" fillId="0" borderId="36" xfId="2" applyNumberFormat="1" applyFont="1" applyFill="1" applyBorder="1" applyAlignment="1">
      <alignment horizontal="center" wrapText="1"/>
    </xf>
    <xf numFmtId="0" fontId="19" fillId="0" borderId="36" xfId="2" applyFont="1" applyFill="1" applyBorder="1" applyAlignment="1">
      <alignment horizontal="center" wrapText="1"/>
    </xf>
    <xf numFmtId="1" fontId="19" fillId="0" borderId="37" xfId="2" applyNumberFormat="1" applyFont="1" applyFill="1" applyBorder="1" applyAlignment="1">
      <alignment horizontal="center" wrapText="1"/>
    </xf>
    <xf numFmtId="1" fontId="19" fillId="0" borderId="38" xfId="2" applyNumberFormat="1" applyFont="1" applyFill="1" applyBorder="1" applyAlignment="1">
      <alignment horizontal="center" wrapText="1"/>
    </xf>
    <xf numFmtId="0" fontId="17" fillId="0" borderId="0" xfId="2"/>
    <xf numFmtId="0" fontId="21" fillId="7" borderId="19" xfId="2" applyFont="1" applyFill="1" applyBorder="1" applyAlignment="1">
      <alignment horizontal="center" vertical="center" wrapText="1"/>
    </xf>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1" fontId="52" fillId="0" borderId="19" xfId="2" applyNumberFormat="1" applyFont="1" applyFill="1" applyBorder="1" applyAlignment="1">
      <alignment horizontal="right" wrapText="1"/>
    </xf>
    <xf numFmtId="0" fontId="17" fillId="0" borderId="0" xfId="2"/>
    <xf numFmtId="0" fontId="21" fillId="7" borderId="19" xfId="2" applyFont="1" applyFill="1" applyBorder="1" applyAlignment="1">
      <alignment horizontal="center" vertical="center" wrapText="1"/>
    </xf>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0" fontId="56" fillId="7" borderId="18" xfId="2" applyFont="1" applyFill="1" applyBorder="1" applyAlignment="1">
      <alignment horizontal="center" vertical="center" wrapText="1"/>
    </xf>
    <xf numFmtId="0" fontId="19" fillId="0" borderId="39" xfId="2" applyFont="1" applyFill="1" applyBorder="1" applyAlignment="1">
      <alignment horizontal="center" vertical="center" wrapText="1"/>
    </xf>
    <xf numFmtId="0" fontId="19" fillId="0" borderId="28" xfId="2" applyFont="1" applyFill="1" applyBorder="1" applyAlignment="1">
      <alignment horizontal="center" vertical="center" wrapText="1"/>
    </xf>
    <xf numFmtId="1" fontId="59" fillId="0" borderId="28" xfId="2" applyNumberFormat="1" applyFont="1" applyFill="1" applyBorder="1" applyAlignment="1">
      <alignment horizontal="center" vertical="center" wrapText="1"/>
    </xf>
    <xf numFmtId="1" fontId="19" fillId="0" borderId="39" xfId="2" applyNumberFormat="1" applyFont="1" applyFill="1" applyBorder="1" applyAlignment="1">
      <alignment horizontal="center" vertical="center" wrapText="1"/>
    </xf>
    <xf numFmtId="0" fontId="55" fillId="0" borderId="0" xfId="2" applyNumberFormat="1" applyFont="1" applyAlignment="1">
      <alignment vertical="center" wrapText="1"/>
    </xf>
    <xf numFmtId="1" fontId="26" fillId="0" borderId="19" xfId="2" applyNumberFormat="1" applyFont="1" applyFill="1" applyBorder="1" applyAlignment="1">
      <alignment horizontal="center" vertical="center" wrapText="1"/>
    </xf>
    <xf numFmtId="1" fontId="52" fillId="0" borderId="19" xfId="2" applyNumberFormat="1" applyFont="1" applyFill="1" applyBorder="1" applyAlignment="1">
      <alignment horizontal="right" wrapText="1"/>
    </xf>
    <xf numFmtId="1" fontId="54" fillId="0" borderId="19" xfId="2" applyNumberFormat="1" applyFont="1" applyFill="1" applyBorder="1" applyAlignment="1">
      <alignment horizontal="right" wrapText="1"/>
    </xf>
    <xf numFmtId="0" fontId="17" fillId="0" borderId="0" xfId="2"/>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0" fontId="56" fillId="7" borderId="18" xfId="2" applyFont="1" applyFill="1" applyBorder="1" applyAlignment="1">
      <alignment horizontal="center" vertical="center" wrapText="1"/>
    </xf>
    <xf numFmtId="0" fontId="19" fillId="0" borderId="39" xfId="2" applyFont="1" applyFill="1" applyBorder="1" applyAlignment="1">
      <alignment horizontal="center" vertical="center" wrapText="1"/>
    </xf>
    <xf numFmtId="0" fontId="19" fillId="0" borderId="28" xfId="2" applyFont="1" applyFill="1" applyBorder="1" applyAlignment="1">
      <alignment horizontal="center" vertical="center" wrapText="1"/>
    </xf>
    <xf numFmtId="1" fontId="59" fillId="0" borderId="28" xfId="2" applyNumberFormat="1" applyFont="1" applyFill="1" applyBorder="1" applyAlignment="1">
      <alignment horizontal="center" vertical="center" wrapText="1"/>
    </xf>
    <xf numFmtId="1" fontId="19" fillId="0" borderId="39" xfId="2" applyNumberFormat="1" applyFont="1" applyFill="1" applyBorder="1" applyAlignment="1">
      <alignment horizontal="center" vertical="center" wrapText="1"/>
    </xf>
    <xf numFmtId="1" fontId="19" fillId="0" borderId="23" xfId="2" applyNumberFormat="1" applyFont="1" applyFill="1" applyBorder="1" applyAlignment="1">
      <alignment horizontal="center" vertical="center" wrapText="1"/>
    </xf>
    <xf numFmtId="1" fontId="19" fillId="0" borderId="18" xfId="2" applyNumberFormat="1" applyFont="1" applyFill="1" applyBorder="1" applyAlignment="1">
      <alignment horizontal="center" vertical="center" wrapText="1"/>
    </xf>
    <xf numFmtId="0" fontId="17" fillId="0" borderId="0" xfId="2" applyNumberFormat="1"/>
    <xf numFmtId="1" fontId="26" fillId="0" borderId="19" xfId="2" applyNumberFormat="1" applyFont="1" applyFill="1" applyBorder="1" applyAlignment="1">
      <alignment horizontal="center" vertical="center" wrapText="1"/>
    </xf>
    <xf numFmtId="1" fontId="52" fillId="0" borderId="39" xfId="2" applyNumberFormat="1" applyFont="1" applyFill="1" applyBorder="1" applyAlignment="1">
      <alignment horizontal="right" wrapText="1"/>
    </xf>
    <xf numFmtId="1" fontId="54" fillId="0" borderId="19" xfId="2" applyNumberFormat="1" applyFont="1" applyFill="1" applyBorder="1" applyAlignment="1">
      <alignment horizontal="right" wrapText="1"/>
    </xf>
    <xf numFmtId="16" fontId="19" fillId="0" borderId="19" xfId="2" quotePrefix="1" applyNumberFormat="1" applyFont="1" applyFill="1" applyBorder="1" applyAlignment="1">
      <alignment horizontal="center" vertical="center" wrapText="1"/>
    </xf>
    <xf numFmtId="0" fontId="19" fillId="0" borderId="19" xfId="2" quotePrefix="1" applyFont="1" applyFill="1" applyBorder="1" applyAlignment="1">
      <alignment horizontal="center" vertical="center" wrapText="1"/>
    </xf>
    <xf numFmtId="0" fontId="17" fillId="0" borderId="0" xfId="2" quotePrefix="1"/>
    <xf numFmtId="0" fontId="5" fillId="0" borderId="19" xfId="0" applyFont="1" applyBorder="1" applyAlignment="1">
      <alignment horizontal="center" vertical="center"/>
    </xf>
    <xf numFmtId="0" fontId="5" fillId="0" borderId="19" xfId="0" applyFont="1" applyBorder="1" applyAlignment="1">
      <alignment horizontal="justify" vertical="center"/>
    </xf>
    <xf numFmtId="0" fontId="10" fillId="16" borderId="19" xfId="0" applyFont="1" applyFill="1" applyBorder="1" applyAlignment="1">
      <alignment horizontal="center" vertical="center" wrapText="1"/>
    </xf>
    <xf numFmtId="0" fontId="10" fillId="16" borderId="19" xfId="0" applyFont="1" applyFill="1" applyBorder="1" applyAlignment="1">
      <alignment horizontal="center" vertical="center"/>
    </xf>
    <xf numFmtId="1" fontId="5" fillId="0" borderId="0" xfId="0" applyNumberFormat="1" applyFont="1"/>
    <xf numFmtId="168" fontId="5" fillId="0" borderId="0" xfId="0" applyNumberFormat="1" applyFont="1"/>
    <xf numFmtId="0" fontId="25" fillId="13" borderId="0" xfId="0" applyFont="1" applyFill="1"/>
    <xf numFmtId="0" fontId="68" fillId="13" borderId="0" xfId="0" applyFont="1" applyFill="1"/>
    <xf numFmtId="0" fontId="69" fillId="13" borderId="0" xfId="0" applyFont="1" applyFill="1" applyAlignment="1">
      <alignment horizontal="left"/>
    </xf>
    <xf numFmtId="0" fontId="66" fillId="13" borderId="19" xfId="7" applyFont="1" applyFill="1" applyBorder="1" applyAlignment="1">
      <alignment horizontal="center"/>
    </xf>
    <xf numFmtId="0" fontId="66" fillId="13" borderId="48" xfId="7" applyFont="1" applyFill="1" applyBorder="1" applyAlignment="1">
      <alignment horizontal="center"/>
    </xf>
    <xf numFmtId="0" fontId="66" fillId="13" borderId="0" xfId="0" quotePrefix="1" applyFont="1" applyFill="1" applyAlignment="1">
      <alignment horizontal="left"/>
    </xf>
    <xf numFmtId="0" fontId="66" fillId="13" borderId="52" xfId="7" applyFont="1" applyFill="1" applyBorder="1" applyAlignment="1">
      <alignment horizontal="center"/>
    </xf>
    <xf numFmtId="0" fontId="66" fillId="13" borderId="53" xfId="7" applyFont="1" applyFill="1" applyBorder="1" applyAlignment="1">
      <alignment horizontal="center"/>
    </xf>
    <xf numFmtId="0" fontId="69" fillId="13" borderId="0" xfId="0" applyFont="1" applyFill="1" applyAlignment="1">
      <alignment horizontal="center"/>
    </xf>
    <xf numFmtId="0" fontId="70" fillId="13" borderId="0" xfId="0" applyFont="1" applyFill="1" applyAlignment="1">
      <alignment horizontal="right"/>
    </xf>
    <xf numFmtId="0" fontId="66" fillId="13" borderId="0" xfId="0" applyFont="1" applyFill="1"/>
    <xf numFmtId="0" fontId="66" fillId="13" borderId="0" xfId="0" applyFont="1" applyFill="1" applyAlignment="1">
      <alignment horizontal="right"/>
    </xf>
    <xf numFmtId="4" fontId="25" fillId="13" borderId="0" xfId="0" applyNumberFormat="1" applyFont="1" applyFill="1" applyAlignment="1">
      <alignment horizontal="center"/>
    </xf>
    <xf numFmtId="0" fontId="66" fillId="13" borderId="0" xfId="0" applyFont="1" applyFill="1" applyAlignment="1">
      <alignment horizontal="center"/>
    </xf>
    <xf numFmtId="0" fontId="68" fillId="17" borderId="0" xfId="0" applyFont="1" applyFill="1"/>
    <xf numFmtId="0" fontId="25" fillId="17" borderId="0" xfId="0" applyFont="1" applyFill="1"/>
    <xf numFmtId="0" fontId="69" fillId="17" borderId="0" xfId="0" applyFont="1" applyFill="1" applyAlignment="1">
      <alignment horizontal="left"/>
    </xf>
    <xf numFmtId="0" fontId="69" fillId="17" borderId="0" xfId="0" applyFont="1" applyFill="1" applyAlignment="1">
      <alignment horizontal="center"/>
    </xf>
    <xf numFmtId="0" fontId="66" fillId="17" borderId="0" xfId="0" quotePrefix="1" applyFont="1" applyFill="1" applyAlignment="1">
      <alignment horizontal="left"/>
    </xf>
    <xf numFmtId="0" fontId="70" fillId="3" borderId="0" xfId="0" applyFont="1" applyFill="1" applyAlignment="1">
      <alignment horizontal="right"/>
    </xf>
    <xf numFmtId="0" fontId="66" fillId="17" borderId="0" xfId="0" applyFont="1" applyFill="1"/>
    <xf numFmtId="0" fontId="66" fillId="17" borderId="0" xfId="0" applyFont="1" applyFill="1" applyAlignment="1">
      <alignment horizontal="right"/>
    </xf>
    <xf numFmtId="4" fontId="25" fillId="17" borderId="0" xfId="0" applyNumberFormat="1" applyFont="1" applyFill="1" applyAlignment="1">
      <alignment horizontal="center"/>
    </xf>
    <xf numFmtId="0" fontId="66" fillId="17" borderId="0" xfId="0" applyFont="1" applyFill="1" applyAlignment="1">
      <alignment horizontal="center"/>
    </xf>
    <xf numFmtId="11" fontId="25" fillId="17" borderId="0" xfId="0" applyNumberFormat="1" applyFont="1" applyFill="1" applyAlignment="1">
      <alignment horizontal="center"/>
    </xf>
    <xf numFmtId="3" fontId="25" fillId="17" borderId="0" xfId="0" applyNumberFormat="1" applyFont="1" applyFill="1" applyAlignment="1">
      <alignment horizontal="center"/>
    </xf>
    <xf numFmtId="0" fontId="65" fillId="17" borderId="0" xfId="0" applyFont="1" applyFill="1"/>
    <xf numFmtId="167" fontId="25" fillId="17" borderId="0" xfId="0" applyNumberFormat="1" applyFont="1" applyFill="1" applyAlignment="1">
      <alignment horizontal="right"/>
    </xf>
    <xf numFmtId="4" fontId="12" fillId="17" borderId="0" xfId="0" applyNumberFormat="1" applyFont="1" applyFill="1" applyAlignment="1">
      <alignment horizontal="center"/>
    </xf>
    <xf numFmtId="0" fontId="25" fillId="17" borderId="0" xfId="0" applyFont="1" applyFill="1" applyAlignment="1">
      <alignment vertical="top"/>
    </xf>
    <xf numFmtId="0" fontId="25" fillId="17" borderId="0" xfId="0" applyFont="1" applyFill="1" applyAlignment="1">
      <alignment vertical="top" wrapText="1"/>
    </xf>
    <xf numFmtId="0" fontId="25" fillId="17" borderId="0" xfId="0" applyFont="1" applyFill="1" applyAlignment="1">
      <alignment horizontal="right" vertical="center"/>
    </xf>
    <xf numFmtId="168" fontId="25" fillId="17" borderId="0" xfId="0" applyNumberFormat="1" applyFont="1" applyFill="1" applyAlignment="1">
      <alignment horizontal="center" vertical="center"/>
    </xf>
    <xf numFmtId="0" fontId="65" fillId="0" borderId="0" xfId="0" applyFont="1" applyFill="1" applyAlignment="1">
      <alignment horizontal="left"/>
    </xf>
    <xf numFmtId="0" fontId="66" fillId="17" borderId="0" xfId="0" quotePrefix="1" applyFont="1" applyFill="1" applyAlignment="1">
      <alignment horizontal="right"/>
    </xf>
    <xf numFmtId="0" fontId="66" fillId="17" borderId="0" xfId="0" quotePrefix="1" applyFont="1" applyFill="1" applyAlignment="1">
      <alignment horizontal="center"/>
    </xf>
    <xf numFmtId="43" fontId="7" fillId="13" borderId="19" xfId="1" applyFont="1" applyFill="1" applyBorder="1" applyAlignment="1">
      <alignment horizontal="center" vertical="center" wrapText="1"/>
    </xf>
    <xf numFmtId="0" fontId="7" fillId="13" borderId="19" xfId="0" applyFont="1" applyFill="1" applyBorder="1" applyAlignment="1">
      <alignment horizontal="center" vertical="center" wrapText="1"/>
    </xf>
    <xf numFmtId="0" fontId="10" fillId="13" borderId="19" xfId="0" applyFont="1" applyFill="1" applyBorder="1" applyAlignment="1">
      <alignment horizontal="justify" vertical="center" wrapText="1"/>
    </xf>
    <xf numFmtId="0" fontId="5" fillId="13" borderId="19" xfId="0" applyFont="1" applyFill="1" applyBorder="1" applyAlignment="1">
      <alignment horizontal="center" vertical="center" wrapText="1"/>
    </xf>
    <xf numFmtId="43" fontId="5" fillId="13" borderId="19" xfId="1" applyFont="1" applyFill="1" applyBorder="1" applyAlignment="1">
      <alignment horizontal="center" vertical="center" wrapText="1"/>
    </xf>
    <xf numFmtId="164" fontId="5" fillId="13" borderId="19" xfId="0" applyNumberFormat="1" applyFont="1" applyFill="1" applyBorder="1" applyAlignment="1">
      <alignment horizontal="center" vertical="center" wrapText="1"/>
    </xf>
    <xf numFmtId="0" fontId="12" fillId="13" borderId="19" xfId="0" applyFont="1" applyFill="1" applyBorder="1" applyAlignment="1">
      <alignment horizontal="center" vertical="center" wrapText="1"/>
    </xf>
    <xf numFmtId="0" fontId="10" fillId="13" borderId="19" xfId="0" applyFont="1" applyFill="1" applyBorder="1" applyAlignment="1">
      <alignment horizontal="center" vertical="center" wrapText="1"/>
    </xf>
    <xf numFmtId="0" fontId="6" fillId="13" borderId="19" xfId="0" applyFont="1" applyFill="1" applyBorder="1" applyAlignment="1">
      <alignment horizontal="center" vertical="center" wrapText="1"/>
    </xf>
    <xf numFmtId="0" fontId="15" fillId="13" borderId="19" xfId="0" applyFont="1" applyFill="1" applyBorder="1" applyAlignment="1">
      <alignment horizontal="center" vertical="center" wrapText="1"/>
    </xf>
    <xf numFmtId="0" fontId="7" fillId="13" borderId="19" xfId="0" applyFont="1" applyFill="1" applyBorder="1" applyAlignment="1">
      <alignment horizontal="center" vertical="center"/>
    </xf>
    <xf numFmtId="0" fontId="5" fillId="13" borderId="19" xfId="0" applyFont="1" applyFill="1" applyBorder="1" applyAlignment="1">
      <alignment horizontal="center" vertical="center"/>
    </xf>
    <xf numFmtId="166" fontId="5" fillId="13" borderId="19" xfId="1" applyNumberFormat="1" applyFont="1" applyFill="1" applyBorder="1" applyAlignment="1">
      <alignment horizontal="center" vertical="center"/>
    </xf>
    <xf numFmtId="0" fontId="0" fillId="0" borderId="0" xfId="0" applyAlignment="1">
      <alignment horizontal="center"/>
    </xf>
    <xf numFmtId="0" fontId="0" fillId="0" borderId="19" xfId="0" applyBorder="1"/>
    <xf numFmtId="0" fontId="73" fillId="0" borderId="0" xfId="0" applyFont="1" applyAlignment="1">
      <alignment horizontal="center" vertical="center"/>
    </xf>
    <xf numFmtId="0" fontId="74" fillId="0" borderId="0" xfId="0" applyFont="1" applyAlignment="1">
      <alignment horizontal="center" vertical="center"/>
    </xf>
    <xf numFmtId="0" fontId="74" fillId="0" borderId="0" xfId="0" applyFont="1" applyAlignment="1">
      <alignment horizontal="left" vertical="center"/>
    </xf>
    <xf numFmtId="178" fontId="74" fillId="0" borderId="0" xfId="0" applyNumberFormat="1" applyFont="1" applyAlignment="1">
      <alignment horizontal="center" vertical="center"/>
    </xf>
    <xf numFmtId="0" fontId="74" fillId="0" borderId="19" xfId="0" applyFont="1" applyBorder="1" applyAlignment="1">
      <alignment horizontal="center" vertical="center"/>
    </xf>
    <xf numFmtId="0" fontId="75" fillId="0" borderId="19" xfId="0" applyFont="1" applyBorder="1" applyAlignment="1">
      <alignment horizontal="center" vertical="center"/>
    </xf>
    <xf numFmtId="0" fontId="76" fillId="0" borderId="19" xfId="0" applyFont="1" applyBorder="1" applyAlignment="1">
      <alignment horizontal="center" vertical="center"/>
    </xf>
    <xf numFmtId="0" fontId="77" fillId="0" borderId="19" xfId="0" applyFont="1" applyBorder="1" applyAlignment="1">
      <alignment horizontal="center" vertical="center"/>
    </xf>
    <xf numFmtId="0" fontId="77" fillId="0" borderId="0" xfId="0" applyFont="1" applyAlignment="1">
      <alignment horizontal="center" vertical="center"/>
    </xf>
    <xf numFmtId="0" fontId="0" fillId="0" borderId="0" xfId="0" applyAlignment="1">
      <alignment horizontal="center" vertical="center"/>
    </xf>
    <xf numFmtId="2" fontId="75" fillId="0" borderId="72" xfId="0" applyNumberFormat="1" applyFont="1" applyBorder="1" applyAlignment="1">
      <alignment horizontal="center" vertical="center"/>
    </xf>
    <xf numFmtId="173" fontId="75" fillId="0" borderId="72" xfId="0" applyNumberFormat="1" applyFont="1" applyBorder="1" applyAlignment="1">
      <alignment horizontal="center" vertical="center"/>
    </xf>
    <xf numFmtId="0" fontId="75" fillId="0" borderId="0" xfId="0" applyFont="1" applyAlignment="1">
      <alignment horizontal="center" vertical="center"/>
    </xf>
    <xf numFmtId="2" fontId="74" fillId="0" borderId="73" xfId="0" applyNumberFormat="1" applyFont="1" applyBorder="1" applyAlignment="1">
      <alignment horizontal="center" vertical="center"/>
    </xf>
    <xf numFmtId="173" fontId="74" fillId="0" borderId="73" xfId="0" applyNumberFormat="1" applyFont="1" applyBorder="1" applyAlignment="1">
      <alignment horizontal="center" vertical="center"/>
    </xf>
    <xf numFmtId="173" fontId="74" fillId="0" borderId="0" xfId="0" applyNumberFormat="1" applyFont="1" applyAlignment="1">
      <alignment horizontal="center" vertical="center"/>
    </xf>
    <xf numFmtId="2" fontId="74" fillId="0" borderId="74" xfId="0" applyNumberFormat="1" applyFont="1" applyBorder="1" applyAlignment="1">
      <alignment horizontal="center" vertical="center"/>
    </xf>
    <xf numFmtId="173" fontId="74" fillId="0" borderId="74" xfId="0" applyNumberFormat="1" applyFont="1" applyBorder="1" applyAlignment="1">
      <alignment horizontal="center" vertical="center"/>
    </xf>
    <xf numFmtId="2" fontId="74" fillId="0" borderId="0" xfId="0" applyNumberFormat="1" applyFont="1" applyAlignment="1">
      <alignment horizontal="center" vertical="center"/>
    </xf>
    <xf numFmtId="0" fontId="80" fillId="0" borderId="0" xfId="0" applyFont="1"/>
    <xf numFmtId="0" fontId="80" fillId="0" borderId="19" xfId="0" applyFont="1" applyBorder="1" applyAlignment="1">
      <alignment horizontal="center" vertical="center"/>
    </xf>
    <xf numFmtId="0" fontId="80" fillId="0" borderId="19" xfId="0" quotePrefix="1" applyFont="1" applyBorder="1" applyAlignment="1">
      <alignment horizontal="center" vertical="center"/>
    </xf>
    <xf numFmtId="0" fontId="85" fillId="0" borderId="0" xfId="0" applyFont="1" applyAlignment="1">
      <alignment horizontal="center"/>
    </xf>
    <xf numFmtId="0" fontId="89" fillId="0" borderId="0" xfId="0" applyFont="1"/>
    <xf numFmtId="0" fontId="88" fillId="0" borderId="0" xfId="0" applyFont="1"/>
    <xf numFmtId="0" fontId="90" fillId="0" borderId="0" xfId="0" applyFont="1" applyAlignment="1">
      <alignment horizontal="center" vertical="center"/>
    </xf>
    <xf numFmtId="0" fontId="72" fillId="0" borderId="0" xfId="0" applyFont="1" applyAlignment="1">
      <alignment horizontal="center" vertical="center"/>
    </xf>
    <xf numFmtId="0" fontId="86" fillId="0" borderId="19" xfId="0" applyFont="1" applyBorder="1" applyAlignment="1">
      <alignment horizontal="center" vertical="center"/>
    </xf>
    <xf numFmtId="0" fontId="72" fillId="0" borderId="19" xfId="0" applyFont="1" applyBorder="1" applyAlignment="1">
      <alignment horizontal="center" vertical="center"/>
    </xf>
    <xf numFmtId="0" fontId="91" fillId="0" borderId="24" xfId="0" applyFont="1" applyBorder="1" applyAlignment="1">
      <alignment horizontal="center"/>
    </xf>
    <xf numFmtId="0" fontId="86" fillId="0" borderId="0" xfId="0" applyFont="1"/>
    <xf numFmtId="0" fontId="71" fillId="0" borderId="0" xfId="0" applyFont="1" applyAlignment="1">
      <alignment horizontal="center"/>
    </xf>
    <xf numFmtId="0" fontId="92" fillId="0" borderId="0" xfId="0" applyFont="1" applyAlignment="1">
      <alignment horizontal="center"/>
    </xf>
    <xf numFmtId="0" fontId="93" fillId="0" borderId="77" xfId="0" applyFont="1" applyBorder="1" applyAlignment="1">
      <alignment horizontal="center" vertical="center"/>
    </xf>
    <xf numFmtId="0" fontId="86" fillId="0" borderId="52" xfId="0" applyFont="1" applyBorder="1" applyAlignment="1">
      <alignment horizontal="center" vertical="center"/>
    </xf>
    <xf numFmtId="0" fontId="86" fillId="0" borderId="0" xfId="0" applyFont="1" applyAlignment="1">
      <alignment horizontal="center" vertical="center"/>
    </xf>
    <xf numFmtId="0" fontId="71" fillId="0" borderId="0" xfId="0" applyFont="1"/>
    <xf numFmtId="0" fontId="86" fillId="0" borderId="0" xfId="0" applyFont="1" applyAlignment="1">
      <alignment vertical="center"/>
    </xf>
    <xf numFmtId="0" fontId="72" fillId="0" borderId="0" xfId="0" quotePrefix="1" applyFont="1" applyAlignment="1">
      <alignment horizontal="center"/>
    </xf>
    <xf numFmtId="0" fontId="86" fillId="0" borderId="21" xfId="0" applyFont="1" applyBorder="1" applyAlignment="1">
      <alignment vertical="center"/>
    </xf>
    <xf numFmtId="0" fontId="72" fillId="0" borderId="0" xfId="0" quotePrefix="1" applyFont="1"/>
    <xf numFmtId="0" fontId="72" fillId="0" borderId="0" xfId="0" applyFont="1" applyAlignment="1">
      <alignment horizontal="center"/>
    </xf>
    <xf numFmtId="0" fontId="86" fillId="0" borderId="0" xfId="0" applyFont="1" applyAlignment="1">
      <alignment horizontal="center"/>
    </xf>
    <xf numFmtId="168" fontId="26" fillId="13" borderId="19" xfId="3" applyNumberFormat="1" applyFont="1" applyFill="1" applyBorder="1" applyAlignment="1" applyProtection="1">
      <alignment horizontal="center"/>
      <protection hidden="1"/>
    </xf>
    <xf numFmtId="169" fontId="19" fillId="0" borderId="8" xfId="1" applyNumberFormat="1" applyFont="1" applyFill="1" applyBorder="1" applyAlignment="1">
      <alignment horizontal="center" wrapText="1"/>
    </xf>
    <xf numFmtId="168" fontId="24" fillId="0" borderId="8" xfId="2" applyNumberFormat="1" applyFont="1" applyFill="1" applyBorder="1" applyAlignment="1">
      <alignment horizontal="right" wrapText="1"/>
    </xf>
    <xf numFmtId="168" fontId="24" fillId="0" borderId="8" xfId="2" applyNumberFormat="1" applyFont="1" applyFill="1" applyBorder="1" applyAlignment="1">
      <alignment horizontal="right"/>
    </xf>
    <xf numFmtId="0" fontId="94" fillId="0" borderId="0" xfId="0" applyFont="1"/>
    <xf numFmtId="0" fontId="94" fillId="0" borderId="0" xfId="0" quotePrefix="1" applyFont="1"/>
    <xf numFmtId="0" fontId="94" fillId="0" borderId="0" xfId="0" applyFont="1" applyAlignment="1">
      <alignment horizontal="center" vertical="center"/>
    </xf>
    <xf numFmtId="0" fontId="94" fillId="0" borderId="19" xfId="0" applyFont="1" applyBorder="1" applyAlignment="1">
      <alignment horizontal="center" vertical="center"/>
    </xf>
    <xf numFmtId="0" fontId="94" fillId="0" borderId="0" xfId="0" applyFont="1" applyAlignment="1">
      <alignment horizontal="center"/>
    </xf>
    <xf numFmtId="0" fontId="94" fillId="0" borderId="75" xfId="0" applyFont="1" applyBorder="1" applyAlignment="1">
      <alignment horizontal="center" vertical="center"/>
    </xf>
    <xf numFmtId="0" fontId="94" fillId="0" borderId="66" xfId="0" applyFont="1" applyBorder="1" applyAlignment="1">
      <alignment horizontal="center" vertical="center"/>
    </xf>
    <xf numFmtId="0" fontId="94" fillId="0" borderId="76" xfId="0" applyFont="1" applyBorder="1" applyAlignment="1">
      <alignment horizontal="center" vertical="center"/>
    </xf>
    <xf numFmtId="0" fontId="94" fillId="0" borderId="67" xfId="0" applyFont="1" applyBorder="1" applyAlignment="1">
      <alignment horizontal="center" vertical="center"/>
    </xf>
    <xf numFmtId="0" fontId="94" fillId="0" borderId="48" xfId="0" applyFont="1" applyBorder="1" applyAlignment="1">
      <alignment horizontal="center" vertical="center"/>
    </xf>
    <xf numFmtId="0" fontId="94" fillId="0" borderId="53" xfId="0" applyFont="1" applyBorder="1" applyAlignment="1">
      <alignment horizontal="center" vertical="center"/>
    </xf>
    <xf numFmtId="0" fontId="94" fillId="0" borderId="0" xfId="0" applyFont="1" applyAlignment="1">
      <alignment vertical="center"/>
    </xf>
    <xf numFmtId="0" fontId="94" fillId="0" borderId="0" xfId="0" quotePrefix="1" applyFont="1" applyAlignment="1">
      <alignment horizontal="center"/>
    </xf>
    <xf numFmtId="170" fontId="19" fillId="13" borderId="19" xfId="1" applyNumberFormat="1" applyFont="1" applyFill="1" applyBorder="1" applyAlignment="1" applyProtection="1">
      <alignment horizontal="center"/>
      <protection hidden="1"/>
    </xf>
    <xf numFmtId="2" fontId="19" fillId="13" borderId="19" xfId="3" applyNumberFormat="1" applyFont="1" applyFill="1" applyBorder="1" applyAlignment="1" applyProtection="1">
      <alignment horizontal="center"/>
      <protection locked="0"/>
    </xf>
    <xf numFmtId="173" fontId="19" fillId="13" borderId="19" xfId="3" applyNumberFormat="1" applyFont="1" applyFill="1" applyBorder="1" applyAlignment="1" applyProtection="1">
      <alignment horizontal="center" vertical="top" wrapText="1"/>
      <protection hidden="1"/>
    </xf>
    <xf numFmtId="168" fontId="10" fillId="0" borderId="16" xfId="2" applyNumberFormat="1" applyFont="1" applyBorder="1" applyAlignment="1">
      <alignment horizontal="center" vertical="center" wrapText="1"/>
    </xf>
    <xf numFmtId="0" fontId="80" fillId="0" borderId="0" xfId="0" applyFont="1" applyAlignment="1">
      <alignment horizontal="center"/>
    </xf>
    <xf numFmtId="0" fontId="80" fillId="0" borderId="48" xfId="0" applyFont="1" applyBorder="1" applyAlignment="1">
      <alignment horizontal="center" vertical="center"/>
    </xf>
    <xf numFmtId="0" fontId="80" fillId="0" borderId="39" xfId="0" applyFont="1" applyBorder="1" applyAlignment="1">
      <alignment horizontal="center" vertical="center"/>
    </xf>
    <xf numFmtId="0" fontId="80" fillId="0" borderId="48" xfId="0" applyFont="1" applyBorder="1"/>
    <xf numFmtId="0" fontId="80" fillId="0" borderId="39" xfId="0" quotePrefix="1" applyFont="1" applyBorder="1" applyAlignment="1">
      <alignment horizontal="center" vertical="center"/>
    </xf>
    <xf numFmtId="0" fontId="80" fillId="0" borderId="19" xfId="0" quotePrefix="1" applyFont="1" applyBorder="1"/>
    <xf numFmtId="0" fontId="80" fillId="0" borderId="52" xfId="0" applyFont="1" applyBorder="1" applyAlignment="1">
      <alignment horizontal="center" vertical="center"/>
    </xf>
    <xf numFmtId="0" fontId="80" fillId="0" borderId="52" xfId="0" quotePrefix="1" applyFont="1" applyBorder="1" applyAlignment="1">
      <alignment horizontal="center" vertical="center"/>
    </xf>
    <xf numFmtId="0" fontId="80" fillId="0" borderId="23" xfId="0" quotePrefix="1" applyFont="1" applyBorder="1" applyAlignment="1">
      <alignment horizontal="center" vertical="center"/>
    </xf>
    <xf numFmtId="0" fontId="80" fillId="0" borderId="64" xfId="0" quotePrefix="1" applyFont="1" applyBorder="1" applyAlignment="1">
      <alignment horizontal="center" vertical="center"/>
    </xf>
    <xf numFmtId="0" fontId="80" fillId="0" borderId="66" xfId="0" applyFont="1" applyBorder="1" applyAlignment="1">
      <alignment horizontal="center" vertical="center"/>
    </xf>
    <xf numFmtId="0" fontId="80" fillId="0" borderId="48" xfId="0" applyFont="1" applyBorder="1" applyAlignment="1">
      <alignment horizontal="center"/>
    </xf>
    <xf numFmtId="0" fontId="80" fillId="0" borderId="56" xfId="0" applyFont="1" applyBorder="1" applyAlignment="1">
      <alignment horizontal="center" vertical="center"/>
    </xf>
    <xf numFmtId="0" fontId="80" fillId="0" borderId="23" xfId="0" applyFont="1" applyBorder="1" applyAlignment="1">
      <alignment horizontal="center" vertical="center"/>
    </xf>
    <xf numFmtId="0" fontId="80" fillId="0" borderId="19" xfId="0" applyFont="1" applyBorder="1"/>
    <xf numFmtId="0" fontId="80" fillId="0" borderId="24" xfId="0" applyFont="1" applyBorder="1"/>
    <xf numFmtId="0" fontId="80" fillId="0" borderId="31" xfId="0" applyFont="1" applyBorder="1"/>
    <xf numFmtId="0" fontId="82" fillId="0" borderId="0" xfId="0" applyFont="1"/>
    <xf numFmtId="0" fontId="80" fillId="0" borderId="58" xfId="0" applyFont="1" applyBorder="1" applyAlignment="1">
      <alignment horizontal="center" vertical="center"/>
    </xf>
    <xf numFmtId="0" fontId="85" fillId="0" borderId="24" xfId="0" applyFont="1" applyBorder="1" applyAlignment="1">
      <alignment horizontal="center"/>
    </xf>
    <xf numFmtId="0" fontId="96" fillId="0" borderId="24" xfId="0" applyFont="1" applyBorder="1"/>
    <xf numFmtId="0" fontId="96" fillId="0" borderId="24" xfId="0" applyFont="1" applyBorder="1" applyAlignment="1">
      <alignment horizontal="center"/>
    </xf>
    <xf numFmtId="0" fontId="80" fillId="0" borderId="70" xfId="0" applyFont="1" applyBorder="1"/>
    <xf numFmtId="0" fontId="80" fillId="0" borderId="71" xfId="0" applyFont="1" applyBorder="1" applyAlignment="1">
      <alignment horizontal="center" vertical="center"/>
    </xf>
    <xf numFmtId="0" fontId="85" fillId="0" borderId="0" xfId="0" applyFont="1"/>
    <xf numFmtId="0" fontId="97" fillId="0" borderId="0" xfId="0" applyFont="1"/>
    <xf numFmtId="0" fontId="85" fillId="0" borderId="0" xfId="0" applyFont="1" applyAlignment="1">
      <alignment horizontal="center" vertical="center"/>
    </xf>
    <xf numFmtId="0" fontId="80" fillId="0" borderId="42" xfId="0" applyFont="1" applyBorder="1"/>
    <xf numFmtId="1" fontId="85" fillId="0" borderId="41" xfId="0" applyNumberFormat="1" applyFont="1" applyBorder="1" applyAlignment="1">
      <alignment horizontal="center"/>
    </xf>
    <xf numFmtId="0" fontId="85" fillId="0" borderId="41" xfId="0" applyFont="1" applyBorder="1" applyAlignment="1">
      <alignment horizontal="center"/>
    </xf>
    <xf numFmtId="0" fontId="80" fillId="0" borderId="41" xfId="0" applyFont="1" applyBorder="1"/>
    <xf numFmtId="0" fontId="80" fillId="0" borderId="5" xfId="0" applyFont="1" applyBorder="1"/>
    <xf numFmtId="0" fontId="83" fillId="0" borderId="0" xfId="0" applyFont="1" applyAlignment="1">
      <alignment vertical="center"/>
    </xf>
    <xf numFmtId="0" fontId="80" fillId="0" borderId="29" xfId="0" applyFont="1" applyBorder="1"/>
    <xf numFmtId="0" fontId="80" fillId="0" borderId="29" xfId="0" applyFont="1" applyBorder="1" applyAlignment="1">
      <alignment horizontal="center"/>
    </xf>
    <xf numFmtId="0" fontId="80" fillId="0" borderId="19" xfId="0" applyFont="1" applyBorder="1" applyAlignment="1">
      <alignment vertical="center"/>
    </xf>
    <xf numFmtId="0" fontId="80" fillId="0" borderId="19" xfId="0" applyFont="1" applyBorder="1" applyAlignment="1">
      <alignment horizontal="center"/>
    </xf>
    <xf numFmtId="0" fontId="80" fillId="0" borderId="23" xfId="0" applyFont="1" applyBorder="1" applyAlignment="1">
      <alignment vertical="center" wrapText="1"/>
    </xf>
    <xf numFmtId="0" fontId="80" fillId="0" borderId="19" xfId="0" applyFont="1" applyBorder="1" applyAlignment="1">
      <alignment horizontal="left" vertical="center"/>
    </xf>
    <xf numFmtId="0" fontId="80" fillId="0" borderId="27" xfId="0" applyFont="1" applyBorder="1"/>
    <xf numFmtId="0" fontId="80" fillId="0" borderId="25" xfId="0" applyFont="1" applyBorder="1"/>
    <xf numFmtId="0" fontId="80" fillId="0" borderId="21" xfId="0" applyFont="1" applyBorder="1"/>
    <xf numFmtId="0" fontId="80" fillId="0" borderId="26" xfId="0" applyFont="1" applyBorder="1"/>
    <xf numFmtId="0" fontId="80" fillId="0" borderId="20" xfId="0" applyFont="1" applyBorder="1"/>
    <xf numFmtId="0" fontId="80" fillId="0" borderId="22" xfId="0" applyFont="1" applyBorder="1"/>
    <xf numFmtId="0" fontId="84" fillId="0" borderId="19" xfId="0" applyFont="1" applyBorder="1" applyAlignment="1">
      <alignment horizontal="center" vertical="center"/>
    </xf>
    <xf numFmtId="16" fontId="84" fillId="0" borderId="19" xfId="0" applyNumberFormat="1" applyFont="1" applyBorder="1" applyAlignment="1">
      <alignment horizontal="center" vertical="center"/>
    </xf>
    <xf numFmtId="0" fontId="80" fillId="0" borderId="23" xfId="0" applyFont="1" applyBorder="1"/>
    <xf numFmtId="0" fontId="80" fillId="0" borderId="18" xfId="0" applyFont="1" applyBorder="1"/>
    <xf numFmtId="168" fontId="19" fillId="13" borderId="19" xfId="3" applyNumberFormat="1" applyFont="1" applyFill="1" applyBorder="1" applyAlignment="1" applyProtection="1">
      <alignment horizontal="center"/>
      <protection locked="0"/>
    </xf>
    <xf numFmtId="168" fontId="27" fillId="13" borderId="23" xfId="3" applyNumberFormat="1" applyFont="1" applyFill="1" applyBorder="1" applyAlignment="1" applyProtection="1">
      <alignment horizontal="center" vertical="top" wrapText="1"/>
    </xf>
    <xf numFmtId="168" fontId="27" fillId="13" borderId="17" xfId="3" applyNumberFormat="1" applyFont="1" applyFill="1" applyBorder="1" applyAlignment="1" applyProtection="1">
      <alignment horizontal="center" vertical="top" wrapText="1"/>
    </xf>
    <xf numFmtId="168" fontId="27" fillId="13" borderId="18" xfId="3" applyNumberFormat="1" applyFont="1" applyFill="1" applyBorder="1" applyAlignment="1" applyProtection="1">
      <alignment horizontal="center" vertical="top" wrapText="1"/>
    </xf>
    <xf numFmtId="169" fontId="19" fillId="13" borderId="19" xfId="1" applyNumberFormat="1" applyFont="1" applyFill="1" applyBorder="1" applyAlignment="1" applyProtection="1">
      <alignment horizontal="center"/>
      <protection locked="0"/>
    </xf>
    <xf numFmtId="0" fontId="99" fillId="0" borderId="0" xfId="0" applyFont="1"/>
    <xf numFmtId="0" fontId="5" fillId="0" borderId="0" xfId="0" quotePrefix="1" applyFont="1"/>
    <xf numFmtId="0" fontId="67" fillId="0" borderId="0" xfId="0" applyFont="1" applyAlignment="1">
      <alignment horizontal="center" vertical="center"/>
    </xf>
    <xf numFmtId="0" fontId="5" fillId="0" borderId="0" xfId="0" applyFont="1" applyAlignment="1">
      <alignment horizontal="center" vertical="center"/>
    </xf>
    <xf numFmtId="0" fontId="98" fillId="0" borderId="19" xfId="0" applyFont="1" applyBorder="1" applyAlignment="1">
      <alignment horizontal="center" vertical="center"/>
    </xf>
    <xf numFmtId="0" fontId="67" fillId="0" borderId="19" xfId="0" applyFont="1" applyBorder="1" applyAlignment="1">
      <alignment horizontal="center" vertical="center"/>
    </xf>
    <xf numFmtId="0" fontId="5" fillId="0" borderId="0" xfId="0" applyFont="1" applyAlignment="1">
      <alignment horizontal="center"/>
    </xf>
    <xf numFmtId="1" fontId="12" fillId="0" borderId="0" xfId="0" applyNumberFormat="1" applyFont="1"/>
    <xf numFmtId="0" fontId="100" fillId="0" borderId="24" xfId="0" applyFont="1" applyBorder="1" applyAlignment="1">
      <alignment horizontal="center"/>
    </xf>
    <xf numFmtId="179" fontId="5" fillId="0" borderId="0" xfId="0" applyNumberFormat="1" applyFont="1"/>
    <xf numFmtId="0" fontId="98" fillId="0" borderId="0" xfId="0" applyFont="1"/>
    <xf numFmtId="0" fontId="101" fillId="0" borderId="0" xfId="0" applyFont="1" applyAlignment="1">
      <alignment horizontal="center"/>
    </xf>
    <xf numFmtId="0" fontId="100" fillId="0" borderId="0" xfId="0" applyFont="1" applyAlignment="1">
      <alignment horizontal="center"/>
    </xf>
    <xf numFmtId="0" fontId="5" fillId="0" borderId="19" xfId="0" quotePrefix="1" applyFont="1" applyBorder="1" applyAlignment="1">
      <alignment horizontal="center" vertical="center"/>
    </xf>
    <xf numFmtId="180" fontId="98" fillId="0" borderId="19" xfId="1" applyNumberFormat="1" applyFont="1" applyFill="1" applyBorder="1" applyAlignment="1">
      <alignment horizontal="center" vertical="center"/>
    </xf>
    <xf numFmtId="0" fontId="98" fillId="0" borderId="0" xfId="0" applyFont="1" applyAlignment="1">
      <alignment horizontal="center" vertical="center"/>
    </xf>
    <xf numFmtId="181" fontId="98" fillId="0" borderId="0" xfId="1" applyNumberFormat="1" applyFont="1"/>
    <xf numFmtId="0" fontId="101" fillId="0" borderId="0" xfId="0" applyFont="1"/>
    <xf numFmtId="168" fontId="98" fillId="0" borderId="0" xfId="0" applyNumberFormat="1" applyFont="1"/>
    <xf numFmtId="168" fontId="98" fillId="0" borderId="0" xfId="0" applyNumberFormat="1" applyFont="1" applyAlignment="1">
      <alignment vertical="center"/>
    </xf>
    <xf numFmtId="0" fontId="67" fillId="0" borderId="0" xfId="0" quotePrefix="1" applyFont="1" applyAlignment="1">
      <alignment horizontal="center"/>
    </xf>
    <xf numFmtId="0" fontId="98" fillId="0" borderId="21" xfId="0" applyFont="1" applyBorder="1" applyAlignment="1">
      <alignment vertical="center"/>
    </xf>
    <xf numFmtId="0" fontId="98" fillId="0" borderId="0" xfId="0" applyFont="1" applyAlignment="1">
      <alignment vertical="center"/>
    </xf>
    <xf numFmtId="0" fontId="5" fillId="0" borderId="0" xfId="0" applyFont="1" applyAlignment="1">
      <alignment vertical="center"/>
    </xf>
    <xf numFmtId="0" fontId="67" fillId="0" borderId="0" xfId="0" quotePrefix="1" applyFont="1"/>
    <xf numFmtId="0" fontId="66" fillId="0" borderId="0" xfId="0" applyFont="1" applyAlignment="1">
      <alignment horizontal="center"/>
    </xf>
    <xf numFmtId="2" fontId="98" fillId="0" borderId="0" xfId="0" applyNumberFormat="1" applyFont="1"/>
    <xf numFmtId="0" fontId="5" fillId="0" borderId="0" xfId="0" quotePrefix="1" applyFont="1" applyAlignment="1">
      <alignment horizontal="center"/>
    </xf>
    <xf numFmtId="0" fontId="98" fillId="0" borderId="0" xfId="0" applyFont="1" applyAlignment="1">
      <alignment horizontal="center"/>
    </xf>
    <xf numFmtId="1" fontId="98" fillId="0" borderId="0" xfId="0" applyNumberFormat="1" applyFont="1"/>
    <xf numFmtId="0" fontId="21" fillId="13" borderId="19" xfId="3" applyFont="1" applyFill="1" applyBorder="1" applyAlignment="1" applyProtection="1">
      <alignment horizontal="center"/>
      <protection locked="0"/>
    </xf>
    <xf numFmtId="0" fontId="36" fillId="13" borderId="19" xfId="3" applyFont="1" applyFill="1" applyBorder="1" applyAlignment="1" applyProtection="1">
      <alignment horizontal="center"/>
      <protection locked="0"/>
    </xf>
    <xf numFmtId="1" fontId="35" fillId="13" borderId="19" xfId="3" applyNumberFormat="1" applyFont="1" applyFill="1" applyBorder="1" applyAlignment="1" applyProtection="1">
      <alignment horizontal="center"/>
      <protection locked="0"/>
    </xf>
    <xf numFmtId="0" fontId="7" fillId="13" borderId="19" xfId="0" applyFont="1" applyFill="1" applyBorder="1" applyAlignment="1">
      <alignment horizontal="center" vertical="center" wrapText="1"/>
    </xf>
    <xf numFmtId="0" fontId="102" fillId="0" borderId="0" xfId="0" applyFont="1"/>
    <xf numFmtId="43" fontId="102" fillId="0" borderId="0" xfId="1" applyFont="1"/>
    <xf numFmtId="0" fontId="103" fillId="0" borderId="0" xfId="0" applyFont="1"/>
    <xf numFmtId="0" fontId="102" fillId="10" borderId="0" xfId="0" applyFont="1" applyFill="1"/>
    <xf numFmtId="0" fontId="103" fillId="10" borderId="0" xfId="0" applyFont="1" applyFill="1"/>
    <xf numFmtId="0" fontId="103" fillId="0" borderId="0" xfId="0" applyFont="1" applyAlignment="1">
      <alignment horizontal="justify" vertical="center"/>
    </xf>
    <xf numFmtId="167" fontId="102" fillId="0" borderId="0" xfId="0" applyNumberFormat="1" applyFont="1"/>
    <xf numFmtId="168" fontId="102" fillId="0" borderId="0" xfId="0" applyNumberFormat="1" applyFont="1"/>
    <xf numFmtId="173" fontId="102" fillId="0" borderId="0" xfId="0" applyNumberFormat="1" applyFont="1"/>
    <xf numFmtId="2" fontId="102" fillId="0" borderId="0" xfId="0" applyNumberFormat="1" applyFont="1"/>
    <xf numFmtId="1" fontId="102" fillId="0" borderId="0" xfId="0" applyNumberFormat="1" applyFont="1"/>
    <xf numFmtId="43" fontId="102" fillId="0" borderId="0" xfId="0" applyNumberFormat="1" applyFont="1"/>
    <xf numFmtId="170" fontId="102" fillId="0" borderId="0" xfId="1" applyNumberFormat="1" applyFont="1"/>
    <xf numFmtId="170" fontId="102" fillId="0" borderId="0" xfId="0" applyNumberFormat="1" applyFont="1"/>
    <xf numFmtId="169" fontId="102" fillId="0" borderId="0" xfId="1" applyNumberFormat="1" applyFont="1"/>
    <xf numFmtId="164" fontId="102" fillId="0" borderId="0" xfId="0" applyNumberFormat="1" applyFont="1" applyAlignment="1">
      <alignment horizontal="right"/>
    </xf>
    <xf numFmtId="172" fontId="102" fillId="0" borderId="0" xfId="0" applyNumberFormat="1" applyFont="1"/>
    <xf numFmtId="164" fontId="102" fillId="0" borderId="0" xfId="0" applyNumberFormat="1" applyFont="1"/>
    <xf numFmtId="175" fontId="102" fillId="0" borderId="0" xfId="0" applyNumberFormat="1" applyFont="1"/>
    <xf numFmtId="43" fontId="102" fillId="13" borderId="19" xfId="1" applyFont="1" applyFill="1" applyBorder="1" applyAlignment="1" applyProtection="1">
      <alignment horizontal="center"/>
      <protection locked="0"/>
    </xf>
    <xf numFmtId="1" fontId="102" fillId="13" borderId="19" xfId="3" applyNumberFormat="1" applyFont="1" applyFill="1" applyBorder="1" applyAlignment="1" applyProtection="1">
      <alignment horizontal="center"/>
      <protection locked="0"/>
    </xf>
    <xf numFmtId="2" fontId="102" fillId="13" borderId="19" xfId="3" applyNumberFormat="1" applyFont="1" applyFill="1" applyBorder="1" applyAlignment="1" applyProtection="1">
      <alignment horizontal="center"/>
      <protection hidden="1"/>
    </xf>
    <xf numFmtId="176" fontId="102" fillId="0" borderId="0" xfId="1" applyNumberFormat="1" applyFont="1"/>
    <xf numFmtId="43" fontId="103" fillId="0" borderId="0" xfId="1" applyFont="1"/>
    <xf numFmtId="172" fontId="103" fillId="0" borderId="0" xfId="0" applyNumberFormat="1" applyFont="1"/>
    <xf numFmtId="177" fontId="102" fillId="0" borderId="0" xfId="0" applyNumberFormat="1" applyFont="1"/>
    <xf numFmtId="168" fontId="102" fillId="13" borderId="19" xfId="3" applyNumberFormat="1" applyFont="1" applyFill="1" applyBorder="1" applyAlignment="1" applyProtection="1">
      <alignment horizontal="center"/>
      <protection hidden="1"/>
    </xf>
    <xf numFmtId="167" fontId="98" fillId="0" borderId="0" xfId="0" applyNumberFormat="1" applyFont="1"/>
    <xf numFmtId="173" fontId="98" fillId="0" borderId="0" xfId="0" applyNumberFormat="1" applyFont="1"/>
    <xf numFmtId="0" fontId="5" fillId="13" borderId="19" xfId="0" applyFont="1" applyFill="1" applyBorder="1" applyAlignment="1">
      <alignment horizontal="left" vertical="center" wrapText="1"/>
    </xf>
    <xf numFmtId="0" fontId="5" fillId="13" borderId="19" xfId="0" applyFont="1" applyFill="1" applyBorder="1" applyAlignment="1">
      <alignment horizontal="left" vertical="center"/>
    </xf>
    <xf numFmtId="167" fontId="5" fillId="13" borderId="19" xfId="0" applyNumberFormat="1" applyFont="1" applyFill="1" applyBorder="1" applyAlignment="1">
      <alignment horizontal="center" vertical="center"/>
    </xf>
    <xf numFmtId="0" fontId="10" fillId="13" borderId="19" xfId="0" applyFont="1" applyFill="1" applyBorder="1" applyAlignment="1">
      <alignment horizontal="justify" vertical="center"/>
    </xf>
    <xf numFmtId="0" fontId="62" fillId="13" borderId="19" xfId="0" applyFont="1" applyFill="1" applyBorder="1" applyAlignment="1">
      <alignment vertical="center"/>
    </xf>
    <xf numFmtId="0" fontId="5" fillId="13" borderId="19" xfId="0" applyFont="1" applyFill="1" applyBorder="1" applyAlignment="1">
      <alignment horizontal="justify" vertical="center" wrapText="1"/>
    </xf>
    <xf numFmtId="43" fontId="0" fillId="0" borderId="0" xfId="1" applyNumberFormat="1" applyFont="1"/>
    <xf numFmtId="0" fontId="0" fillId="0" borderId="0" xfId="0" applyFill="1" applyAlignment="1">
      <alignment horizontal="center"/>
    </xf>
    <xf numFmtId="0" fontId="0" fillId="0" borderId="0" xfId="0" applyFill="1" applyBorder="1"/>
    <xf numFmtId="43" fontId="0" fillId="0" borderId="0" xfId="1" applyFont="1" applyFill="1"/>
    <xf numFmtId="166" fontId="0" fillId="0" borderId="0" xfId="1" applyNumberFormat="1" applyFont="1" applyFill="1"/>
    <xf numFmtId="0" fontId="104" fillId="0" borderId="81" xfId="0" applyFont="1" applyBorder="1" applyAlignment="1">
      <alignment horizontal="center" vertical="center"/>
    </xf>
    <xf numFmtId="0" fontId="104" fillId="0" borderId="82" xfId="0" applyFont="1" applyBorder="1" applyAlignment="1">
      <alignment horizontal="center" vertical="center"/>
    </xf>
    <xf numFmtId="0" fontId="0" fillId="0" borderId="83" xfId="0" applyBorder="1" applyAlignment="1">
      <alignment vertical="top"/>
    </xf>
    <xf numFmtId="0" fontId="104" fillId="0" borderId="83" xfId="0" applyFont="1" applyBorder="1" applyAlignment="1">
      <alignment horizontal="center" vertical="center"/>
    </xf>
    <xf numFmtId="0" fontId="105" fillId="0" borderId="81" xfId="0" applyFont="1" applyBorder="1" applyAlignment="1">
      <alignment horizontal="center" vertical="center"/>
    </xf>
    <xf numFmtId="0" fontId="105" fillId="0" borderId="82" xfId="0" applyFont="1" applyBorder="1" applyAlignment="1">
      <alignment horizontal="center" vertical="center"/>
    </xf>
    <xf numFmtId="0" fontId="110" fillId="0" borderId="81" xfId="0" applyFont="1" applyBorder="1" applyAlignment="1">
      <alignment horizontal="center" vertical="center"/>
    </xf>
    <xf numFmtId="0" fontId="105" fillId="0" borderId="84" xfId="0" applyFont="1" applyBorder="1" applyAlignment="1">
      <alignment horizontal="center" vertical="center"/>
    </xf>
    <xf numFmtId="0" fontId="112" fillId="0" borderId="85" xfId="0" applyFont="1" applyBorder="1" applyAlignment="1">
      <alignment horizontal="center" vertical="center"/>
    </xf>
    <xf numFmtId="0" fontId="113" fillId="0" borderId="85" xfId="0" applyFont="1" applyBorder="1" applyAlignment="1">
      <alignment horizontal="center" vertical="center"/>
    </xf>
    <xf numFmtId="0" fontId="114" fillId="0" borderId="85" xfId="0" applyFont="1" applyBorder="1" applyAlignment="1">
      <alignment horizontal="center" vertical="center"/>
    </xf>
    <xf numFmtId="0" fontId="115" fillId="0" borderId="85" xfId="0" applyFont="1" applyBorder="1" applyAlignment="1">
      <alignment horizontal="center" vertical="center"/>
    </xf>
    <xf numFmtId="0" fontId="116" fillId="0" borderId="85" xfId="0" applyFont="1" applyBorder="1" applyAlignment="1">
      <alignment horizontal="center" vertical="center"/>
    </xf>
    <xf numFmtId="0" fontId="104" fillId="0" borderId="81" xfId="0" applyFont="1" applyFill="1" applyBorder="1" applyAlignment="1">
      <alignment horizontal="center" vertical="center"/>
    </xf>
    <xf numFmtId="0" fontId="104" fillId="0" borderId="82" xfId="0" applyFont="1" applyFill="1" applyBorder="1" applyAlignment="1">
      <alignment horizontal="center" vertical="center"/>
    </xf>
    <xf numFmtId="0" fontId="0" fillId="0" borderId="83" xfId="0" applyFill="1" applyBorder="1" applyAlignment="1">
      <alignment vertical="top"/>
    </xf>
    <xf numFmtId="0" fontId="113" fillId="0" borderId="85" xfId="0" applyFont="1" applyFill="1" applyBorder="1" applyAlignment="1">
      <alignment horizontal="center" vertical="center"/>
    </xf>
    <xf numFmtId="0" fontId="114" fillId="0" borderId="85" xfId="0" applyFont="1" applyFill="1" applyBorder="1" applyAlignment="1">
      <alignment horizontal="center" vertical="center"/>
    </xf>
    <xf numFmtId="0" fontId="7" fillId="13" borderId="19" xfId="0" applyFont="1" applyFill="1" applyBorder="1" applyAlignment="1">
      <alignment horizontal="center" vertical="center" wrapText="1"/>
    </xf>
    <xf numFmtId="49" fontId="10" fillId="13" borderId="19" xfId="0" applyNumberFormat="1" applyFont="1" applyFill="1" applyBorder="1" applyAlignment="1">
      <alignment horizontal="justify" vertical="center" wrapText="1"/>
    </xf>
    <xf numFmtId="49" fontId="5" fillId="13" borderId="19" xfId="0" applyNumberFormat="1" applyFont="1" applyFill="1" applyBorder="1" applyAlignment="1">
      <alignment horizontal="center" vertical="center" wrapText="1"/>
    </xf>
    <xf numFmtId="49" fontId="12" fillId="13" borderId="19" xfId="0" applyNumberFormat="1" applyFont="1" applyFill="1" applyBorder="1" applyAlignment="1">
      <alignment horizontal="center" vertical="center" wrapText="1"/>
    </xf>
    <xf numFmtId="49" fontId="6" fillId="13" borderId="19" xfId="0" applyNumberFormat="1" applyFont="1" applyFill="1" applyBorder="1" applyAlignment="1">
      <alignment horizontal="justify" vertical="center" wrapText="1"/>
    </xf>
    <xf numFmtId="182" fontId="5" fillId="13" borderId="19" xfId="8" applyNumberFormat="1" applyFont="1" applyFill="1" applyBorder="1" applyAlignment="1">
      <alignment horizontal="center" vertical="center" wrapText="1" shrinkToFit="1"/>
    </xf>
    <xf numFmtId="182" fontId="7" fillId="13" borderId="19" xfId="8" applyNumberFormat="1" applyFont="1" applyFill="1" applyBorder="1" applyAlignment="1">
      <alignment horizontal="center" vertical="center" wrapText="1" shrinkToFit="1"/>
    </xf>
    <xf numFmtId="0" fontId="119" fillId="13" borderId="19" xfId="3" applyFont="1" applyFill="1" applyBorder="1" applyAlignment="1" applyProtection="1">
      <alignment horizontal="center" vertical="center" wrapText="1"/>
      <protection locked="0"/>
    </xf>
    <xf numFmtId="0" fontId="118" fillId="13" borderId="19" xfId="3" applyFont="1" applyFill="1" applyBorder="1" applyAlignment="1" applyProtection="1">
      <alignment horizontal="center" vertical="center" wrapText="1"/>
      <protection locked="0"/>
    </xf>
    <xf numFmtId="0" fontId="21" fillId="13" borderId="19" xfId="3" applyFont="1" applyFill="1" applyBorder="1" applyAlignment="1" applyProtection="1">
      <alignment horizontal="center" vertical="center" wrapText="1"/>
      <protection locked="0"/>
    </xf>
    <xf numFmtId="0" fontId="21" fillId="13" borderId="19" xfId="3" applyFont="1" applyFill="1" applyBorder="1" applyAlignment="1" applyProtection="1">
      <alignment vertical="center" wrapText="1"/>
      <protection locked="0"/>
    </xf>
    <xf numFmtId="183" fontId="102" fillId="0" borderId="0" xfId="8" applyNumberFormat="1" applyFont="1"/>
    <xf numFmtId="0" fontId="19" fillId="9" borderId="39" xfId="3" applyFont="1" applyFill="1" applyBorder="1" applyAlignment="1" applyProtection="1">
      <alignment vertical="center"/>
      <protection locked="0"/>
    </xf>
    <xf numFmtId="0" fontId="19" fillId="9" borderId="28" xfId="3" applyFont="1" applyFill="1" applyBorder="1" applyAlignment="1" applyProtection="1">
      <alignment vertical="center"/>
      <protection locked="0"/>
    </xf>
    <xf numFmtId="0" fontId="7" fillId="13" borderId="19" xfId="0" applyFont="1" applyFill="1" applyBorder="1" applyAlignment="1">
      <alignment horizontal="center" vertical="center" wrapText="1"/>
    </xf>
    <xf numFmtId="0" fontId="10" fillId="13" borderId="19" xfId="0" applyFont="1" applyFill="1" applyBorder="1" applyAlignment="1">
      <alignment horizontal="justify" vertical="center" wrapText="1"/>
    </xf>
    <xf numFmtId="0" fontId="5" fillId="13" borderId="19" xfId="0" applyFont="1" applyFill="1" applyBorder="1" applyAlignment="1">
      <alignment horizontal="center" vertical="center" wrapText="1"/>
    </xf>
    <xf numFmtId="184" fontId="5" fillId="13" borderId="19" xfId="8" applyNumberFormat="1" applyFont="1" applyFill="1" applyBorder="1" applyAlignment="1">
      <alignment horizontal="center" vertical="center" wrapText="1" shrinkToFit="1"/>
    </xf>
    <xf numFmtId="184" fontId="7" fillId="13" borderId="19" xfId="0" applyNumberFormat="1" applyFont="1" applyFill="1" applyBorder="1" applyAlignment="1">
      <alignment horizontal="center" vertical="center" wrapText="1"/>
    </xf>
    <xf numFmtId="184" fontId="7" fillId="13" borderId="19" xfId="8" applyNumberFormat="1" applyFont="1" applyFill="1" applyBorder="1" applyAlignment="1">
      <alignment horizontal="center" vertical="center" wrapText="1"/>
    </xf>
    <xf numFmtId="168" fontId="7" fillId="13" borderId="19" xfId="0" applyNumberFormat="1" applyFont="1" applyFill="1" applyBorder="1" applyAlignment="1">
      <alignment horizontal="center" vertical="center" wrapText="1"/>
    </xf>
    <xf numFmtId="168" fontId="5" fillId="13" borderId="19" xfId="0" applyNumberFormat="1" applyFont="1" applyFill="1" applyBorder="1" applyAlignment="1">
      <alignment horizontal="center" vertical="center"/>
    </xf>
    <xf numFmtId="0" fontId="31" fillId="3" borderId="0" xfId="3" applyFont="1" applyFill="1" applyProtection="1">
      <protection locked="0"/>
    </xf>
    <xf numFmtId="1" fontId="48" fillId="3" borderId="18" xfId="3" applyNumberFormat="1" applyFont="1" applyFill="1" applyBorder="1" applyAlignment="1" applyProtection="1">
      <alignment horizontal="center"/>
      <protection hidden="1"/>
    </xf>
    <xf numFmtId="0" fontId="19" fillId="3" borderId="28" xfId="3" applyFont="1" applyFill="1" applyBorder="1" applyAlignment="1" applyProtection="1">
      <alignment horizontal="center"/>
      <protection hidden="1"/>
    </xf>
    <xf numFmtId="169" fontId="19" fillId="3" borderId="19" xfId="1" applyNumberFormat="1" applyFont="1" applyFill="1" applyBorder="1" applyAlignment="1" applyProtection="1">
      <alignment horizontal="center"/>
      <protection locked="0"/>
    </xf>
    <xf numFmtId="168" fontId="19" fillId="3" borderId="19" xfId="3" applyNumberFormat="1" applyFont="1" applyFill="1" applyBorder="1" applyAlignment="1" applyProtection="1">
      <alignment horizontal="center"/>
      <protection locked="0"/>
    </xf>
    <xf numFmtId="1" fontId="19" fillId="3" borderId="19" xfId="3" applyNumberFormat="1" applyFont="1" applyFill="1" applyBorder="1" applyAlignment="1" applyProtection="1">
      <alignment horizontal="center"/>
      <protection hidden="1"/>
    </xf>
    <xf numFmtId="170" fontId="19" fillId="3" borderId="19" xfId="1" applyNumberFormat="1" applyFont="1" applyFill="1" applyBorder="1" applyAlignment="1" applyProtection="1">
      <alignment horizontal="center"/>
      <protection hidden="1"/>
    </xf>
    <xf numFmtId="170" fontId="19" fillId="3" borderId="19" xfId="1" applyNumberFormat="1" applyFont="1" applyFill="1" applyBorder="1" applyAlignment="1" applyProtection="1">
      <alignment horizontal="center"/>
      <protection locked="0"/>
    </xf>
    <xf numFmtId="168" fontId="19" fillId="3" borderId="19" xfId="3" applyNumberFormat="1" applyFont="1" applyFill="1" applyBorder="1" applyAlignment="1" applyProtection="1">
      <alignment horizontal="center"/>
      <protection hidden="1"/>
    </xf>
    <xf numFmtId="168" fontId="19" fillId="3" borderId="19" xfId="3" applyNumberFormat="1" applyFont="1" applyFill="1" applyBorder="1" applyProtection="1">
      <protection hidden="1"/>
    </xf>
    <xf numFmtId="2" fontId="26" fillId="3" borderId="19" xfId="3" applyNumberFormat="1" applyFont="1" applyFill="1" applyBorder="1" applyAlignment="1" applyProtection="1">
      <alignment horizontal="center"/>
      <protection hidden="1"/>
    </xf>
    <xf numFmtId="1" fontId="19" fillId="3" borderId="19" xfId="3" applyNumberFormat="1" applyFont="1" applyFill="1" applyBorder="1" applyAlignment="1" applyProtection="1">
      <alignment horizontal="center"/>
      <protection locked="0"/>
    </xf>
    <xf numFmtId="2" fontId="19" fillId="3" borderId="19" xfId="3" applyNumberFormat="1" applyFont="1" applyFill="1" applyBorder="1" applyAlignment="1" applyProtection="1">
      <alignment horizontal="center"/>
      <protection hidden="1"/>
    </xf>
    <xf numFmtId="1" fontId="35" fillId="3" borderId="19" xfId="3" applyNumberFormat="1" applyFont="1" applyFill="1" applyBorder="1" applyAlignment="1" applyProtection="1">
      <alignment horizontal="center"/>
      <protection locked="0"/>
    </xf>
    <xf numFmtId="171" fontId="27" fillId="3" borderId="19" xfId="3" applyNumberFormat="1" applyFont="1" applyFill="1" applyBorder="1" applyAlignment="1" applyProtection="1">
      <alignment horizontal="center"/>
      <protection locked="0"/>
    </xf>
    <xf numFmtId="2" fontId="27" fillId="3" borderId="19" xfId="3" applyNumberFormat="1" applyFont="1" applyFill="1" applyBorder="1" applyAlignment="1" applyProtection="1">
      <alignment horizontal="center"/>
      <protection locked="0"/>
    </xf>
    <xf numFmtId="0" fontId="0" fillId="3" borderId="0" xfId="0" applyFill="1"/>
    <xf numFmtId="0" fontId="0" fillId="3" borderId="0" xfId="0" applyFill="1" applyAlignment="1">
      <alignment horizontal="center"/>
    </xf>
    <xf numFmtId="166" fontId="0" fillId="3" borderId="0" xfId="1" applyNumberFormat="1" applyFont="1" applyFill="1"/>
    <xf numFmtId="43" fontId="0" fillId="3" borderId="0" xfId="1" applyFont="1" applyFill="1"/>
    <xf numFmtId="184" fontId="102" fillId="0" borderId="0" xfId="8" applyNumberFormat="1" applyFont="1"/>
    <xf numFmtId="185" fontId="102" fillId="0" borderId="0" xfId="1" applyNumberFormat="1" applyFont="1"/>
    <xf numFmtId="186" fontId="102" fillId="0" borderId="0" xfId="0" applyNumberFormat="1" applyFont="1"/>
    <xf numFmtId="169" fontId="12" fillId="0" borderId="0" xfId="1" applyNumberFormat="1" applyFont="1"/>
    <xf numFmtId="168" fontId="12" fillId="0" borderId="0" xfId="0" applyNumberFormat="1" applyFont="1"/>
    <xf numFmtId="0" fontId="120" fillId="17" borderId="0" xfId="0" applyFont="1" applyFill="1" applyAlignment="1">
      <alignment horizontal="right" vertical="center"/>
    </xf>
    <xf numFmtId="168" fontId="122" fillId="20" borderId="0" xfId="0" applyNumberFormat="1" applyFont="1" applyFill="1" applyAlignment="1">
      <alignment vertical="center"/>
    </xf>
    <xf numFmtId="168" fontId="66" fillId="0" borderId="0" xfId="0" applyNumberFormat="1" applyFont="1"/>
    <xf numFmtId="0" fontId="12" fillId="0" borderId="0" xfId="0" applyFont="1"/>
    <xf numFmtId="41" fontId="102" fillId="0" borderId="0" xfId="8" applyFont="1"/>
    <xf numFmtId="168" fontId="123" fillId="0" borderId="0" xfId="0" applyNumberFormat="1" applyFont="1"/>
    <xf numFmtId="41" fontId="123" fillId="0" borderId="0" xfId="0" applyNumberFormat="1" applyFont="1"/>
    <xf numFmtId="184" fontId="123" fillId="0" borderId="0" xfId="8" applyNumberFormat="1" applyFont="1"/>
    <xf numFmtId="182" fontId="123" fillId="0" borderId="0" xfId="8" applyNumberFormat="1" applyFont="1"/>
    <xf numFmtId="165" fontId="102" fillId="0" borderId="0" xfId="0" applyNumberFormat="1" applyFont="1"/>
    <xf numFmtId="43" fontId="102" fillId="0" borderId="0" xfId="1" applyNumberFormat="1" applyFont="1"/>
    <xf numFmtId="0" fontId="125" fillId="17" borderId="0" xfId="0" applyFont="1" applyFill="1"/>
    <xf numFmtId="0" fontId="124" fillId="17" borderId="0" xfId="0" applyFont="1" applyFill="1"/>
    <xf numFmtId="0" fontId="124" fillId="3" borderId="0" xfId="0" applyFont="1" applyFill="1" applyAlignment="1">
      <alignment horizontal="left"/>
    </xf>
    <xf numFmtId="0" fontId="126" fillId="17" borderId="0" xfId="0" applyFont="1" applyFill="1" applyAlignment="1">
      <alignment horizontal="left"/>
    </xf>
    <xf numFmtId="0" fontId="126" fillId="17" borderId="0" xfId="0" applyFont="1" applyFill="1" applyAlignment="1">
      <alignment horizontal="center"/>
    </xf>
    <xf numFmtId="0" fontId="127" fillId="17" borderId="0" xfId="0" quotePrefix="1" applyFont="1" applyFill="1" applyAlignment="1">
      <alignment horizontal="left"/>
    </xf>
    <xf numFmtId="0" fontId="128" fillId="3" borderId="0" xfId="0" applyFont="1" applyFill="1" applyAlignment="1">
      <alignment horizontal="right"/>
    </xf>
    <xf numFmtId="0" fontId="127" fillId="17" borderId="0" xfId="0" applyFont="1" applyFill="1"/>
    <xf numFmtId="0" fontId="127" fillId="17" borderId="0" xfId="0" applyFont="1" applyFill="1" applyAlignment="1">
      <alignment horizontal="right"/>
    </xf>
    <xf numFmtId="4" fontId="125" fillId="17" borderId="0" xfId="0" applyNumberFormat="1" applyFont="1" applyFill="1" applyAlignment="1">
      <alignment horizontal="center"/>
    </xf>
    <xf numFmtId="0" fontId="127" fillId="17" borderId="0" xfId="0" applyFont="1" applyFill="1" applyAlignment="1">
      <alignment horizontal="center"/>
    </xf>
    <xf numFmtId="187" fontId="125" fillId="17" borderId="0" xfId="0" applyNumberFormat="1" applyFont="1" applyFill="1" applyAlignment="1">
      <alignment horizontal="center"/>
    </xf>
    <xf numFmtId="0" fontId="128" fillId="3" borderId="0" xfId="0" applyFont="1" applyFill="1" applyAlignment="1">
      <alignment horizontal="center"/>
    </xf>
    <xf numFmtId="3" fontId="125" fillId="17" borderId="0" xfId="0" applyNumberFormat="1" applyFont="1" applyFill="1" applyAlignment="1">
      <alignment horizontal="center"/>
    </xf>
    <xf numFmtId="0" fontId="129" fillId="17" borderId="0" xfId="0" applyFont="1" applyFill="1"/>
    <xf numFmtId="167" fontId="125" fillId="17" borderId="0" xfId="0" applyNumberFormat="1" applyFont="1" applyFill="1" applyAlignment="1">
      <alignment horizontal="right"/>
    </xf>
    <xf numFmtId="4" fontId="130" fillId="17" borderId="0" xfId="0" applyNumberFormat="1" applyFont="1" applyFill="1" applyAlignment="1">
      <alignment horizontal="center"/>
    </xf>
    <xf numFmtId="0" fontId="125" fillId="17" borderId="0" xfId="0" applyFont="1" applyFill="1" applyAlignment="1">
      <alignment vertical="top"/>
    </xf>
    <xf numFmtId="0" fontId="125" fillId="17" borderId="0" xfId="0" applyFont="1" applyFill="1" applyAlignment="1">
      <alignment vertical="top" wrapText="1"/>
    </xf>
    <xf numFmtId="0" fontId="125" fillId="17" borderId="0" xfId="0" applyFont="1" applyFill="1" applyAlignment="1">
      <alignment horizontal="right" vertical="center"/>
    </xf>
    <xf numFmtId="168" fontId="125" fillId="17" borderId="0" xfId="0" applyNumberFormat="1" applyFont="1" applyFill="1" applyAlignment="1">
      <alignment horizontal="center" vertical="center"/>
    </xf>
    <xf numFmtId="0" fontId="126" fillId="17" borderId="0" xfId="0" applyFont="1" applyFill="1" applyAlignment="1">
      <alignment horizontal="right"/>
    </xf>
    <xf numFmtId="3" fontId="131" fillId="17" borderId="0" xfId="0" applyNumberFormat="1" applyFont="1" applyFill="1" applyAlignment="1">
      <alignment horizontal="center"/>
    </xf>
    <xf numFmtId="3" fontId="131" fillId="17" borderId="0" xfId="0" applyNumberFormat="1" applyFont="1" applyFill="1" applyAlignment="1">
      <alignment horizontal="left"/>
    </xf>
    <xf numFmtId="0" fontId="125" fillId="17" borderId="0" xfId="0" applyFont="1" applyFill="1" applyAlignment="1">
      <alignment horizontal="right"/>
    </xf>
    <xf numFmtId="0" fontId="128" fillId="17" borderId="0" xfId="0" applyFont="1" applyFill="1" applyAlignment="1">
      <alignment horizontal="center"/>
    </xf>
    <xf numFmtId="0" fontId="125" fillId="17" borderId="0" xfId="0" applyFont="1" applyFill="1" applyAlignment="1">
      <alignment vertical="center"/>
    </xf>
    <xf numFmtId="0" fontId="125" fillId="17" borderId="0" xfId="0" applyFont="1" applyFill="1" applyAlignment="1">
      <alignment horizontal="center"/>
    </xf>
    <xf numFmtId="0" fontId="125" fillId="0" borderId="0" xfId="0" applyFont="1"/>
    <xf numFmtId="167" fontId="131" fillId="17" borderId="19" xfId="0" applyNumberFormat="1" applyFont="1" applyFill="1" applyBorder="1" applyAlignment="1">
      <alignment horizontal="center"/>
    </xf>
    <xf numFmtId="168" fontId="131" fillId="17" borderId="19" xfId="0" applyNumberFormat="1" applyFont="1" applyFill="1" applyBorder="1" applyAlignment="1">
      <alignment horizontal="center"/>
    </xf>
    <xf numFmtId="167" fontId="125" fillId="17" borderId="0" xfId="0" applyNumberFormat="1" applyFont="1" applyFill="1" applyAlignment="1">
      <alignment horizontal="center"/>
    </xf>
    <xf numFmtId="0" fontId="125" fillId="17" borderId="0" xfId="0" quotePrefix="1" applyFont="1" applyFill="1"/>
    <xf numFmtId="2" fontId="125" fillId="17" borderId="0" xfId="0" applyNumberFormat="1" applyFont="1" applyFill="1" applyAlignment="1">
      <alignment horizontal="center"/>
    </xf>
    <xf numFmtId="1" fontId="125" fillId="17" borderId="0" xfId="0" applyNumberFormat="1" applyFont="1" applyFill="1" applyAlignment="1">
      <alignment horizontal="center"/>
    </xf>
    <xf numFmtId="1" fontId="124" fillId="17" borderId="0" xfId="0" applyNumberFormat="1" applyFont="1" applyFill="1" applyAlignment="1">
      <alignment horizontal="center"/>
    </xf>
    <xf numFmtId="43" fontId="125" fillId="17" borderId="0" xfId="1" applyFont="1" applyFill="1" applyAlignment="1">
      <alignment horizontal="center"/>
    </xf>
    <xf numFmtId="188" fontId="125" fillId="17" borderId="0" xfId="1" applyNumberFormat="1" applyFont="1" applyFill="1" applyAlignment="1">
      <alignment horizontal="center"/>
    </xf>
    <xf numFmtId="189" fontId="125" fillId="17" borderId="0" xfId="1" applyNumberFormat="1" applyFont="1" applyFill="1" applyAlignment="1">
      <alignment horizontal="center"/>
    </xf>
    <xf numFmtId="0" fontId="124" fillId="17" borderId="0" xfId="0" applyFont="1" applyFill="1" applyAlignment="1">
      <alignment horizontal="center"/>
    </xf>
    <xf numFmtId="0" fontId="124" fillId="17" borderId="0" xfId="0" applyFont="1" applyFill="1" applyAlignment="1">
      <alignment horizontal="right"/>
    </xf>
    <xf numFmtId="1" fontId="124" fillId="17" borderId="0" xfId="1" applyNumberFormat="1" applyFont="1" applyFill="1" applyAlignment="1">
      <alignment horizontal="center"/>
    </xf>
    <xf numFmtId="0" fontId="125" fillId="17" borderId="0" xfId="0" applyFont="1" applyFill="1" applyProtection="1">
      <protection locked="0"/>
    </xf>
    <xf numFmtId="0" fontId="125" fillId="17" borderId="0" xfId="0" applyFont="1" applyFill="1" applyAlignment="1" applyProtection="1">
      <alignment horizontal="right"/>
      <protection locked="0"/>
    </xf>
    <xf numFmtId="190" fontId="125" fillId="17" borderId="0" xfId="0" applyNumberFormat="1" applyFont="1" applyFill="1" applyAlignment="1" applyProtection="1">
      <alignment horizontal="center"/>
      <protection locked="0"/>
    </xf>
    <xf numFmtId="1" fontId="125" fillId="17" borderId="0" xfId="0" applyNumberFormat="1" applyFont="1" applyFill="1" applyAlignment="1" applyProtection="1">
      <alignment horizontal="center"/>
      <protection locked="0"/>
    </xf>
    <xf numFmtId="2" fontId="125" fillId="17" borderId="0" xfId="0" applyNumberFormat="1" applyFont="1" applyFill="1" applyAlignment="1" applyProtection="1">
      <alignment horizontal="center"/>
      <protection locked="0"/>
    </xf>
    <xf numFmtId="0" fontId="124" fillId="17" borderId="0" xfId="0" applyFont="1" applyFill="1" applyAlignment="1" applyProtection="1">
      <alignment horizontal="center"/>
      <protection locked="0"/>
    </xf>
    <xf numFmtId="0" fontId="127" fillId="17" borderId="0" xfId="0" applyFont="1" applyFill="1" applyAlignment="1" applyProtection="1">
      <alignment horizontal="center"/>
      <protection locked="0"/>
    </xf>
    <xf numFmtId="0" fontId="125" fillId="17" borderId="0" xfId="0" quotePrefix="1" applyFont="1" applyFill="1" applyProtection="1">
      <protection locked="0"/>
    </xf>
    <xf numFmtId="1" fontId="125" fillId="17" borderId="0" xfId="0" applyNumberFormat="1" applyFont="1" applyFill="1"/>
    <xf numFmtId="0" fontId="134" fillId="0" borderId="0" xfId="0" applyFont="1" applyAlignment="1">
      <alignment horizontal="right"/>
    </xf>
    <xf numFmtId="1" fontId="135" fillId="17" borderId="0" xfId="0" applyNumberFormat="1" applyFont="1" applyFill="1" applyAlignment="1">
      <alignment horizontal="left"/>
    </xf>
    <xf numFmtId="2" fontId="124" fillId="17" borderId="0" xfId="0" applyNumberFormat="1" applyFont="1" applyFill="1" applyAlignment="1">
      <alignment horizontal="center"/>
    </xf>
    <xf numFmtId="2" fontId="136" fillId="17" borderId="0" xfId="0" applyNumberFormat="1" applyFont="1" applyFill="1"/>
    <xf numFmtId="0" fontId="125" fillId="17" borderId="0" xfId="0" applyFont="1" applyFill="1" applyAlignment="1">
      <alignment horizontal="left"/>
    </xf>
    <xf numFmtId="2" fontId="136" fillId="17" borderId="0" xfId="0" applyNumberFormat="1" applyFont="1" applyFill="1" applyAlignment="1">
      <alignment horizontal="center"/>
    </xf>
    <xf numFmtId="191" fontId="136" fillId="17" borderId="0" xfId="9" applyNumberFormat="1" applyFont="1" applyFill="1"/>
    <xf numFmtId="0" fontId="125" fillId="17" borderId="0" xfId="0" applyFont="1" applyFill="1" applyAlignment="1">
      <alignment horizontal="center" vertical="center"/>
    </xf>
    <xf numFmtId="191" fontId="129" fillId="17" borderId="0" xfId="9" applyNumberFormat="1" applyFont="1" applyFill="1"/>
    <xf numFmtId="0" fontId="5" fillId="13" borderId="19" xfId="0" applyNumberFormat="1" applyFont="1" applyFill="1" applyBorder="1" applyAlignment="1">
      <alignment horizontal="center" vertical="center"/>
    </xf>
    <xf numFmtId="0" fontId="149" fillId="22" borderId="14" xfId="10" applyFont="1" applyFill="1" applyBorder="1" applyAlignment="1">
      <alignment horizontal="center" vertical="center" wrapText="1"/>
    </xf>
    <xf numFmtId="0" fontId="153" fillId="22" borderId="14" xfId="10" applyFont="1" applyFill="1" applyBorder="1" applyAlignment="1">
      <alignment horizontal="center" vertical="center" wrapText="1"/>
    </xf>
    <xf numFmtId="0" fontId="162" fillId="22" borderId="16" xfId="10" applyFont="1" applyFill="1" applyBorder="1" applyAlignment="1">
      <alignment horizontal="center" vertical="center" wrapText="1"/>
    </xf>
    <xf numFmtId="0" fontId="163" fillId="22" borderId="16" xfId="10" applyFont="1" applyFill="1" applyBorder="1" applyAlignment="1">
      <alignment horizontal="center" vertical="center" wrapText="1"/>
    </xf>
    <xf numFmtId="0" fontId="163" fillId="22" borderId="16" xfId="10" applyFont="1" applyFill="1" applyBorder="1" applyAlignment="1">
      <alignment horizontal="center" vertical="center" shrinkToFit="1"/>
    </xf>
    <xf numFmtId="0" fontId="163" fillId="22" borderId="13" xfId="10" applyFont="1" applyFill="1" applyBorder="1" applyAlignment="1">
      <alignment horizontal="center" vertical="center" shrinkToFit="1"/>
    </xf>
    <xf numFmtId="0" fontId="153" fillId="22" borderId="92" xfId="10" applyFont="1" applyFill="1" applyBorder="1" applyAlignment="1">
      <alignment horizontal="center" vertical="center" wrapText="1"/>
    </xf>
    <xf numFmtId="0" fontId="149" fillId="22" borderId="16" xfId="10" applyFont="1" applyFill="1" applyBorder="1" applyAlignment="1">
      <alignment horizontal="center" vertical="center" wrapText="1"/>
    </xf>
    <xf numFmtId="0" fontId="149" fillId="22" borderId="89" xfId="10" applyFont="1" applyFill="1" applyBorder="1" applyAlignment="1">
      <alignment horizontal="center" vertical="center" wrapText="1"/>
    </xf>
    <xf numFmtId="0" fontId="149" fillId="22" borderId="91" xfId="10" applyFont="1" applyFill="1" applyBorder="1" applyAlignment="1">
      <alignment horizontal="center" vertical="center" wrapText="1"/>
    </xf>
    <xf numFmtId="49" fontId="139" fillId="24" borderId="96" xfId="10" applyNumberFormat="1" applyFont="1" applyFill="1" applyBorder="1" applyAlignment="1">
      <alignment horizontal="center" vertical="center"/>
    </xf>
    <xf numFmtId="2" fontId="139" fillId="24" borderId="97" xfId="10" applyNumberFormat="1" applyFont="1" applyFill="1" applyBorder="1" applyAlignment="1">
      <alignment horizontal="right" vertical="center"/>
    </xf>
    <xf numFmtId="2" fontId="139" fillId="24" borderId="88" xfId="10" applyNumberFormat="1" applyFont="1" applyFill="1" applyBorder="1" applyAlignment="1">
      <alignment vertical="center"/>
    </xf>
    <xf numFmtId="2" fontId="139" fillId="24" borderId="98" xfId="10" applyNumberFormat="1" applyFont="1" applyFill="1" applyBorder="1" applyAlignment="1">
      <alignment horizontal="right" vertical="center"/>
    </xf>
    <xf numFmtId="0" fontId="139" fillId="24" borderId="93" xfId="10" applyFont="1" applyFill="1" applyBorder="1" applyAlignment="1">
      <alignment horizontal="center" vertical="center"/>
    </xf>
    <xf numFmtId="0" fontId="139" fillId="24" borderId="88" xfId="10" applyFont="1" applyFill="1" applyBorder="1" applyAlignment="1">
      <alignment horizontal="center" vertical="center"/>
    </xf>
    <xf numFmtId="0" fontId="140" fillId="0" borderId="0" xfId="10" applyFont="1" applyAlignment="1">
      <alignment horizontal="center" vertical="center" wrapText="1"/>
    </xf>
    <xf numFmtId="0" fontId="140" fillId="0" borderId="0" xfId="10" applyFont="1" applyAlignment="1">
      <alignment vertical="center" wrapText="1"/>
    </xf>
    <xf numFmtId="0" fontId="141" fillId="0" borderId="0" xfId="10" applyFont="1" applyAlignment="1">
      <alignment horizontal="center"/>
    </xf>
    <xf numFmtId="0" fontId="142" fillId="0" borderId="0" xfId="10" applyFont="1" applyAlignment="1">
      <alignment horizontal="center"/>
    </xf>
    <xf numFmtId="0" fontId="143" fillId="0" borderId="0" xfId="10" applyFont="1"/>
    <xf numFmtId="0" fontId="144" fillId="0" borderId="0" xfId="10" applyFont="1" applyAlignment="1">
      <alignment horizontal="center"/>
    </xf>
    <xf numFmtId="0" fontId="145" fillId="0" borderId="0" xfId="10" applyFont="1" applyAlignment="1">
      <alignment horizontal="center"/>
    </xf>
    <xf numFmtId="2" fontId="141" fillId="0" borderId="0" xfId="10" applyNumberFormat="1" applyFont="1" applyAlignment="1">
      <alignment horizontal="center"/>
    </xf>
    <xf numFmtId="2" fontId="146" fillId="0" borderId="0" xfId="10" applyNumberFormat="1" applyFont="1" applyAlignment="1">
      <alignment horizontal="center"/>
    </xf>
    <xf numFmtId="0" fontId="146" fillId="0" borderId="0" xfId="10" applyFont="1" applyAlignment="1">
      <alignment vertical="center"/>
    </xf>
    <xf numFmtId="0" fontId="146" fillId="0" borderId="0" xfId="10" applyFont="1" applyAlignment="1">
      <alignment horizontal="right" vertical="center"/>
    </xf>
    <xf numFmtId="167" fontId="146" fillId="23" borderId="0" xfId="10" applyNumberFormat="1" applyFont="1" applyFill="1" applyBorder="1" applyAlignment="1">
      <alignment horizontal="center" vertical="center"/>
    </xf>
    <xf numFmtId="0" fontId="146" fillId="0" borderId="0" xfId="10" applyFont="1" applyAlignment="1">
      <alignment horizontal="left" vertical="center"/>
    </xf>
    <xf numFmtId="0" fontId="148" fillId="0" borderId="0" xfId="10" applyFont="1" applyAlignment="1">
      <alignment horizontal="right" vertical="center"/>
    </xf>
    <xf numFmtId="0" fontId="146" fillId="0" borderId="0" xfId="10" applyFont="1" applyAlignment="1">
      <alignment horizontal="center"/>
    </xf>
    <xf numFmtId="0" fontId="150" fillId="0" borderId="0" xfId="10" applyFont="1" applyAlignment="1">
      <alignment horizontal="center"/>
    </xf>
    <xf numFmtId="0" fontId="151" fillId="0" borderId="0" xfId="10" applyFont="1" applyAlignment="1">
      <alignment horizontal="center"/>
    </xf>
    <xf numFmtId="0" fontId="146" fillId="0" borderId="0" xfId="10" quotePrefix="1" applyFont="1" applyAlignment="1">
      <alignment vertical="center"/>
    </xf>
    <xf numFmtId="0" fontId="141" fillId="0" borderId="0" xfId="10" applyFont="1" applyAlignment="1">
      <alignment horizontal="center" vertical="center"/>
    </xf>
    <xf numFmtId="0" fontId="152" fillId="23" borderId="0" xfId="10" applyFont="1" applyFill="1" applyBorder="1" applyAlignment="1">
      <alignment horizontal="center" vertical="center"/>
    </xf>
    <xf numFmtId="0" fontId="149" fillId="0" borderId="0" xfId="10" applyFont="1" applyAlignment="1">
      <alignment horizontal="right" vertical="center"/>
    </xf>
    <xf numFmtId="0" fontId="146" fillId="23" borderId="0" xfId="10" applyFont="1" applyFill="1" applyBorder="1" applyAlignment="1">
      <alignment horizontal="center" vertical="center"/>
    </xf>
    <xf numFmtId="168" fontId="149" fillId="0" borderId="0" xfId="10" applyNumberFormat="1" applyFont="1" applyAlignment="1">
      <alignment horizontal="center" vertical="center"/>
    </xf>
    <xf numFmtId="0" fontId="150" fillId="0" borderId="0" xfId="10" applyFont="1" applyAlignment="1">
      <alignment horizontal="center" vertical="center"/>
    </xf>
    <xf numFmtId="0" fontId="151" fillId="0" borderId="0" xfId="10" applyFont="1" applyAlignment="1">
      <alignment horizontal="center" vertical="center"/>
    </xf>
    <xf numFmtId="0" fontId="150" fillId="0" borderId="0" xfId="10" applyFont="1" applyAlignment="1">
      <alignment horizontal="left" vertical="center"/>
    </xf>
    <xf numFmtId="168" fontId="141" fillId="0" borderId="0" xfId="10" applyNumberFormat="1" applyFont="1" applyAlignment="1">
      <alignment horizontal="center" vertical="center"/>
    </xf>
    <xf numFmtId="2" fontId="139" fillId="23" borderId="88" xfId="10" applyNumberFormat="1" applyFont="1" applyFill="1" applyBorder="1" applyAlignment="1">
      <alignment horizontal="center" vertical="center"/>
    </xf>
    <xf numFmtId="2" fontId="154" fillId="0" borderId="0" xfId="10" applyNumberFormat="1" applyFont="1" applyAlignment="1">
      <alignment horizontal="center" vertical="center"/>
    </xf>
    <xf numFmtId="0" fontId="154" fillId="0" borderId="0" xfId="10" applyFont="1" applyAlignment="1">
      <alignment horizontal="center" vertical="center"/>
    </xf>
    <xf numFmtId="0" fontId="143" fillId="0" borderId="0" xfId="10" applyFont="1" applyAlignment="1">
      <alignment horizontal="center" vertical="center"/>
    </xf>
    <xf numFmtId="168" fontId="146" fillId="0" borderId="0" xfId="10" applyNumberFormat="1" applyFont="1" applyAlignment="1">
      <alignment horizontal="right" vertical="center"/>
    </xf>
    <xf numFmtId="168" fontId="146" fillId="0" borderId="0" xfId="10" applyNumberFormat="1" applyFont="1" applyAlignment="1">
      <alignment horizontal="left" vertical="center"/>
    </xf>
    <xf numFmtId="2" fontId="149" fillId="23" borderId="0" xfId="10" applyNumberFormat="1" applyFont="1" applyFill="1" applyBorder="1" applyAlignment="1">
      <alignment horizontal="center" vertical="center"/>
    </xf>
    <xf numFmtId="1" fontId="141" fillId="0" borderId="0" xfId="10" applyNumberFormat="1" applyFont="1" applyAlignment="1">
      <alignment horizontal="center" vertical="center"/>
    </xf>
    <xf numFmtId="0" fontId="146" fillId="0" borderId="0" xfId="10" applyFont="1" applyAlignment="1">
      <alignment horizontal="center" vertical="center"/>
    </xf>
    <xf numFmtId="168" fontId="146" fillId="0" borderId="0" xfId="10" applyNumberFormat="1" applyFont="1" applyAlignment="1">
      <alignment horizontal="center" vertical="center"/>
    </xf>
    <xf numFmtId="168" fontId="139" fillId="24" borderId="88" xfId="10" applyNumberFormat="1" applyFont="1" applyFill="1" applyBorder="1" applyAlignment="1">
      <alignment horizontal="right" vertical="center"/>
    </xf>
    <xf numFmtId="2" fontId="139" fillId="0" borderId="0" xfId="10" applyNumberFormat="1" applyFont="1" applyAlignment="1">
      <alignment horizontal="center" vertical="center"/>
    </xf>
    <xf numFmtId="0" fontId="157" fillId="0" borderId="0" xfId="10" applyFont="1" applyAlignment="1">
      <alignment vertical="center"/>
    </xf>
    <xf numFmtId="0" fontId="147" fillId="0" borderId="0" xfId="10" applyFont="1" applyAlignment="1">
      <alignment vertical="center"/>
    </xf>
    <xf numFmtId="0" fontId="158" fillId="0" borderId="0" xfId="10" applyFont="1" applyAlignment="1">
      <alignment horizontal="center"/>
    </xf>
    <xf numFmtId="0" fontId="159" fillId="0" borderId="0" xfId="10" applyFont="1" applyAlignment="1">
      <alignment horizontal="center"/>
    </xf>
    <xf numFmtId="2" fontId="159" fillId="0" borderId="0" xfId="10" applyNumberFormat="1" applyFont="1" applyAlignment="1">
      <alignment horizontal="center"/>
    </xf>
    <xf numFmtId="0" fontId="160" fillId="0" borderId="0" xfId="10" applyFont="1"/>
    <xf numFmtId="2" fontId="161" fillId="0" borderId="0" xfId="10" applyNumberFormat="1" applyFont="1" applyAlignment="1">
      <alignment horizontal="center"/>
    </xf>
    <xf numFmtId="1" fontId="147" fillId="23" borderId="0" xfId="10" applyNumberFormat="1" applyFont="1" applyFill="1" applyBorder="1" applyAlignment="1">
      <alignment horizontal="center" vertical="center"/>
    </xf>
    <xf numFmtId="0" fontId="170" fillId="22" borderId="15" xfId="10" applyFont="1" applyFill="1" applyBorder="1" applyAlignment="1">
      <alignment horizontal="center" vertical="center" wrapText="1"/>
    </xf>
    <xf numFmtId="169" fontId="0" fillId="0" borderId="0" xfId="1" applyNumberFormat="1" applyFont="1"/>
    <xf numFmtId="168" fontId="172" fillId="24" borderId="88" xfId="11" applyNumberFormat="1" applyFont="1" applyFill="1" applyBorder="1" applyAlignment="1">
      <alignment horizontal="right" vertical="center"/>
    </xf>
    <xf numFmtId="167" fontId="172" fillId="24" borderId="88" xfId="11" applyNumberFormat="1" applyFont="1" applyFill="1" applyBorder="1" applyAlignment="1">
      <alignment horizontal="center" vertical="center"/>
    </xf>
    <xf numFmtId="1" fontId="172" fillId="24" borderId="88" xfId="11" applyNumberFormat="1" applyFont="1" applyFill="1" applyBorder="1" applyAlignment="1">
      <alignment horizontal="center" vertical="center"/>
    </xf>
    <xf numFmtId="1" fontId="172" fillId="24" borderId="88" xfId="11" applyNumberFormat="1" applyFont="1" applyFill="1" applyBorder="1" applyAlignment="1">
      <alignment horizontal="right" vertical="center"/>
    </xf>
    <xf numFmtId="168" fontId="172" fillId="24" borderId="88" xfId="11" applyNumberFormat="1" applyFont="1" applyFill="1" applyBorder="1" applyAlignment="1">
      <alignment horizontal="center" vertical="center"/>
    </xf>
    <xf numFmtId="2" fontId="172" fillId="24" borderId="88" xfId="11" applyNumberFormat="1" applyFont="1" applyFill="1" applyBorder="1" applyAlignment="1">
      <alignment horizontal="center" vertical="center"/>
    </xf>
    <xf numFmtId="2" fontId="172" fillId="24" borderId="94" xfId="11" applyNumberFormat="1" applyFont="1" applyFill="1" applyBorder="1" applyAlignment="1">
      <alignment horizontal="center" vertical="center"/>
    </xf>
    <xf numFmtId="2" fontId="172" fillId="24" borderId="93" xfId="11" applyNumberFormat="1" applyFont="1" applyFill="1" applyBorder="1" applyAlignment="1">
      <alignment horizontal="center" vertical="center"/>
    </xf>
    <xf numFmtId="2" fontId="172" fillId="24" borderId="95" xfId="11" applyNumberFormat="1" applyFont="1" applyFill="1" applyBorder="1" applyAlignment="1">
      <alignment horizontal="center" vertical="center"/>
    </xf>
    <xf numFmtId="2" fontId="172" fillId="24" borderId="87" xfId="11" applyNumberFormat="1" applyFont="1" applyFill="1" applyBorder="1" applyAlignment="1">
      <alignment horizontal="center" vertical="center"/>
    </xf>
    <xf numFmtId="0" fontId="171" fillId="0" borderId="0" xfId="11" applyFont="1" applyAlignment="1"/>
    <xf numFmtId="1" fontId="172" fillId="0" borderId="86" xfId="11" applyNumberFormat="1" applyFont="1" applyBorder="1" applyAlignment="1">
      <alignment horizontal="center" vertical="center"/>
    </xf>
    <xf numFmtId="2" fontId="172" fillId="24" borderId="98" xfId="11" applyNumberFormat="1" applyFont="1" applyFill="1" applyBorder="1" applyAlignment="1">
      <alignment horizontal="center" vertical="center"/>
    </xf>
    <xf numFmtId="170" fontId="146" fillId="23" borderId="0" xfId="1" applyNumberFormat="1" applyFont="1" applyFill="1" applyBorder="1" applyAlignment="1">
      <alignment horizontal="center" vertical="center"/>
    </xf>
    <xf numFmtId="170" fontId="172" fillId="24" borderId="88" xfId="1" applyNumberFormat="1" applyFont="1" applyFill="1" applyBorder="1" applyAlignment="1">
      <alignment horizontal="right" vertical="center"/>
    </xf>
    <xf numFmtId="169" fontId="0" fillId="0" borderId="0" xfId="0" applyNumberFormat="1"/>
    <xf numFmtId="168" fontId="169" fillId="0" borderId="0" xfId="0" applyNumberFormat="1" applyFont="1"/>
    <xf numFmtId="49" fontId="139" fillId="0" borderId="73" xfId="10" applyNumberFormat="1" applyFont="1" applyFill="1" applyBorder="1" applyAlignment="1">
      <alignment horizontal="center" vertical="center"/>
    </xf>
    <xf numFmtId="2" fontId="139" fillId="0" borderId="73" xfId="10" applyNumberFormat="1" applyFont="1" applyFill="1" applyBorder="1" applyAlignment="1">
      <alignment horizontal="right" vertical="center"/>
    </xf>
    <xf numFmtId="2" fontId="139" fillId="0" borderId="73" xfId="10" applyNumberFormat="1" applyFont="1" applyFill="1" applyBorder="1" applyAlignment="1">
      <alignment vertical="center"/>
    </xf>
    <xf numFmtId="0" fontId="139" fillId="0" borderId="73" xfId="10" applyFont="1" applyFill="1" applyBorder="1" applyAlignment="1">
      <alignment horizontal="center" vertical="center"/>
    </xf>
    <xf numFmtId="0" fontId="158" fillId="0" borderId="1" xfId="0" applyFont="1" applyBorder="1" applyAlignment="1">
      <alignment horizontal="center" vertical="center" wrapText="1"/>
    </xf>
    <xf numFmtId="0" fontId="173" fillId="0" borderId="0" xfId="0" applyFont="1" applyAlignment="1">
      <alignment horizontal="center" vertical="center"/>
    </xf>
    <xf numFmtId="0" fontId="173" fillId="0" borderId="0" xfId="0" applyFont="1"/>
    <xf numFmtId="0" fontId="158" fillId="0" borderId="30" xfId="0" applyFont="1" applyBorder="1" applyAlignment="1">
      <alignment horizontal="center" vertical="center" wrapText="1"/>
    </xf>
    <xf numFmtId="0" fontId="158" fillId="0" borderId="2" xfId="0" applyFont="1" applyBorder="1" applyAlignment="1">
      <alignment horizontal="center" vertical="center" wrapText="1"/>
    </xf>
    <xf numFmtId="0" fontId="158" fillId="0" borderId="5" xfId="0" applyFont="1" applyBorder="1" applyAlignment="1">
      <alignment horizontal="center" vertical="center" wrapText="1"/>
    </xf>
    <xf numFmtId="0" fontId="158" fillId="0" borderId="5" xfId="0" applyFont="1" applyBorder="1" applyAlignment="1">
      <alignment horizontal="center" vertical="center"/>
    </xf>
    <xf numFmtId="0" fontId="158" fillId="25" borderId="5" xfId="0" applyFont="1" applyFill="1" applyBorder="1" applyAlignment="1">
      <alignment horizontal="center" vertical="center" wrapText="1"/>
    </xf>
    <xf numFmtId="0" fontId="62" fillId="0" borderId="2" xfId="0" applyFont="1" applyBorder="1" applyAlignment="1">
      <alignment horizontal="center" vertical="center" wrapText="1"/>
    </xf>
    <xf numFmtId="0" fontId="62" fillId="0" borderId="31" xfId="0" applyFont="1" applyBorder="1" applyAlignment="1">
      <alignment horizontal="left" vertical="center" wrapText="1"/>
    </xf>
    <xf numFmtId="0" fontId="62" fillId="0" borderId="5" xfId="0" applyFont="1" applyBorder="1" applyAlignment="1">
      <alignment horizontal="center" vertical="center" wrapText="1"/>
    </xf>
    <xf numFmtId="0" fontId="62" fillId="25" borderId="5" xfId="0" applyFont="1" applyFill="1" applyBorder="1" applyAlignment="1">
      <alignment horizontal="center" vertical="center" wrapText="1"/>
    </xf>
    <xf numFmtId="0" fontId="62" fillId="0" borderId="42" xfId="0" applyFont="1" applyBorder="1" applyAlignment="1">
      <alignment horizontal="center" vertical="center" wrapText="1"/>
    </xf>
    <xf numFmtId="0" fontId="62" fillId="0" borderId="1" xfId="0" applyFont="1" applyBorder="1" applyAlignment="1">
      <alignment horizontal="left" vertical="center" wrapText="1"/>
    </xf>
    <xf numFmtId="0" fontId="62" fillId="0" borderId="101" xfId="0" applyFont="1" applyBorder="1" applyAlignment="1">
      <alignment horizontal="left" vertical="center" wrapText="1"/>
    </xf>
    <xf numFmtId="0" fontId="62" fillId="0" borderId="2" xfId="0" applyFont="1" applyBorder="1" applyAlignment="1">
      <alignment horizontal="left" vertical="center" wrapText="1"/>
    </xf>
    <xf numFmtId="0" fontId="62" fillId="0" borderId="5" xfId="0" applyFont="1" applyBorder="1" applyAlignment="1">
      <alignment horizontal="left" vertical="center" wrapText="1"/>
    </xf>
    <xf numFmtId="0" fontId="62" fillId="0" borderId="6" xfId="0" applyFont="1" applyBorder="1" applyAlignment="1">
      <alignment horizontal="center" vertical="center" wrapText="1"/>
    </xf>
    <xf numFmtId="0" fontId="62" fillId="0" borderId="3" xfId="0" applyFont="1" applyBorder="1" applyAlignment="1">
      <alignment horizontal="center" vertical="center" wrapText="1"/>
    </xf>
    <xf numFmtId="0" fontId="62" fillId="0" borderId="5" xfId="0" applyFont="1" applyBorder="1" applyAlignment="1">
      <alignment horizontal="center" vertical="center"/>
    </xf>
    <xf numFmtId="0" fontId="149" fillId="0" borderId="0" xfId="0" applyFont="1"/>
    <xf numFmtId="0" fontId="175" fillId="0" borderId="0" xfId="0" applyFont="1"/>
    <xf numFmtId="0" fontId="0" fillId="0" borderId="0" xfId="0" applyBorder="1" applyAlignment="1" applyProtection="1">
      <alignment horizontal="center" vertical="center"/>
      <protection hidden="1"/>
    </xf>
    <xf numFmtId="0" fontId="0" fillId="0" borderId="0" xfId="0" applyAlignment="1" applyProtection="1">
      <alignment horizontal="center" vertical="center"/>
      <protection hidden="1"/>
    </xf>
    <xf numFmtId="0" fontId="75" fillId="0" borderId="0" xfId="0" applyFont="1" applyBorder="1" applyAlignment="1" applyProtection="1">
      <alignment horizontal="center" vertical="center"/>
      <protection hidden="1"/>
    </xf>
    <xf numFmtId="0" fontId="176" fillId="0" borderId="0" xfId="0" applyFont="1" applyAlignment="1" applyProtection="1">
      <alignment horizontal="center" vertical="center"/>
      <protection hidden="1"/>
    </xf>
    <xf numFmtId="0" fontId="0" fillId="0" borderId="0" xfId="0" applyBorder="1" applyAlignment="1" applyProtection="1">
      <alignment vertical="center"/>
      <protection hidden="1"/>
    </xf>
    <xf numFmtId="0" fontId="0" fillId="0" borderId="27" xfId="0" applyBorder="1" applyAlignment="1" applyProtection="1">
      <alignment horizontal="center" vertical="center"/>
      <protection hidden="1"/>
    </xf>
    <xf numFmtId="0" fontId="0" fillId="0" borderId="24" xfId="0" applyBorder="1" applyAlignment="1" applyProtection="1">
      <alignment horizontal="center" vertical="center"/>
      <protection hidden="1"/>
    </xf>
    <xf numFmtId="0" fontId="0" fillId="0" borderId="25" xfId="0" applyBorder="1" applyAlignment="1" applyProtection="1">
      <alignment horizontal="center" vertical="center"/>
      <protection hidden="1"/>
    </xf>
    <xf numFmtId="0" fontId="0" fillId="0" borderId="29" xfId="0" applyBorder="1" applyAlignment="1" applyProtection="1">
      <alignment horizontal="center" vertical="center"/>
      <protection hidden="1"/>
    </xf>
    <xf numFmtId="0" fontId="0" fillId="0" borderId="0" xfId="0" applyAlignment="1" applyProtection="1">
      <alignment vertical="center"/>
      <protection hidden="1"/>
    </xf>
    <xf numFmtId="0" fontId="0" fillId="0" borderId="21" xfId="0" applyBorder="1" applyAlignment="1" applyProtection="1">
      <alignment horizontal="center" vertical="center"/>
      <protection hidden="1"/>
    </xf>
    <xf numFmtId="0" fontId="0" fillId="0" borderId="26" xfId="0" applyBorder="1" applyAlignment="1" applyProtection="1">
      <alignment horizontal="center" vertical="center"/>
      <protection hidden="1"/>
    </xf>
    <xf numFmtId="0" fontId="0" fillId="0" borderId="20" xfId="0" applyBorder="1" applyAlignment="1" applyProtection="1">
      <alignment horizontal="center" vertical="center"/>
      <protection hidden="1"/>
    </xf>
    <xf numFmtId="0" fontId="0" fillId="0" borderId="20" xfId="0" applyBorder="1" applyAlignment="1" applyProtection="1">
      <alignment vertical="center"/>
      <protection hidden="1"/>
    </xf>
    <xf numFmtId="0" fontId="0" fillId="0" borderId="39" xfId="0" applyBorder="1" applyAlignment="1" applyProtection="1">
      <alignment horizontal="center" vertical="center"/>
      <protection hidden="1"/>
    </xf>
    <xf numFmtId="0" fontId="0" fillId="0" borderId="47" xfId="0" applyBorder="1" applyAlignment="1" applyProtection="1">
      <alignment horizontal="center" vertical="center"/>
      <protection hidden="1"/>
    </xf>
    <xf numFmtId="0" fontId="0" fillId="0" borderId="28" xfId="0" applyBorder="1" applyAlignment="1" applyProtection="1">
      <alignment horizontal="center" vertical="center"/>
      <protection hidden="1"/>
    </xf>
    <xf numFmtId="0" fontId="0" fillId="0" borderId="19" xfId="0" applyBorder="1" applyAlignment="1" applyProtection="1">
      <alignment horizontal="center" vertical="center"/>
      <protection hidden="1"/>
    </xf>
    <xf numFmtId="0" fontId="0" fillId="0" borderId="22" xfId="0" applyBorder="1" applyAlignment="1" applyProtection="1">
      <alignment horizontal="center" vertical="center"/>
      <protection hidden="1"/>
    </xf>
    <xf numFmtId="0" fontId="0" fillId="26" borderId="102" xfId="0" applyFill="1" applyBorder="1" applyAlignment="1" applyProtection="1">
      <alignment horizontal="center" vertical="center"/>
      <protection hidden="1"/>
    </xf>
    <xf numFmtId="0" fontId="0" fillId="26" borderId="103" xfId="0" applyFill="1" applyBorder="1" applyAlignment="1" applyProtection="1">
      <alignment horizontal="center" vertical="center"/>
      <protection hidden="1"/>
    </xf>
    <xf numFmtId="0" fontId="0" fillId="26" borderId="104" xfId="0" applyFill="1" applyBorder="1" applyAlignment="1" applyProtection="1">
      <alignment horizontal="center" vertical="center"/>
      <protection hidden="1"/>
    </xf>
    <xf numFmtId="0" fontId="74" fillId="27" borderId="21" xfId="0" applyFont="1" applyFill="1" applyBorder="1" applyAlignment="1" applyProtection="1">
      <alignment horizontal="center" vertical="center"/>
      <protection hidden="1"/>
    </xf>
    <xf numFmtId="0" fontId="74" fillId="27" borderId="17" xfId="0" applyFont="1" applyFill="1" applyBorder="1" applyAlignment="1" applyProtection="1">
      <alignment horizontal="center" vertical="center"/>
      <protection hidden="1"/>
    </xf>
    <xf numFmtId="0" fontId="0" fillId="27" borderId="17" xfId="0" applyFill="1" applyBorder="1" applyAlignment="1" applyProtection="1">
      <alignment horizontal="center" vertical="center"/>
      <protection hidden="1"/>
    </xf>
    <xf numFmtId="0" fontId="74" fillId="0" borderId="21" xfId="0" applyFont="1" applyBorder="1" applyAlignment="1" applyProtection="1">
      <alignment horizontal="center" vertical="center"/>
      <protection hidden="1"/>
    </xf>
    <xf numFmtId="0" fontId="74" fillId="0" borderId="21" xfId="0" applyNumberFormat="1" applyFont="1" applyBorder="1" applyAlignment="1" applyProtection="1">
      <alignment horizontal="center" vertical="center"/>
      <protection hidden="1"/>
    </xf>
    <xf numFmtId="0" fontId="74" fillId="28" borderId="21" xfId="0" applyNumberFormat="1" applyFont="1" applyFill="1" applyBorder="1" applyAlignment="1" applyProtection="1">
      <alignment horizontal="center" vertical="center"/>
      <protection hidden="1"/>
    </xf>
    <xf numFmtId="0" fontId="0" fillId="27" borderId="22" xfId="0" applyFill="1" applyBorder="1" applyAlignment="1" applyProtection="1">
      <alignment horizontal="center" vertical="center"/>
      <protection hidden="1"/>
    </xf>
    <xf numFmtId="0" fontId="74" fillId="27" borderId="22" xfId="0" applyFont="1" applyFill="1" applyBorder="1" applyAlignment="1" applyProtection="1">
      <alignment horizontal="center" vertical="center"/>
      <protection hidden="1"/>
    </xf>
    <xf numFmtId="0" fontId="0" fillId="27" borderId="18" xfId="0" applyFill="1" applyBorder="1" applyAlignment="1" applyProtection="1">
      <alignment horizontal="center" vertical="center"/>
      <protection hidden="1"/>
    </xf>
    <xf numFmtId="0" fontId="74" fillId="27" borderId="18" xfId="0" applyFont="1" applyFill="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74" fillId="0" borderId="23" xfId="0" applyFont="1" applyBorder="1" applyAlignment="1" applyProtection="1">
      <alignment vertical="center"/>
      <protection hidden="1"/>
    </xf>
    <xf numFmtId="0" fontId="74" fillId="0" borderId="17" xfId="0" applyFont="1" applyBorder="1" applyAlignment="1" applyProtection="1">
      <alignment horizontal="center" vertical="center"/>
      <protection hidden="1"/>
    </xf>
    <xf numFmtId="0" fontId="74" fillId="0" borderId="29" xfId="0" applyFont="1" applyBorder="1" applyAlignment="1" applyProtection="1">
      <alignment horizontal="center" vertical="center"/>
      <protection hidden="1"/>
    </xf>
    <xf numFmtId="0" fontId="74" fillId="0" borderId="18" xfId="0" applyFont="1" applyBorder="1" applyAlignment="1" applyProtection="1">
      <alignment horizontal="center" vertical="center"/>
      <protection hidden="1"/>
    </xf>
    <xf numFmtId="167" fontId="74" fillId="27" borderId="105" xfId="0" applyNumberFormat="1" applyFont="1" applyFill="1" applyBorder="1" applyAlignment="1" applyProtection="1">
      <alignment horizontal="center" vertical="center"/>
      <protection hidden="1"/>
    </xf>
    <xf numFmtId="167" fontId="74" fillId="0" borderId="106" xfId="0" applyNumberFormat="1" applyFont="1" applyBorder="1" applyAlignment="1" applyProtection="1">
      <alignment horizontal="center" vertical="center"/>
      <protection hidden="1"/>
    </xf>
    <xf numFmtId="167" fontId="74" fillId="27" borderId="106" xfId="0" applyNumberFormat="1" applyFont="1" applyFill="1" applyBorder="1" applyAlignment="1" applyProtection="1">
      <alignment horizontal="center" vertical="center"/>
      <protection hidden="1"/>
    </xf>
    <xf numFmtId="167" fontId="74" fillId="27" borderId="107" xfId="0" applyNumberFormat="1" applyFont="1" applyFill="1" applyBorder="1" applyAlignment="1" applyProtection="1">
      <alignment horizontal="center" vertical="center"/>
      <protection hidden="1"/>
    </xf>
    <xf numFmtId="0" fontId="5" fillId="29" borderId="3" xfId="0" applyFont="1" applyFill="1" applyBorder="1" applyAlignment="1">
      <alignment horizontal="justify" vertical="center"/>
    </xf>
    <xf numFmtId="0" fontId="5" fillId="29" borderId="3" xfId="0" applyFont="1" applyFill="1" applyBorder="1" applyAlignment="1">
      <alignment horizontal="justify" vertical="center" wrapText="1"/>
    </xf>
    <xf numFmtId="0" fontId="5" fillId="29" borderId="5" xfId="0" applyFont="1" applyFill="1" applyBorder="1" applyAlignment="1">
      <alignment horizontal="justify" vertical="center"/>
    </xf>
    <xf numFmtId="0" fontId="5" fillId="29" borderId="5" xfId="0" applyFont="1" applyFill="1" applyBorder="1" applyAlignment="1">
      <alignment horizontal="justify" vertical="center" wrapText="1"/>
    </xf>
    <xf numFmtId="0" fontId="5" fillId="0" borderId="2" xfId="0" applyFont="1" applyBorder="1" applyAlignment="1">
      <alignment horizontal="justify" vertical="center"/>
    </xf>
    <xf numFmtId="0" fontId="5" fillId="5" borderId="5" xfId="0" applyFont="1" applyFill="1" applyBorder="1" applyAlignment="1">
      <alignment horizontal="justify" vertical="center"/>
    </xf>
    <xf numFmtId="0" fontId="5" fillId="29" borderId="2" xfId="0" applyFont="1" applyFill="1" applyBorder="1" applyAlignment="1">
      <alignment horizontal="justify" vertical="center"/>
    </xf>
    <xf numFmtId="0" fontId="62" fillId="30" borderId="30" xfId="0" applyFont="1" applyFill="1" applyBorder="1" applyAlignment="1">
      <alignment horizontal="center" vertical="center" wrapText="1"/>
    </xf>
    <xf numFmtId="0" fontId="62" fillId="30" borderId="5" xfId="0" applyFont="1" applyFill="1" applyBorder="1" applyAlignment="1">
      <alignment horizontal="left" vertical="center" wrapText="1"/>
    </xf>
    <xf numFmtId="0" fontId="62" fillId="30" borderId="31" xfId="0" applyFont="1" applyFill="1" applyBorder="1" applyAlignment="1">
      <alignment horizontal="center" vertical="center" wrapText="1"/>
    </xf>
    <xf numFmtId="0" fontId="62" fillId="30" borderId="5" xfId="0" applyFont="1" applyFill="1" applyBorder="1" applyAlignment="1">
      <alignment horizontal="center" vertical="center" wrapText="1"/>
    </xf>
    <xf numFmtId="0" fontId="173" fillId="30" borderId="0" xfId="0" applyFont="1" applyFill="1" applyAlignment="1">
      <alignment horizontal="center" vertical="center"/>
    </xf>
    <xf numFmtId="0" fontId="173" fillId="30" borderId="0" xfId="0" applyFont="1" applyFill="1"/>
    <xf numFmtId="0" fontId="179" fillId="0" borderId="109" xfId="0" applyFont="1" applyBorder="1" applyAlignment="1">
      <alignment vertical="center"/>
    </xf>
    <xf numFmtId="0" fontId="181" fillId="0" borderId="109" xfId="0" applyFont="1" applyBorder="1" applyAlignment="1">
      <alignment horizontal="center" vertical="center"/>
    </xf>
    <xf numFmtId="168" fontId="180" fillId="0" borderId="110" xfId="0" applyNumberFormat="1" applyFont="1" applyBorder="1" applyAlignment="1">
      <alignment vertical="center"/>
    </xf>
    <xf numFmtId="168" fontId="180" fillId="0" borderId="110" xfId="0" applyNumberFormat="1" applyFont="1" applyBorder="1" applyAlignment="1">
      <alignment horizontal="right" vertical="center"/>
    </xf>
    <xf numFmtId="168" fontId="179" fillId="0" borderId="109" xfId="0" applyNumberFormat="1" applyFont="1" applyBorder="1" applyAlignment="1">
      <alignment horizontal="right" vertical="center"/>
    </xf>
    <xf numFmtId="168" fontId="179" fillId="0" borderId="110" xfId="0" applyNumberFormat="1" applyFont="1" applyBorder="1" applyAlignment="1">
      <alignment vertical="center"/>
    </xf>
    <xf numFmtId="168" fontId="179" fillId="0" borderId="109" xfId="0" applyNumberFormat="1" applyFont="1" applyBorder="1" applyAlignment="1">
      <alignment vertical="center"/>
    </xf>
    <xf numFmtId="43" fontId="173" fillId="0" borderId="0" xfId="1" applyFont="1"/>
    <xf numFmtId="0" fontId="182" fillId="0" borderId="0" xfId="0" applyFont="1"/>
    <xf numFmtId="0" fontId="0" fillId="26" borderId="0" xfId="0" applyFill="1" applyBorder="1" applyAlignment="1" applyProtection="1">
      <alignment horizontal="center" vertical="center"/>
      <protection hidden="1"/>
    </xf>
    <xf numFmtId="0" fontId="0" fillId="26" borderId="29" xfId="0" applyFill="1" applyBorder="1" applyAlignment="1" applyProtection="1">
      <alignment horizontal="center" vertical="center"/>
      <protection hidden="1"/>
    </xf>
    <xf numFmtId="0" fontId="183" fillId="0" borderId="0" xfId="0" applyFont="1"/>
    <xf numFmtId="0" fontId="5" fillId="0" borderId="2" xfId="0" applyFont="1" applyBorder="1" applyAlignment="1">
      <alignment horizontal="center" vertical="center"/>
    </xf>
    <xf numFmtId="43" fontId="5" fillId="0" borderId="5" xfId="1" applyFont="1" applyBorder="1" applyAlignment="1">
      <alignment horizontal="justify" vertical="center"/>
    </xf>
    <xf numFmtId="43" fontId="149" fillId="0" borderId="0" xfId="1" applyFont="1"/>
    <xf numFmtId="0" fontId="6" fillId="0" borderId="0" xfId="0" applyFont="1" applyAlignment="1">
      <alignment horizontal="justify" vertical="center"/>
    </xf>
    <xf numFmtId="0" fontId="5" fillId="0" borderId="5" xfId="17" applyFont="1" applyFill="1" applyBorder="1" applyAlignment="1">
      <alignment horizontal="center" vertical="center"/>
    </xf>
    <xf numFmtId="0" fontId="5" fillId="0" borderId="2" xfId="17" applyFont="1" applyFill="1" applyBorder="1" applyAlignment="1">
      <alignment horizontal="justify" vertical="center"/>
    </xf>
    <xf numFmtId="0" fontId="5" fillId="0" borderId="5" xfId="17" applyFont="1" applyFill="1" applyBorder="1" applyAlignment="1">
      <alignment horizontal="justify" vertical="center"/>
    </xf>
    <xf numFmtId="43" fontId="5" fillId="0" borderId="5" xfId="18" applyFont="1" applyFill="1" applyBorder="1" applyAlignment="1">
      <alignment horizontal="center" vertical="center"/>
    </xf>
    <xf numFmtId="0" fontId="5" fillId="0" borderId="2" xfId="17" applyFont="1" applyFill="1" applyBorder="1" applyAlignment="1">
      <alignment horizontal="center" vertical="center"/>
    </xf>
    <xf numFmtId="0" fontId="5" fillId="0" borderId="5" xfId="17" applyFont="1" applyFill="1" applyBorder="1" applyAlignment="1">
      <alignment horizontal="left" vertical="center"/>
    </xf>
    <xf numFmtId="0" fontId="5" fillId="0" borderId="0" xfId="17" applyFont="1" applyFill="1" applyAlignment="1">
      <alignment vertical="center"/>
    </xf>
    <xf numFmtId="0" fontId="6" fillId="0" borderId="3" xfId="17" applyFont="1" applyFill="1" applyBorder="1" applyAlignment="1">
      <alignment horizontal="center" vertical="center"/>
    </xf>
    <xf numFmtId="0" fontId="6" fillId="0" borderId="3" xfId="17" applyFont="1" applyFill="1" applyBorder="1" applyAlignment="1">
      <alignment horizontal="center" vertical="center" wrapText="1"/>
    </xf>
    <xf numFmtId="0" fontId="6" fillId="0" borderId="5" xfId="17" applyFont="1" applyFill="1" applyBorder="1" applyAlignment="1">
      <alignment horizontal="center" vertical="center"/>
    </xf>
    <xf numFmtId="0" fontId="6" fillId="0" borderId="5" xfId="17" applyFont="1" applyFill="1" applyBorder="1" applyAlignment="1">
      <alignment horizontal="center" vertical="center" wrapText="1"/>
    </xf>
    <xf numFmtId="0" fontId="6" fillId="0" borderId="2" xfId="17" applyFont="1" applyFill="1" applyBorder="1" applyAlignment="1">
      <alignment horizontal="justify" vertical="center"/>
    </xf>
    <xf numFmtId="43" fontId="6" fillId="0" borderId="5" xfId="18" applyFont="1" applyFill="1" applyBorder="1" applyAlignment="1">
      <alignment horizontal="center" vertical="center"/>
    </xf>
    <xf numFmtId="43" fontId="149" fillId="0" borderId="0" xfId="0" applyNumberFormat="1" applyFont="1"/>
    <xf numFmtId="164" fontId="149" fillId="0" borderId="0" xfId="0" applyNumberFormat="1" applyFont="1"/>
    <xf numFmtId="0" fontId="62" fillId="0" borderId="101" xfId="0" applyFont="1" applyBorder="1" applyAlignment="1">
      <alignment horizontal="justify" vertical="center"/>
    </xf>
    <xf numFmtId="0" fontId="62" fillId="0" borderId="3" xfId="0" applyFont="1" applyBorder="1" applyAlignment="1">
      <alignment horizontal="justify" vertical="center"/>
    </xf>
    <xf numFmtId="0" fontId="62" fillId="0" borderId="5" xfId="0" applyFont="1" applyBorder="1" applyAlignment="1">
      <alignment horizontal="justify" vertical="center"/>
    </xf>
    <xf numFmtId="166" fontId="149" fillId="0" borderId="0" xfId="1" applyNumberFormat="1" applyFont="1"/>
    <xf numFmtId="0" fontId="149" fillId="0" borderId="19" xfId="0" applyFont="1" applyBorder="1"/>
    <xf numFmtId="43" fontId="149" fillId="0" borderId="19" xfId="1" applyFont="1" applyBorder="1"/>
    <xf numFmtId="43" fontId="149" fillId="0" borderId="19" xfId="0" applyNumberFormat="1" applyFont="1" applyBorder="1"/>
    <xf numFmtId="164" fontId="149" fillId="0" borderId="19" xfId="0" applyNumberFormat="1" applyFont="1" applyBorder="1"/>
    <xf numFmtId="170" fontId="149" fillId="0" borderId="0" xfId="1" applyNumberFormat="1" applyFont="1"/>
    <xf numFmtId="43" fontId="6" fillId="0" borderId="5" xfId="1" applyFont="1" applyBorder="1" applyAlignment="1">
      <alignment horizontal="justify" vertical="center"/>
    </xf>
    <xf numFmtId="164" fontId="5" fillId="0" borderId="5" xfId="0" applyNumberFormat="1" applyFont="1" applyBorder="1" applyAlignment="1">
      <alignment horizontal="justify" vertical="center"/>
    </xf>
    <xf numFmtId="164" fontId="10" fillId="0" borderId="5" xfId="0" applyNumberFormat="1" applyFont="1" applyBorder="1" applyAlignment="1">
      <alignment horizontal="justify" vertical="center"/>
    </xf>
    <xf numFmtId="43" fontId="10" fillId="0" borderId="5" xfId="1" applyFont="1" applyBorder="1" applyAlignment="1">
      <alignment horizontal="justify" vertical="center"/>
    </xf>
    <xf numFmtId="185" fontId="149" fillId="0" borderId="0" xfId="1" applyNumberFormat="1" applyFont="1"/>
    <xf numFmtId="192" fontId="149" fillId="0" borderId="0" xfId="0" applyNumberFormat="1" applyFont="1"/>
    <xf numFmtId="193" fontId="149" fillId="0" borderId="0" xfId="0" applyNumberFormat="1" applyFont="1"/>
    <xf numFmtId="0" fontId="175" fillId="0" borderId="19" xfId="0" applyFont="1" applyBorder="1" applyAlignment="1">
      <alignment horizontal="center"/>
    </xf>
    <xf numFmtId="0" fontId="149" fillId="0" borderId="19" xfId="1" applyNumberFormat="1" applyFont="1" applyBorder="1" applyAlignment="1">
      <alignment horizontal="center"/>
    </xf>
    <xf numFmtId="0" fontId="175" fillId="0" borderId="19" xfId="0" applyFont="1" applyBorder="1" applyAlignment="1">
      <alignment vertical="center"/>
    </xf>
    <xf numFmtId="0" fontId="175" fillId="3" borderId="0" xfId="0" applyFont="1" applyFill="1"/>
    <xf numFmtId="164" fontId="182" fillId="3" borderId="0" xfId="0" applyNumberFormat="1" applyFont="1" applyFill="1"/>
    <xf numFmtId="0" fontId="62" fillId="0" borderId="2" xfId="0" applyFont="1" applyBorder="1" applyAlignment="1">
      <alignment horizontal="center" vertical="center"/>
    </xf>
    <xf numFmtId="0" fontId="149" fillId="0" borderId="0" xfId="0" applyFont="1" applyAlignment="1">
      <alignment horizontal="center"/>
    </xf>
    <xf numFmtId="2" fontId="62" fillId="0" borderId="5" xfId="1" applyNumberFormat="1" applyFont="1" applyBorder="1" applyAlignment="1">
      <alignment horizontal="center" vertical="center"/>
    </xf>
    <xf numFmtId="2" fontId="149" fillId="0" borderId="19" xfId="1" applyNumberFormat="1" applyFont="1" applyBorder="1" applyAlignment="1">
      <alignment horizontal="center"/>
    </xf>
    <xf numFmtId="2" fontId="149" fillId="0" borderId="19" xfId="1" applyNumberFormat="1" applyFont="1" applyBorder="1" applyAlignment="1">
      <alignment horizontal="center" vertical="center"/>
    </xf>
    <xf numFmtId="2" fontId="149" fillId="0" borderId="0" xfId="0" applyNumberFormat="1" applyFont="1"/>
    <xf numFmtId="2" fontId="149" fillId="0" borderId="0" xfId="1" applyNumberFormat="1" applyFont="1"/>
    <xf numFmtId="164" fontId="149" fillId="30" borderId="0" xfId="0" applyNumberFormat="1" applyFont="1" applyFill="1"/>
    <xf numFmtId="43" fontId="149" fillId="30" borderId="0" xfId="1" applyFont="1" applyFill="1"/>
    <xf numFmtId="0" fontId="149" fillId="30" borderId="0" xfId="0" applyFont="1" applyFill="1"/>
    <xf numFmtId="194" fontId="149" fillId="0" borderId="0" xfId="0" applyNumberFormat="1" applyFont="1"/>
    <xf numFmtId="0" fontId="6" fillId="0" borderId="19" xfId="0" applyFont="1" applyBorder="1"/>
    <xf numFmtId="2" fontId="5" fillId="0" borderId="19" xfId="0" applyNumberFormat="1" applyFont="1" applyBorder="1" applyAlignment="1">
      <alignment horizontal="center" vertical="center"/>
    </xf>
    <xf numFmtId="2" fontId="10" fillId="0" borderId="19" xfId="0" applyNumberFormat="1" applyFont="1" applyBorder="1" applyAlignment="1">
      <alignment horizontal="center" vertical="center"/>
    </xf>
    <xf numFmtId="2" fontId="10" fillId="0" borderId="19" xfId="1" applyNumberFormat="1" applyFont="1" applyBorder="1" applyAlignment="1">
      <alignment horizontal="center" vertical="center"/>
    </xf>
    <xf numFmtId="2" fontId="5" fillId="0" borderId="19" xfId="0" applyNumberFormat="1" applyFont="1" applyBorder="1" applyAlignment="1">
      <alignment horizontal="center"/>
    </xf>
    <xf numFmtId="0" fontId="6" fillId="0" borderId="19" xfId="0" applyFont="1" applyBorder="1" applyAlignment="1">
      <alignment horizontal="center"/>
    </xf>
    <xf numFmtId="2" fontId="5" fillId="0" borderId="18" xfId="0" applyNumberFormat="1" applyFont="1" applyBorder="1" applyAlignment="1">
      <alignment horizontal="center" vertical="center"/>
    </xf>
    <xf numFmtId="2" fontId="10" fillId="0" borderId="18" xfId="0" applyNumberFormat="1" applyFont="1" applyBorder="1" applyAlignment="1">
      <alignment horizontal="center" vertical="center"/>
    </xf>
    <xf numFmtId="2" fontId="10" fillId="0" borderId="18" xfId="1" applyNumberFormat="1" applyFont="1" applyBorder="1" applyAlignment="1">
      <alignment horizontal="center" vertical="center"/>
    </xf>
    <xf numFmtId="2" fontId="5" fillId="0" borderId="18" xfId="0" applyNumberFormat="1" applyFont="1" applyBorder="1" applyAlignment="1">
      <alignment horizontal="center"/>
    </xf>
    <xf numFmtId="0" fontId="175" fillId="0" borderId="23" xfId="0" applyFont="1" applyBorder="1" applyAlignment="1">
      <alignment horizontal="center" vertical="center"/>
    </xf>
    <xf numFmtId="0" fontId="175" fillId="0" borderId="18" xfId="0" applyFont="1" applyBorder="1" applyAlignment="1">
      <alignment horizontal="center" vertical="center"/>
    </xf>
    <xf numFmtId="0" fontId="175" fillId="0" borderId="19" xfId="0" applyFont="1" applyBorder="1" applyAlignment="1">
      <alignment horizontal="center" vertical="center"/>
    </xf>
    <xf numFmtId="0" fontId="6" fillId="0" borderId="3" xfId="0" applyFont="1" applyBorder="1" applyAlignment="1">
      <alignment horizontal="center" vertical="center"/>
    </xf>
    <xf numFmtId="0" fontId="5" fillId="29" borderId="2" xfId="0" applyFont="1" applyFill="1" applyBorder="1" applyAlignment="1">
      <alignment horizontal="justify" vertical="center"/>
    </xf>
    <xf numFmtId="43" fontId="1" fillId="0" borderId="0" xfId="1" applyFont="1"/>
    <xf numFmtId="0" fontId="6" fillId="0" borderId="3" xfId="0" applyFont="1" applyBorder="1" applyAlignment="1">
      <alignment horizontal="center" vertical="center" wrapText="1"/>
    </xf>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90" fillId="0" borderId="3" xfId="0" applyFont="1" applyBorder="1" applyAlignment="1">
      <alignment horizontal="center" vertical="center"/>
    </xf>
    <xf numFmtId="0" fontId="191" fillId="0" borderId="3" xfId="0" applyFont="1" applyBorder="1" applyAlignment="1">
      <alignment horizontal="center" vertical="center"/>
    </xf>
    <xf numFmtId="0" fontId="190" fillId="0" borderId="3" xfId="0" applyFont="1" applyBorder="1" applyAlignment="1">
      <alignment horizontal="center" vertical="center" wrapText="1"/>
    </xf>
    <xf numFmtId="0" fontId="190" fillId="0" borderId="5" xfId="0" applyFont="1" applyBorder="1" applyAlignment="1">
      <alignment horizontal="center" vertical="center"/>
    </xf>
    <xf numFmtId="0" fontId="6" fillId="0" borderId="19" xfId="0" applyFont="1" applyBorder="1" applyAlignment="1">
      <alignment horizontal="center" vertical="center" wrapText="1"/>
    </xf>
    <xf numFmtId="0" fontId="6" fillId="0" borderId="19" xfId="0" applyFont="1" applyBorder="1" applyAlignment="1">
      <alignment horizontal="center" vertical="center"/>
    </xf>
    <xf numFmtId="0" fontId="5" fillId="0" borderId="18" xfId="0" applyFont="1" applyBorder="1" applyAlignment="1">
      <alignment horizontal="center" vertical="center"/>
    </xf>
    <xf numFmtId="0" fontId="5" fillId="0" borderId="5" xfId="0" applyFont="1" applyBorder="1" applyAlignment="1">
      <alignment horizontal="center" vertical="center"/>
    </xf>
    <xf numFmtId="164" fontId="5" fillId="0" borderId="5" xfId="0" applyNumberFormat="1" applyFont="1" applyBorder="1" applyAlignment="1">
      <alignment horizontal="center" vertical="center"/>
    </xf>
    <xf numFmtId="164" fontId="10" fillId="0" borderId="5" xfId="0" applyNumberFormat="1" applyFont="1" applyBorder="1" applyAlignment="1">
      <alignment horizontal="center" vertical="center"/>
    </xf>
    <xf numFmtId="0" fontId="10" fillId="0" borderId="14" xfId="2" applyFont="1" applyBorder="1" applyAlignment="1">
      <alignment horizontal="center" vertical="center" wrapText="1"/>
    </xf>
    <xf numFmtId="0" fontId="10" fillId="0" borderId="16" xfId="2" applyFont="1" applyBorder="1" applyAlignment="1">
      <alignment horizontal="center" vertical="center" wrapText="1"/>
    </xf>
    <xf numFmtId="0" fontId="30" fillId="5" borderId="14" xfId="2" applyFont="1" applyFill="1" applyBorder="1" applyAlignment="1">
      <alignment horizontal="center" vertical="center" wrapText="1"/>
    </xf>
    <xf numFmtId="0" fontId="30" fillId="5" borderId="15" xfId="2" applyFont="1" applyFill="1" applyBorder="1" applyAlignment="1">
      <alignment horizontal="center" vertical="center" wrapText="1"/>
    </xf>
    <xf numFmtId="0" fontId="30" fillId="5" borderId="16" xfId="2" applyFont="1" applyFill="1" applyBorder="1" applyAlignment="1">
      <alignment horizontal="center" vertical="center" wrapText="1"/>
    </xf>
    <xf numFmtId="1" fontId="19" fillId="13" borderId="23" xfId="3" applyNumberFormat="1" applyFont="1" applyFill="1" applyBorder="1" applyAlignment="1" applyProtection="1">
      <alignment horizontal="center" vertical="center" wrapText="1"/>
      <protection hidden="1"/>
    </xf>
    <xf numFmtId="1" fontId="19" fillId="13" borderId="18" xfId="3" applyNumberFormat="1" applyFont="1" applyFill="1" applyBorder="1" applyAlignment="1" applyProtection="1">
      <alignment horizontal="center" vertical="center" wrapText="1"/>
      <protection hidden="1"/>
    </xf>
    <xf numFmtId="0" fontId="19" fillId="9" borderId="23" xfId="3" applyFont="1" applyFill="1" applyBorder="1" applyAlignment="1" applyProtection="1">
      <alignment horizontal="center" vertical="center" textRotation="90"/>
      <protection locked="0"/>
    </xf>
    <xf numFmtId="0" fontId="19" fillId="9" borderId="18" xfId="3" applyFont="1" applyFill="1" applyBorder="1" applyAlignment="1" applyProtection="1">
      <alignment horizontal="center" vertical="center" textRotation="90"/>
      <protection locked="0"/>
    </xf>
    <xf numFmtId="0" fontId="19" fillId="9" borderId="23" xfId="3" applyFont="1" applyFill="1" applyBorder="1" applyAlignment="1" applyProtection="1">
      <alignment horizontal="center" vertical="center" wrapText="1"/>
      <protection locked="0"/>
    </xf>
    <xf numFmtId="0" fontId="19" fillId="9" borderId="18" xfId="3" applyFont="1" applyFill="1" applyBorder="1" applyAlignment="1" applyProtection="1">
      <alignment horizontal="center" vertical="center"/>
      <protection locked="0"/>
    </xf>
    <xf numFmtId="0" fontId="94" fillId="0" borderId="0" xfId="0" applyFont="1" applyAlignment="1">
      <alignment horizontal="center"/>
    </xf>
    <xf numFmtId="0" fontId="87" fillId="0" borderId="0" xfId="0" applyFont="1" applyAlignment="1">
      <alignment horizontal="center" vertical="center"/>
    </xf>
    <xf numFmtId="0" fontId="88" fillId="0" borderId="0" xfId="0" applyFont="1" applyAlignment="1">
      <alignment horizontal="center"/>
    </xf>
    <xf numFmtId="0" fontId="94" fillId="0" borderId="0" xfId="0" applyFont="1" applyAlignment="1">
      <alignment horizontal="right" vertical="center"/>
    </xf>
    <xf numFmtId="0" fontId="86" fillId="0" borderId="0" xfId="0" applyFont="1" applyAlignment="1">
      <alignment horizontal="center" vertical="center"/>
    </xf>
    <xf numFmtId="0" fontId="94" fillId="0" borderId="0" xfId="0" applyFont="1" applyAlignment="1">
      <alignment horizontal="center" vertical="center"/>
    </xf>
    <xf numFmtId="2" fontId="5" fillId="0" borderId="18" xfId="1" applyNumberFormat="1" applyFont="1" applyBorder="1" applyAlignment="1">
      <alignment horizontal="center" vertical="center"/>
    </xf>
    <xf numFmtId="2" fontId="5" fillId="0" borderId="19" xfId="1" applyNumberFormat="1" applyFont="1" applyBorder="1" applyAlignment="1">
      <alignment horizontal="center" vertical="center"/>
    </xf>
    <xf numFmtId="164" fontId="5" fillId="0" borderId="1" xfId="0" applyNumberFormat="1" applyFont="1" applyBorder="1" applyAlignment="1">
      <alignment horizontal="center" vertical="center"/>
    </xf>
    <xf numFmtId="0" fontId="5" fillId="0" borderId="2" xfId="0" applyFont="1" applyBorder="1" applyAlignment="1">
      <alignment horizontal="center" vertical="center"/>
    </xf>
    <xf numFmtId="0" fontId="5" fillId="0" borderId="1" xfId="0" applyFont="1" applyBorder="1" applyAlignment="1">
      <alignment horizontal="center" vertical="center"/>
    </xf>
    <xf numFmtId="0" fontId="5" fillId="0" borderId="42" xfId="0" applyFont="1" applyBorder="1" applyAlignment="1">
      <alignment horizontal="center" vertical="center"/>
    </xf>
    <xf numFmtId="0" fontId="5" fillId="0" borderId="41" xfId="0" applyFont="1" applyBorder="1" applyAlignment="1">
      <alignment horizontal="center" vertical="center"/>
    </xf>
    <xf numFmtId="0" fontId="5" fillId="0" borderId="113" xfId="0" applyFont="1" applyBorder="1" applyAlignment="1">
      <alignment horizontal="center" vertical="center"/>
    </xf>
    <xf numFmtId="0" fontId="5" fillId="29" borderId="1" xfId="0" applyFont="1" applyFill="1" applyBorder="1" applyAlignment="1">
      <alignment horizontal="justify" vertical="center"/>
    </xf>
    <xf numFmtId="0" fontId="5" fillId="29" borderId="30" xfId="0" applyFont="1" applyFill="1" applyBorder="1" applyAlignment="1">
      <alignment horizontal="justify" vertical="center"/>
    </xf>
    <xf numFmtId="0" fontId="5" fillId="29" borderId="2" xfId="0" applyFont="1" applyFill="1" applyBorder="1" applyAlignment="1">
      <alignment horizontal="justify" vertical="center"/>
    </xf>
    <xf numFmtId="0" fontId="5" fillId="0" borderId="30" xfId="0" applyFont="1" applyBorder="1" applyAlignment="1">
      <alignment horizontal="center" vertical="center"/>
    </xf>
    <xf numFmtId="0" fontId="5" fillId="29" borderId="1" xfId="0" applyFont="1" applyFill="1" applyBorder="1" applyAlignment="1">
      <alignment horizontal="justify" vertical="center" wrapText="1"/>
    </xf>
    <xf numFmtId="0" fontId="5" fillId="29" borderId="30" xfId="0" applyFont="1" applyFill="1" applyBorder="1" applyAlignment="1">
      <alignment horizontal="justify" vertical="center" wrapText="1"/>
    </xf>
    <xf numFmtId="0" fontId="5" fillId="29" borderId="108" xfId="0" applyFont="1" applyFill="1" applyBorder="1" applyAlignment="1">
      <alignment horizontal="justify" vertical="center" wrapText="1"/>
    </xf>
    <xf numFmtId="0" fontId="5" fillId="29" borderId="2" xfId="0" applyFont="1" applyFill="1" applyBorder="1" applyAlignment="1">
      <alignment horizontal="justify" vertical="center" wrapText="1"/>
    </xf>
    <xf numFmtId="0" fontId="190" fillId="0" borderId="1" xfId="0" applyFont="1" applyBorder="1" applyAlignment="1">
      <alignment horizontal="center" vertical="center"/>
    </xf>
    <xf numFmtId="0" fontId="190" fillId="0" borderId="2"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3" xfId="0" applyFont="1" applyBorder="1" applyAlignment="1">
      <alignment horizontal="center" vertical="center"/>
    </xf>
    <xf numFmtId="0" fontId="10" fillId="0" borderId="0" xfId="0" applyFont="1" applyAlignment="1">
      <alignment horizontal="center" vertical="center"/>
    </xf>
    <xf numFmtId="0" fontId="158" fillId="0" borderId="1" xfId="0" applyFont="1" applyBorder="1" applyAlignment="1">
      <alignment horizontal="center" vertical="center" wrapText="1"/>
    </xf>
    <xf numFmtId="0" fontId="158" fillId="0" borderId="30" xfId="0" applyFont="1" applyBorder="1" applyAlignment="1">
      <alignment horizontal="center" vertical="center" wrapText="1"/>
    </xf>
    <xf numFmtId="0" fontId="158" fillId="0" borderId="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08" xfId="0" applyFont="1" applyBorder="1" applyAlignment="1">
      <alignment horizontal="center" vertical="center" wrapText="1"/>
    </xf>
    <xf numFmtId="0" fontId="158" fillId="0" borderId="4" xfId="0" applyFont="1" applyBorder="1" applyAlignment="1">
      <alignment horizontal="center" vertical="center" wrapText="1"/>
    </xf>
    <xf numFmtId="0" fontId="158" fillId="0" borderId="31" xfId="0" applyFont="1" applyBorder="1" applyAlignment="1">
      <alignment horizontal="center" vertical="center" wrapText="1"/>
    </xf>
    <xf numFmtId="0" fontId="158" fillId="0" borderId="5" xfId="0" applyFont="1" applyBorder="1" applyAlignment="1">
      <alignment horizontal="center" vertical="center" wrapText="1"/>
    </xf>
    <xf numFmtId="0" fontId="175" fillId="0" borderId="19" xfId="0" applyFont="1" applyBorder="1" applyAlignment="1">
      <alignment horizontal="center" vertical="center"/>
    </xf>
    <xf numFmtId="0" fontId="175" fillId="0" borderId="23" xfId="0" applyFont="1" applyBorder="1" applyAlignment="1">
      <alignment horizontal="center" vertical="center"/>
    </xf>
    <xf numFmtId="0" fontId="175" fillId="0" borderId="18" xfId="0" applyFont="1" applyBorder="1" applyAlignment="1">
      <alignment horizontal="center" vertical="center"/>
    </xf>
    <xf numFmtId="0" fontId="179" fillId="0" borderId="111" xfId="0" applyFont="1" applyBorder="1" applyAlignment="1">
      <alignment horizontal="center" vertical="center"/>
    </xf>
    <xf numFmtId="0" fontId="74" fillId="0" borderId="112" xfId="0" applyFont="1" applyBorder="1" applyAlignment="1">
      <alignment vertical="center"/>
    </xf>
    <xf numFmtId="0" fontId="158" fillId="0" borderId="6" xfId="0" applyFont="1" applyBorder="1" applyAlignment="1">
      <alignment horizontal="center" vertical="center"/>
    </xf>
    <xf numFmtId="0" fontId="158" fillId="0" borderId="7" xfId="0" applyFont="1" applyBorder="1" applyAlignment="1">
      <alignment horizontal="center" vertical="center"/>
    </xf>
    <xf numFmtId="0" fontId="158" fillId="0" borderId="3" xfId="0" applyFont="1" applyBorder="1" applyAlignment="1">
      <alignment horizontal="center" vertical="center"/>
    </xf>
    <xf numFmtId="0" fontId="158" fillId="0" borderId="6" xfId="0" applyFont="1" applyBorder="1" applyAlignment="1">
      <alignment horizontal="center" vertical="center" wrapText="1"/>
    </xf>
    <xf numFmtId="0" fontId="158" fillId="0" borderId="7" xfId="0" applyFont="1" applyBorder="1" applyAlignment="1">
      <alignment horizontal="center" vertical="center" wrapText="1"/>
    </xf>
    <xf numFmtId="0" fontId="158" fillId="0" borderId="3" xfId="0" applyFont="1" applyBorder="1" applyAlignment="1">
      <alignment horizontal="center" vertical="center" wrapText="1"/>
    </xf>
    <xf numFmtId="0" fontId="158" fillId="0" borderId="99" xfId="0" applyFont="1" applyBorder="1" applyAlignment="1">
      <alignment horizontal="center" vertical="center" wrapText="1"/>
    </xf>
    <xf numFmtId="0" fontId="158" fillId="0" borderId="100" xfId="0" applyFont="1" applyBorder="1" applyAlignment="1">
      <alignment horizontal="center" vertical="center" wrapText="1"/>
    </xf>
    <xf numFmtId="0" fontId="158" fillId="0" borderId="71" xfId="0" applyFont="1" applyBorder="1" applyAlignment="1">
      <alignment horizontal="center" vertical="center" wrapText="1"/>
    </xf>
    <xf numFmtId="0" fontId="158" fillId="0" borderId="0" xfId="0" applyFont="1" applyBorder="1" applyAlignment="1">
      <alignment horizontal="center" vertical="center" wrapText="1"/>
    </xf>
    <xf numFmtId="0" fontId="158" fillId="0" borderId="42" xfId="0" applyFont="1" applyBorder="1" applyAlignment="1">
      <alignment horizontal="center" vertical="center" wrapText="1"/>
    </xf>
    <xf numFmtId="0" fontId="158" fillId="0" borderId="41" xfId="0" applyFont="1" applyBorder="1" applyAlignment="1">
      <alignment horizontal="center" vertical="center" wrapText="1"/>
    </xf>
    <xf numFmtId="0" fontId="158" fillId="25" borderId="1" xfId="0" applyFont="1" applyFill="1" applyBorder="1" applyAlignment="1">
      <alignment horizontal="center" vertical="center" wrapText="1"/>
    </xf>
    <xf numFmtId="0" fontId="158" fillId="25" borderId="30" xfId="0" applyFont="1" applyFill="1" applyBorder="1" applyAlignment="1">
      <alignment horizontal="center" vertical="center" wrapText="1"/>
    </xf>
    <xf numFmtId="0" fontId="158" fillId="25" borderId="2" xfId="0" applyFont="1" applyFill="1" applyBorder="1" applyAlignment="1">
      <alignment horizontal="center" vertical="center" wrapText="1"/>
    </xf>
    <xf numFmtId="0" fontId="5" fillId="0" borderId="1" xfId="17" applyFont="1" applyFill="1" applyBorder="1" applyAlignment="1">
      <alignment horizontal="center" vertical="center"/>
    </xf>
    <xf numFmtId="0" fontId="5" fillId="0" borderId="2" xfId="17" applyFont="1" applyFill="1" applyBorder="1" applyAlignment="1">
      <alignment horizontal="center" vertical="center"/>
    </xf>
    <xf numFmtId="0" fontId="5" fillId="0" borderId="1" xfId="17" applyFont="1" applyFill="1" applyBorder="1" applyAlignment="1">
      <alignment horizontal="left" vertical="center"/>
    </xf>
    <xf numFmtId="0" fontId="5" fillId="0" borderId="2" xfId="17" applyFont="1" applyFill="1" applyBorder="1" applyAlignment="1">
      <alignment horizontal="left" vertical="center"/>
    </xf>
    <xf numFmtId="0" fontId="5" fillId="0" borderId="30" xfId="17" applyFont="1" applyFill="1" applyBorder="1" applyAlignment="1">
      <alignment horizontal="center" vertical="center"/>
    </xf>
    <xf numFmtId="0" fontId="5" fillId="0" borderId="30" xfId="17" applyFont="1" applyFill="1" applyBorder="1" applyAlignment="1">
      <alignment horizontal="left" vertical="center"/>
    </xf>
    <xf numFmtId="0" fontId="6" fillId="0" borderId="1" xfId="17" applyFont="1" applyFill="1" applyBorder="1" applyAlignment="1">
      <alignment horizontal="center" vertical="center" wrapText="1"/>
    </xf>
    <xf numFmtId="0" fontId="6" fillId="0" borderId="108" xfId="17" applyFont="1" applyFill="1" applyBorder="1" applyAlignment="1">
      <alignment horizontal="center" vertical="center" wrapText="1"/>
    </xf>
    <xf numFmtId="0" fontId="10" fillId="0" borderId="41" xfId="0" applyFont="1" applyBorder="1" applyAlignment="1">
      <alignment horizontal="center" vertical="center"/>
    </xf>
    <xf numFmtId="0" fontId="0" fillId="0" borderId="23" xfId="0" applyBorder="1" applyAlignment="1" applyProtection="1">
      <alignment horizontal="center" vertical="center"/>
      <protection hidden="1"/>
    </xf>
    <xf numFmtId="0" fontId="0" fillId="0" borderId="18" xfId="0" applyBorder="1" applyAlignment="1" applyProtection="1">
      <alignment horizontal="center" vertical="center"/>
      <protection hidden="1"/>
    </xf>
    <xf numFmtId="0" fontId="0" fillId="26" borderId="29" xfId="0" applyFill="1" applyBorder="1" applyAlignment="1" applyProtection="1">
      <alignment horizontal="center" vertical="center" wrapText="1"/>
      <protection hidden="1"/>
    </xf>
    <xf numFmtId="0" fontId="0" fillId="26" borderId="23" xfId="0" applyFill="1" applyBorder="1" applyAlignment="1" applyProtection="1">
      <alignment horizontal="center" vertical="center"/>
      <protection hidden="1"/>
    </xf>
    <xf numFmtId="0" fontId="0" fillId="26" borderId="18" xfId="0" applyFill="1" applyBorder="1" applyAlignment="1" applyProtection="1">
      <alignment horizontal="center" vertical="center"/>
      <protection hidden="1"/>
    </xf>
    <xf numFmtId="0" fontId="156" fillId="0" borderId="0" xfId="10" applyFont="1" applyAlignment="1">
      <alignment horizontal="center" vertical="center"/>
    </xf>
    <xf numFmtId="0" fontId="138" fillId="0" borderId="0" xfId="10" applyFont="1" applyAlignment="1"/>
    <xf numFmtId="0" fontId="140" fillId="0" borderId="0" xfId="10" applyFont="1" applyAlignment="1">
      <alignment horizontal="center" vertical="center" wrapText="1"/>
    </xf>
    <xf numFmtId="0" fontId="153" fillId="0" borderId="0" xfId="10" applyFont="1" applyAlignment="1">
      <alignment horizontal="center" vertical="center" wrapText="1"/>
    </xf>
    <xf numFmtId="0" fontId="155" fillId="0" borderId="0" xfId="10" applyFont="1" applyAlignment="1">
      <alignment horizontal="center" vertical="center"/>
    </xf>
    <xf numFmtId="0" fontId="149" fillId="22" borderId="14" xfId="10" applyFont="1" applyFill="1" applyBorder="1" applyAlignment="1">
      <alignment horizontal="center" vertical="center" wrapText="1"/>
    </xf>
    <xf numFmtId="0" fontId="149" fillId="22" borderId="15" xfId="10" applyFont="1" applyFill="1" applyBorder="1" applyAlignment="1">
      <alignment horizontal="center" vertical="center" wrapText="1"/>
    </xf>
    <xf numFmtId="0" fontId="149" fillId="22" borderId="16" xfId="10" applyFont="1" applyFill="1" applyBorder="1" applyAlignment="1">
      <alignment horizontal="center" vertical="center" wrapText="1"/>
    </xf>
    <xf numFmtId="0" fontId="153" fillId="22" borderId="14" xfId="10" applyFont="1" applyFill="1" applyBorder="1" applyAlignment="1">
      <alignment horizontal="center" vertical="center" wrapText="1"/>
    </xf>
    <xf numFmtId="0" fontId="153" fillId="22" borderId="15" xfId="10" applyFont="1" applyFill="1" applyBorder="1" applyAlignment="1">
      <alignment horizontal="center" vertical="center" wrapText="1"/>
    </xf>
    <xf numFmtId="0" fontId="153" fillId="22" borderId="16" xfId="10" applyFont="1" applyFill="1" applyBorder="1" applyAlignment="1">
      <alignment horizontal="center" vertical="center" wrapText="1"/>
    </xf>
    <xf numFmtId="0" fontId="149" fillId="22" borderId="11" xfId="10" applyFont="1" applyFill="1" applyBorder="1" applyAlignment="1">
      <alignment horizontal="center" vertical="center" wrapText="1"/>
    </xf>
    <xf numFmtId="0" fontId="149" fillId="22" borderId="12" xfId="10" applyFont="1" applyFill="1" applyBorder="1" applyAlignment="1">
      <alignment horizontal="center" vertical="center" wrapText="1"/>
    </xf>
    <xf numFmtId="0" fontId="149" fillId="22" borderId="13" xfId="10" applyFont="1" applyFill="1" applyBorder="1" applyAlignment="1">
      <alignment horizontal="center" vertical="center" wrapText="1"/>
    </xf>
    <xf numFmtId="0" fontId="149" fillId="22" borderId="91" xfId="10" applyFont="1" applyFill="1" applyBorder="1" applyAlignment="1">
      <alignment horizontal="center" vertical="center" wrapText="1"/>
    </xf>
    <xf numFmtId="0" fontId="149" fillId="22" borderId="90" xfId="10" applyFont="1" applyFill="1" applyBorder="1" applyAlignment="1">
      <alignment horizontal="center" vertical="center" wrapText="1"/>
    </xf>
    <xf numFmtId="0" fontId="149" fillId="22" borderId="89" xfId="10" applyFont="1" applyFill="1" applyBorder="1" applyAlignment="1">
      <alignment horizontal="center" vertical="center" wrapText="1"/>
    </xf>
    <xf numFmtId="0" fontId="146" fillId="22" borderId="14" xfId="10" applyFont="1" applyFill="1" applyBorder="1" applyAlignment="1">
      <alignment horizontal="center" vertical="center" wrapText="1"/>
    </xf>
    <xf numFmtId="0" fontId="146" fillId="22" borderId="15" xfId="10" applyFont="1" applyFill="1" applyBorder="1" applyAlignment="1">
      <alignment horizontal="center" vertical="center" wrapText="1"/>
    </xf>
    <xf numFmtId="0" fontId="146" fillId="22" borderId="14" xfId="10" applyFont="1" applyFill="1" applyBorder="1" applyAlignment="1">
      <alignment horizontal="center" vertical="center" shrinkToFit="1"/>
    </xf>
    <xf numFmtId="0" fontId="146" fillId="22" borderId="15" xfId="10" applyFont="1" applyFill="1" applyBorder="1" applyAlignment="1">
      <alignment horizontal="center" vertical="center" shrinkToFit="1"/>
    </xf>
    <xf numFmtId="1" fontId="146" fillId="22" borderId="14" xfId="10" applyNumberFormat="1" applyFont="1" applyFill="1" applyBorder="1" applyAlignment="1">
      <alignment horizontal="center" vertical="center" wrapText="1"/>
    </xf>
    <xf numFmtId="1" fontId="146" fillId="22" borderId="15" xfId="10" applyNumberFormat="1" applyFont="1" applyFill="1" applyBorder="1" applyAlignment="1">
      <alignment horizontal="center" vertical="center" wrapText="1"/>
    </xf>
    <xf numFmtId="167" fontId="131" fillId="17" borderId="19" xfId="0" applyNumberFormat="1" applyFont="1" applyFill="1" applyBorder="1" applyAlignment="1">
      <alignment horizontal="center"/>
    </xf>
    <xf numFmtId="0" fontId="124" fillId="21" borderId="0" xfId="0" applyFont="1" applyFill="1" applyAlignment="1">
      <alignment horizontal="center" vertical="center"/>
    </xf>
    <xf numFmtId="0" fontId="126" fillId="21" borderId="19" xfId="0" applyFont="1" applyFill="1" applyBorder="1" applyAlignment="1">
      <alignment horizontal="center" vertical="center" wrapText="1"/>
    </xf>
    <xf numFmtId="0" fontId="5" fillId="0" borderId="0" xfId="0" applyFont="1" applyAlignment="1">
      <alignment horizontal="center"/>
    </xf>
    <xf numFmtId="0" fontId="70" fillId="0" borderId="0" xfId="0" applyFont="1" applyAlignment="1">
      <alignment horizontal="center" vertical="center"/>
    </xf>
    <xf numFmtId="0" fontId="99" fillId="0" borderId="0" xfId="0" applyFont="1" applyAlignment="1">
      <alignment horizontal="center"/>
    </xf>
    <xf numFmtId="0" fontId="5" fillId="0" borderId="0" xfId="0" applyFont="1" applyAlignment="1">
      <alignment horizontal="right" vertical="center"/>
    </xf>
    <xf numFmtId="0" fontId="5" fillId="0" borderId="0" xfId="0" applyFont="1" applyAlignment="1">
      <alignment horizontal="center" vertical="center"/>
    </xf>
    <xf numFmtId="2" fontId="98" fillId="0" borderId="0" xfId="0" applyNumberFormat="1" applyFont="1" applyAlignment="1">
      <alignment horizontal="center" vertical="center"/>
    </xf>
    <xf numFmtId="0" fontId="21" fillId="13" borderId="19" xfId="3" applyFont="1" applyFill="1" applyBorder="1" applyAlignment="1" applyProtection="1">
      <alignment horizontal="center" vertical="center" wrapText="1"/>
      <protection locked="0"/>
    </xf>
    <xf numFmtId="0" fontId="117" fillId="13" borderId="19" xfId="3" applyFont="1" applyFill="1" applyBorder="1" applyAlignment="1" applyProtection="1">
      <alignment horizontal="center" vertical="center" wrapText="1"/>
      <protection locked="0"/>
    </xf>
    <xf numFmtId="0" fontId="36" fillId="13" borderId="19" xfId="3" applyFont="1" applyFill="1" applyBorder="1" applyAlignment="1" applyProtection="1">
      <alignment horizontal="center" vertical="center" wrapText="1"/>
      <protection locked="0"/>
    </xf>
    <xf numFmtId="0" fontId="117" fillId="13" borderId="23" xfId="3" applyFont="1" applyFill="1" applyBorder="1" applyAlignment="1" applyProtection="1">
      <alignment horizontal="center" vertical="center" wrapText="1"/>
      <protection locked="0"/>
    </xf>
    <xf numFmtId="0" fontId="117" fillId="13" borderId="18" xfId="3" applyFont="1" applyFill="1" applyBorder="1" applyAlignment="1" applyProtection="1">
      <alignment horizontal="center" vertical="center" wrapText="1"/>
      <protection locked="0"/>
    </xf>
    <xf numFmtId="0" fontId="104" fillId="0" borderId="78" xfId="0" applyFont="1" applyBorder="1" applyAlignment="1">
      <alignment horizontal="center" vertical="center"/>
    </xf>
    <xf numFmtId="0" fontId="104" fillId="0" borderId="79" xfId="0" applyFont="1" applyBorder="1" applyAlignment="1">
      <alignment horizontal="center" vertical="center"/>
    </xf>
    <xf numFmtId="0" fontId="104" fillId="0" borderId="80" xfId="0" applyFont="1" applyBorder="1" applyAlignment="1">
      <alignment horizontal="center" vertical="center"/>
    </xf>
    <xf numFmtId="0" fontId="105" fillId="0" borderId="78" xfId="0" applyFont="1" applyBorder="1" applyAlignment="1">
      <alignment horizontal="center" vertical="center"/>
    </xf>
    <xf numFmtId="0" fontId="105" fillId="0" borderId="79" xfId="0" applyFont="1" applyBorder="1" applyAlignment="1">
      <alignment horizontal="center" vertical="center"/>
    </xf>
    <xf numFmtId="0" fontId="105" fillId="0" borderId="80" xfId="0" applyFont="1" applyBorder="1" applyAlignment="1">
      <alignment horizontal="center" vertical="center"/>
    </xf>
    <xf numFmtId="0" fontId="36" fillId="12" borderId="0" xfId="3" applyFont="1" applyFill="1" applyAlignment="1" applyProtection="1">
      <alignment horizontal="center" wrapText="1"/>
    </xf>
    <xf numFmtId="0" fontId="36" fillId="9" borderId="23" xfId="3" applyFont="1" applyFill="1" applyBorder="1" applyAlignment="1" applyProtection="1">
      <alignment horizontal="center" vertical="center" textRotation="90"/>
    </xf>
    <xf numFmtId="0" fontId="36" fillId="9" borderId="17" xfId="3" applyFont="1" applyFill="1" applyBorder="1" applyAlignment="1" applyProtection="1">
      <alignment horizontal="center" vertical="center" textRotation="90"/>
    </xf>
    <xf numFmtId="0" fontId="36" fillId="9" borderId="18" xfId="3" applyFont="1" applyFill="1" applyBorder="1" applyAlignment="1" applyProtection="1">
      <alignment horizontal="center" vertical="center" textRotation="90"/>
    </xf>
    <xf numFmtId="0" fontId="66" fillId="13" borderId="46" xfId="7" applyFont="1" applyFill="1" applyBorder="1" applyAlignment="1">
      <alignment horizontal="center"/>
    </xf>
    <xf numFmtId="0" fontId="66" fillId="13" borderId="47" xfId="7" applyFont="1" applyFill="1" applyBorder="1" applyAlignment="1">
      <alignment horizontal="center"/>
    </xf>
    <xf numFmtId="0" fontId="66" fillId="13" borderId="28" xfId="7" applyFont="1" applyFill="1" applyBorder="1" applyAlignment="1">
      <alignment horizontal="center"/>
    </xf>
    <xf numFmtId="0" fontId="66" fillId="13" borderId="49" xfId="7" applyFont="1" applyFill="1" applyBorder="1" applyAlignment="1">
      <alignment horizontal="center"/>
    </xf>
    <xf numFmtId="0" fontId="66" fillId="13" borderId="50" xfId="7" applyFont="1" applyFill="1" applyBorder="1" applyAlignment="1">
      <alignment horizontal="center"/>
    </xf>
    <xf numFmtId="0" fontId="66" fillId="13" borderId="51" xfId="7" applyFont="1" applyFill="1" applyBorder="1" applyAlignment="1">
      <alignment horizontal="center"/>
    </xf>
    <xf numFmtId="1" fontId="69" fillId="19" borderId="43" xfId="6" applyNumberFormat="1" applyFont="1" applyFill="1" applyBorder="1" applyAlignment="1">
      <alignment horizontal="center" vertical="center" wrapText="1"/>
    </xf>
    <xf numFmtId="1" fontId="69" fillId="19" borderId="44" xfId="6" applyNumberFormat="1" applyFont="1" applyFill="1" applyBorder="1" applyAlignment="1">
      <alignment horizontal="center" vertical="center" wrapText="1"/>
    </xf>
    <xf numFmtId="1" fontId="69" fillId="19" borderId="45" xfId="6" applyNumberFormat="1" applyFont="1" applyFill="1" applyBorder="1" applyAlignment="1">
      <alignment horizontal="center" vertical="center" wrapText="1"/>
    </xf>
    <xf numFmtId="0" fontId="68" fillId="18" borderId="0" xfId="0" applyFont="1" applyFill="1" applyAlignment="1">
      <alignment horizontal="center" vertical="center"/>
    </xf>
    <xf numFmtId="0" fontId="83" fillId="0" borderId="0" xfId="0" applyFont="1" applyAlignment="1">
      <alignment horizontal="center" vertical="center"/>
    </xf>
    <xf numFmtId="0" fontId="80" fillId="0" borderId="43" xfId="0" applyFont="1" applyBorder="1" applyAlignment="1">
      <alignment horizontal="center" vertical="center"/>
    </xf>
    <xf numFmtId="0" fontId="80" fillId="0" borderId="46" xfId="0" applyFont="1" applyBorder="1" applyAlignment="1">
      <alignment horizontal="center" vertical="center"/>
    </xf>
    <xf numFmtId="0" fontId="80" fillId="0" borderId="54" xfId="0" applyFont="1" applyBorder="1" applyAlignment="1">
      <alignment horizontal="center" vertical="center"/>
    </xf>
    <xf numFmtId="0" fontId="80" fillId="0" borderId="55" xfId="0" applyFont="1" applyBorder="1" applyAlignment="1">
      <alignment horizontal="center" vertical="center"/>
    </xf>
    <xf numFmtId="0" fontId="80" fillId="0" borderId="26" xfId="0" applyFont="1" applyBorder="1" applyAlignment="1">
      <alignment horizontal="center" vertical="center"/>
    </xf>
    <xf numFmtId="0" fontId="80" fillId="0" borderId="22" xfId="0" applyFont="1" applyBorder="1" applyAlignment="1">
      <alignment horizontal="center" vertical="center"/>
    </xf>
    <xf numFmtId="0" fontId="80" fillId="0" borderId="56" xfId="0" applyFont="1" applyBorder="1" applyAlignment="1">
      <alignment horizontal="center"/>
    </xf>
    <xf numFmtId="0" fontId="80" fillId="0" borderId="44" xfId="0" applyFont="1" applyBorder="1" applyAlignment="1">
      <alignment horizontal="center"/>
    </xf>
    <xf numFmtId="0" fontId="80" fillId="0" borderId="45" xfId="0" applyFont="1" applyBorder="1" applyAlignment="1">
      <alignment horizontal="center"/>
    </xf>
    <xf numFmtId="0" fontId="81" fillId="0" borderId="57" xfId="0" applyFont="1" applyBorder="1" applyAlignment="1">
      <alignment horizontal="center" vertical="center" wrapText="1"/>
    </xf>
    <xf numFmtId="0" fontId="81" fillId="0" borderId="60" xfId="0" applyFont="1" applyBorder="1" applyAlignment="1">
      <alignment horizontal="center" vertical="center" wrapText="1"/>
    </xf>
    <xf numFmtId="0" fontId="81" fillId="0" borderId="63" xfId="0" applyFont="1" applyBorder="1" applyAlignment="1">
      <alignment horizontal="center" vertical="center" wrapText="1"/>
    </xf>
    <xf numFmtId="0" fontId="80" fillId="0" borderId="58" xfId="0" applyFont="1" applyBorder="1" applyAlignment="1">
      <alignment horizontal="center" vertical="center" wrapText="1"/>
    </xf>
    <xf numFmtId="0" fontId="80" fillId="0" borderId="25" xfId="0" applyFont="1" applyBorder="1" applyAlignment="1">
      <alignment horizontal="center" vertical="center" wrapText="1"/>
    </xf>
    <xf numFmtId="0" fontId="80" fillId="0" borderId="61" xfId="0" applyFont="1" applyBorder="1" applyAlignment="1">
      <alignment horizontal="center" vertical="center" wrapText="1"/>
    </xf>
    <xf numFmtId="0" fontId="80" fillId="0" borderId="22" xfId="0" applyFont="1" applyBorder="1" applyAlignment="1">
      <alignment horizontal="center" vertical="center" wrapText="1"/>
    </xf>
    <xf numFmtId="0" fontId="80" fillId="0" borderId="18" xfId="0" applyFont="1" applyBorder="1" applyAlignment="1">
      <alignment horizontal="center" vertical="center"/>
    </xf>
    <xf numFmtId="0" fontId="80" fillId="0" borderId="19" xfId="0" applyFont="1" applyBorder="1" applyAlignment="1">
      <alignment horizontal="center" vertical="center"/>
    </xf>
    <xf numFmtId="0" fontId="80" fillId="0" borderId="59" xfId="0" applyFont="1" applyBorder="1" applyAlignment="1">
      <alignment horizontal="center" vertical="center"/>
    </xf>
    <xf numFmtId="0" fontId="80" fillId="0" borderId="62" xfId="0" applyFont="1" applyBorder="1" applyAlignment="1">
      <alignment horizontal="center" vertical="center"/>
    </xf>
    <xf numFmtId="0" fontId="80" fillId="0" borderId="23" xfId="0" applyFont="1" applyBorder="1" applyAlignment="1">
      <alignment horizontal="center" vertical="center"/>
    </xf>
    <xf numFmtId="0" fontId="80" fillId="0" borderId="46" xfId="0" applyFont="1" applyBorder="1" applyAlignment="1">
      <alignment horizontal="center"/>
    </xf>
    <xf numFmtId="0" fontId="80" fillId="0" borderId="28" xfId="0" applyFont="1" applyBorder="1" applyAlignment="1">
      <alignment horizontal="center"/>
    </xf>
    <xf numFmtId="0" fontId="80" fillId="0" borderId="49" xfId="0" applyFont="1" applyBorder="1" applyAlignment="1">
      <alignment horizontal="center"/>
    </xf>
    <xf numFmtId="0" fontId="80" fillId="0" borderId="51" xfId="0" applyFont="1" applyBorder="1" applyAlignment="1">
      <alignment horizontal="center"/>
    </xf>
    <xf numFmtId="0" fontId="80" fillId="0" borderId="19" xfId="0" applyFont="1" applyBorder="1" applyAlignment="1">
      <alignment horizontal="center"/>
    </xf>
    <xf numFmtId="0" fontId="80" fillId="0" borderId="39" xfId="0" applyFont="1" applyBorder="1" applyAlignment="1">
      <alignment horizontal="center"/>
    </xf>
    <xf numFmtId="0" fontId="80" fillId="0" borderId="19" xfId="0" applyFont="1" applyBorder="1" applyAlignment="1">
      <alignment horizontal="center" vertical="center" wrapText="1"/>
    </xf>
    <xf numFmtId="0" fontId="80" fillId="0" borderId="39" xfId="0" applyFont="1" applyBorder="1" applyAlignment="1">
      <alignment horizontal="center" vertical="center" wrapText="1"/>
    </xf>
    <xf numFmtId="0" fontId="81" fillId="0" borderId="1" xfId="0" applyFont="1" applyBorder="1" applyAlignment="1">
      <alignment horizontal="center" vertical="center" wrapText="1"/>
    </xf>
    <xf numFmtId="0" fontId="81" fillId="0" borderId="30" xfId="0" applyFont="1" applyBorder="1" applyAlignment="1">
      <alignment horizontal="center" vertical="center" wrapText="1"/>
    </xf>
    <xf numFmtId="0" fontId="80" fillId="0" borderId="43" xfId="0" applyFont="1" applyBorder="1" applyAlignment="1">
      <alignment horizontal="center"/>
    </xf>
    <xf numFmtId="0" fontId="80" fillId="0" borderId="65" xfId="0" applyFont="1" applyBorder="1" applyAlignment="1">
      <alignment horizontal="center"/>
    </xf>
    <xf numFmtId="0" fontId="80" fillId="0" borderId="67" xfId="0" applyFont="1" applyBorder="1" applyAlignment="1">
      <alignment horizontal="center" vertical="center" wrapText="1"/>
    </xf>
    <xf numFmtId="0" fontId="81" fillId="0" borderId="68" xfId="0" applyFont="1" applyBorder="1" applyAlignment="1">
      <alignment horizontal="center" vertical="center"/>
    </xf>
    <xf numFmtId="0" fontId="81" fillId="0" borderId="69" xfId="0" applyFont="1" applyBorder="1" applyAlignment="1">
      <alignment horizontal="center" vertical="center"/>
    </xf>
    <xf numFmtId="0" fontId="80" fillId="0" borderId="24" xfId="0" applyFont="1" applyBorder="1" applyAlignment="1">
      <alignment horizontal="left"/>
    </xf>
    <xf numFmtId="0" fontId="80" fillId="0" borderId="0" xfId="0" applyFont="1" applyAlignment="1">
      <alignment horizontal="left" wrapText="1"/>
    </xf>
    <xf numFmtId="0" fontId="80" fillId="0" borderId="0" xfId="0" applyFont="1" applyAlignment="1">
      <alignment horizontal="left" vertical="center" wrapText="1"/>
    </xf>
    <xf numFmtId="0" fontId="80" fillId="0" borderId="0" xfId="0" applyFont="1" applyAlignment="1">
      <alignment horizontal="left"/>
    </xf>
    <xf numFmtId="0" fontId="80" fillId="0" borderId="68" xfId="0" applyFont="1" applyBorder="1" applyAlignment="1">
      <alignment horizontal="center" vertical="center"/>
    </xf>
    <xf numFmtId="0" fontId="80" fillId="0" borderId="27" xfId="0" applyFont="1" applyBorder="1" applyAlignment="1">
      <alignment horizontal="center" vertical="center"/>
    </xf>
    <xf numFmtId="0" fontId="80" fillId="0" borderId="25" xfId="0" applyFont="1" applyBorder="1" applyAlignment="1">
      <alignment horizontal="center" vertical="center"/>
    </xf>
    <xf numFmtId="0" fontId="80" fillId="0" borderId="39" xfId="0" applyFont="1" applyBorder="1" applyAlignment="1">
      <alignment horizontal="center" vertical="center"/>
    </xf>
    <xf numFmtId="0" fontId="80" fillId="0" borderId="17" xfId="0" applyFont="1" applyBorder="1" applyAlignment="1">
      <alignment horizontal="center" vertical="center"/>
    </xf>
    <xf numFmtId="0" fontId="83" fillId="0" borderId="20" xfId="0" applyFont="1" applyBorder="1" applyAlignment="1">
      <alignment horizontal="center" vertical="center"/>
    </xf>
    <xf numFmtId="0" fontId="80" fillId="0" borderId="47" xfId="0" applyFont="1" applyBorder="1" applyAlignment="1">
      <alignment horizontal="center" vertical="center"/>
    </xf>
    <xf numFmtId="0" fontId="80" fillId="0" borderId="28" xfId="0" applyFont="1" applyBorder="1" applyAlignment="1">
      <alignment horizontal="center" vertical="center"/>
    </xf>
    <xf numFmtId="0" fontId="80" fillId="0" borderId="39" xfId="0" applyFont="1" applyBorder="1" applyAlignment="1">
      <alignment horizontal="left" vertical="center"/>
    </xf>
    <xf numFmtId="0" fontId="80" fillId="0" borderId="47" xfId="0" applyFont="1" applyBorder="1" applyAlignment="1">
      <alignment horizontal="left" vertical="center"/>
    </xf>
    <xf numFmtId="0" fontId="80" fillId="0" borderId="28" xfId="0" applyFont="1" applyBorder="1" applyAlignment="1">
      <alignment horizontal="left" vertical="center"/>
    </xf>
    <xf numFmtId="0" fontId="73" fillId="0" borderId="0" xfId="0" applyFont="1" applyAlignment="1">
      <alignment horizontal="center" vertical="center"/>
    </xf>
    <xf numFmtId="0" fontId="74" fillId="0" borderId="0" xfId="0" applyFont="1" applyAlignment="1">
      <alignment horizontal="center" vertical="center"/>
    </xf>
    <xf numFmtId="0" fontId="75" fillId="0" borderId="23" xfId="0" applyFont="1" applyBorder="1" applyAlignment="1">
      <alignment horizontal="center" vertical="center"/>
    </xf>
    <xf numFmtId="0" fontId="75" fillId="0" borderId="18" xfId="0" applyFont="1" applyBorder="1" applyAlignment="1">
      <alignment horizontal="center" vertical="center"/>
    </xf>
    <xf numFmtId="0" fontId="76" fillId="0" borderId="19" xfId="0" applyFont="1" applyBorder="1" applyAlignment="1">
      <alignment horizontal="center" vertical="center"/>
    </xf>
    <xf numFmtId="2" fontId="79" fillId="0" borderId="20" xfId="0" applyNumberFormat="1" applyFont="1" applyBorder="1" applyAlignment="1">
      <alignment horizontal="center" vertical="center"/>
    </xf>
    <xf numFmtId="0" fontId="6" fillId="13" borderId="19" xfId="0" applyFont="1" applyFill="1" applyBorder="1" applyAlignment="1">
      <alignment horizontal="center" vertical="center" wrapText="1"/>
    </xf>
    <xf numFmtId="0" fontId="7" fillId="13" borderId="19" xfId="0" applyFont="1" applyFill="1" applyBorder="1" applyAlignment="1">
      <alignment horizontal="center" vertical="center" wrapText="1"/>
    </xf>
    <xf numFmtId="0" fontId="10" fillId="13" borderId="19" xfId="0" applyFont="1" applyFill="1" applyBorder="1" applyAlignment="1">
      <alignment horizontal="justify" vertical="center" wrapText="1"/>
    </xf>
    <xf numFmtId="0" fontId="11" fillId="0" borderId="0" xfId="0" applyFont="1" applyAlignment="1">
      <alignment horizontal="center" vertical="center"/>
    </xf>
    <xf numFmtId="0" fontId="7" fillId="13" borderId="19" xfId="0" applyFont="1" applyFill="1" applyBorder="1" applyAlignment="1">
      <alignment horizontal="justify" vertical="center" wrapText="1"/>
    </xf>
    <xf numFmtId="49" fontId="10" fillId="13" borderId="19" xfId="0" applyNumberFormat="1" applyFont="1" applyFill="1" applyBorder="1" applyAlignment="1">
      <alignment horizontal="justify" vertical="center" wrapText="1"/>
    </xf>
    <xf numFmtId="0" fontId="5" fillId="14" borderId="1" xfId="0" applyFont="1" applyFill="1" applyBorder="1" applyAlignment="1">
      <alignment horizontal="center" vertical="center"/>
    </xf>
    <xf numFmtId="0" fontId="5" fillId="14" borderId="30" xfId="0" applyFont="1" applyFill="1" applyBorder="1" applyAlignment="1">
      <alignment horizontal="center" vertical="center"/>
    </xf>
    <xf numFmtId="0" fontId="5" fillId="14" borderId="2" xfId="0" applyFont="1" applyFill="1" applyBorder="1" applyAlignment="1">
      <alignment horizontal="center" vertical="center"/>
    </xf>
    <xf numFmtId="0" fontId="10" fillId="14" borderId="1" xfId="0" applyFont="1" applyFill="1" applyBorder="1" applyAlignment="1">
      <alignment horizontal="center" vertical="center"/>
    </xf>
    <xf numFmtId="0" fontId="10" fillId="14" borderId="30" xfId="0" applyFont="1" applyFill="1" applyBorder="1" applyAlignment="1">
      <alignment horizontal="center" vertical="center"/>
    </xf>
    <xf numFmtId="0" fontId="10" fillId="14" borderId="2" xfId="0" applyFont="1" applyFill="1" applyBorder="1" applyAlignment="1">
      <alignment horizontal="center" vertical="center"/>
    </xf>
    <xf numFmtId="0" fontId="10" fillId="2" borderId="1" xfId="0" applyFont="1" applyFill="1" applyBorder="1" applyAlignment="1">
      <alignment horizontal="justify" vertical="center"/>
    </xf>
    <xf numFmtId="0" fontId="10" fillId="2" borderId="30" xfId="0" applyFont="1" applyFill="1" applyBorder="1" applyAlignment="1">
      <alignment horizontal="justify" vertical="center"/>
    </xf>
    <xf numFmtId="0" fontId="10" fillId="2" borderId="2" xfId="0" applyFont="1" applyFill="1" applyBorder="1" applyAlignment="1">
      <alignment horizontal="justify" vertical="center"/>
    </xf>
    <xf numFmtId="0" fontId="5" fillId="0" borderId="6" xfId="0" applyFont="1" applyBorder="1" applyAlignment="1">
      <alignment horizontal="justify" vertical="center"/>
    </xf>
    <xf numFmtId="0" fontId="5" fillId="0" borderId="7" xfId="0" applyFont="1" applyBorder="1" applyAlignment="1">
      <alignment horizontal="justify" vertical="center"/>
    </xf>
    <xf numFmtId="0" fontId="5" fillId="0" borderId="32" xfId="0" applyFont="1" applyBorder="1" applyAlignment="1">
      <alignment horizontal="justify" vertical="center"/>
    </xf>
    <xf numFmtId="0" fontId="10" fillId="16" borderId="23" xfId="0" applyFont="1" applyFill="1" applyBorder="1" applyAlignment="1">
      <alignment horizontal="center" vertical="center" wrapText="1"/>
    </xf>
    <xf numFmtId="0" fontId="10" fillId="16" borderId="17" xfId="0" applyFont="1" applyFill="1" applyBorder="1" applyAlignment="1">
      <alignment horizontal="center" vertical="center" wrapText="1"/>
    </xf>
    <xf numFmtId="0" fontId="5" fillId="16" borderId="19" xfId="0" applyFont="1" applyFill="1" applyBorder="1" applyAlignment="1">
      <alignment horizontal="center" vertical="center" wrapText="1"/>
    </xf>
    <xf numFmtId="0" fontId="10" fillId="16" borderId="19" xfId="0" applyFont="1" applyFill="1" applyBorder="1" applyAlignment="1">
      <alignment horizontal="center" vertical="center" wrapText="1"/>
    </xf>
    <xf numFmtId="0" fontId="10" fillId="16" borderId="19" xfId="0" applyFont="1" applyFill="1" applyBorder="1" applyAlignment="1">
      <alignment horizontal="center" vertical="center"/>
    </xf>
    <xf numFmtId="0" fontId="10" fillId="13" borderId="19" xfId="0" applyFont="1" applyFill="1" applyBorder="1" applyAlignment="1">
      <alignment horizontal="center" vertical="center" wrapText="1"/>
    </xf>
    <xf numFmtId="0" fontId="5" fillId="13" borderId="19" xfId="0" applyFont="1" applyFill="1" applyBorder="1" applyAlignment="1">
      <alignment horizontal="center" vertical="center" wrapText="1"/>
    </xf>
    <xf numFmtId="0" fontId="20" fillId="0" borderId="9" xfId="2" applyFont="1" applyBorder="1" applyAlignment="1">
      <alignment horizontal="center"/>
    </xf>
    <xf numFmtId="0" fontId="21" fillId="4" borderId="10" xfId="2" applyFont="1" applyFill="1" applyBorder="1" applyAlignment="1">
      <alignment horizontal="center" vertical="center" wrapText="1"/>
    </xf>
    <xf numFmtId="170" fontId="21" fillId="4" borderId="10" xfId="1" applyNumberFormat="1" applyFont="1" applyFill="1" applyBorder="1" applyAlignment="1">
      <alignment horizontal="center" vertical="center" wrapText="1"/>
    </xf>
    <xf numFmtId="0" fontId="19" fillId="4" borderId="8" xfId="2" applyFont="1" applyFill="1" applyBorder="1" applyAlignment="1">
      <alignment horizontal="center" vertical="center" wrapText="1"/>
    </xf>
    <xf numFmtId="0" fontId="21" fillId="4" borderId="35" xfId="2" applyFont="1" applyFill="1" applyBorder="1" applyAlignment="1">
      <alignment horizontal="center" vertical="center" wrapText="1"/>
    </xf>
    <xf numFmtId="0" fontId="19" fillId="0" borderId="23" xfId="2" applyFont="1" applyFill="1" applyBorder="1" applyAlignment="1">
      <alignment horizontal="center" vertical="center" wrapText="1"/>
    </xf>
    <xf numFmtId="0" fontId="19" fillId="0" borderId="18" xfId="2" applyFont="1" applyFill="1" applyBorder="1" applyAlignment="1">
      <alignment horizontal="center" vertical="center" wrapText="1"/>
    </xf>
    <xf numFmtId="167" fontId="19" fillId="0" borderId="23" xfId="2" applyNumberFormat="1" applyFont="1" applyFill="1" applyBorder="1" applyAlignment="1">
      <alignment horizontal="center" vertical="center" wrapText="1"/>
    </xf>
    <xf numFmtId="167" fontId="19" fillId="0" borderId="18" xfId="2" applyNumberFormat="1" applyFont="1" applyFill="1" applyBorder="1" applyAlignment="1">
      <alignment horizontal="center" vertical="center" wrapText="1"/>
    </xf>
    <xf numFmtId="1" fontId="60" fillId="15" borderId="23" xfId="2" applyNumberFormat="1" applyFont="1" applyFill="1" applyBorder="1" applyAlignment="1">
      <alignment horizontal="center" vertical="center" wrapText="1"/>
    </xf>
    <xf numFmtId="1" fontId="60" fillId="15" borderId="18" xfId="2" applyNumberFormat="1" applyFont="1" applyFill="1" applyBorder="1" applyAlignment="1">
      <alignment horizontal="center" vertical="center" wrapText="1"/>
    </xf>
    <xf numFmtId="0" fontId="26" fillId="0" borderId="23" xfId="2" applyFont="1" applyFill="1" applyBorder="1" applyAlignment="1">
      <alignment horizontal="center" vertical="center" wrapText="1"/>
    </xf>
    <xf numFmtId="0" fontId="26" fillId="0" borderId="18" xfId="2" applyFont="1" applyFill="1" applyBorder="1" applyAlignment="1">
      <alignment horizontal="center" vertical="center" wrapText="1"/>
    </xf>
    <xf numFmtId="1" fontId="19" fillId="0" borderId="23" xfId="2" applyNumberFormat="1" applyFont="1" applyFill="1" applyBorder="1" applyAlignment="1">
      <alignment horizontal="center" vertical="center" wrapText="1"/>
    </xf>
    <xf numFmtId="1" fontId="19" fillId="0" borderId="18" xfId="2" applyNumberFormat="1" applyFont="1" applyFill="1" applyBorder="1" applyAlignment="1">
      <alignment horizontal="center" vertical="center" wrapText="1"/>
    </xf>
    <xf numFmtId="1" fontId="52" fillId="0" borderId="23" xfId="2" applyNumberFormat="1" applyFont="1" applyFill="1" applyBorder="1" applyAlignment="1">
      <alignment horizontal="center" vertical="center" wrapText="1"/>
    </xf>
    <xf numFmtId="1" fontId="52" fillId="0" borderId="18" xfId="2" applyNumberFormat="1" applyFont="1" applyFill="1" applyBorder="1" applyAlignment="1">
      <alignment horizontal="center" vertical="center" wrapText="1"/>
    </xf>
    <xf numFmtId="0" fontId="21" fillId="7" borderId="29" xfId="2" applyFont="1" applyFill="1" applyBorder="1" applyAlignment="1">
      <alignment horizontal="center" vertical="center" wrapText="1"/>
    </xf>
    <xf numFmtId="0" fontId="21" fillId="7" borderId="0" xfId="2" applyFont="1" applyFill="1" applyBorder="1" applyAlignment="1">
      <alignment horizontal="center" vertical="center" wrapText="1"/>
    </xf>
    <xf numFmtId="0" fontId="21" fillId="7" borderId="21" xfId="2" applyFont="1" applyFill="1" applyBorder="1" applyAlignment="1">
      <alignment horizontal="center" vertical="center" wrapText="1"/>
    </xf>
    <xf numFmtId="0" fontId="19" fillId="7" borderId="19" xfId="2" applyFont="1" applyFill="1" applyBorder="1" applyAlignment="1">
      <alignment horizontal="center" vertical="center" wrapText="1"/>
    </xf>
    <xf numFmtId="0" fontId="58" fillId="0" borderId="6" xfId="2" applyFont="1" applyBorder="1" applyAlignment="1">
      <alignment horizontal="center"/>
    </xf>
    <xf numFmtId="0" fontId="58" fillId="0" borderId="7" xfId="2" applyFont="1" applyBorder="1" applyAlignment="1">
      <alignment horizontal="center"/>
    </xf>
    <xf numFmtId="0" fontId="58" fillId="0" borderId="3" xfId="2" applyFont="1" applyBorder="1" applyAlignment="1">
      <alignment horizontal="center"/>
    </xf>
    <xf numFmtId="0" fontId="21" fillId="7" borderId="40" xfId="2" applyFont="1" applyFill="1" applyBorder="1" applyAlignment="1">
      <alignment horizontal="center" vertical="center" textRotation="90" wrapText="1"/>
    </xf>
    <xf numFmtId="0" fontId="21" fillId="7" borderId="17" xfId="2" applyFont="1" applyFill="1" applyBorder="1" applyAlignment="1">
      <alignment horizontal="center" vertical="center" textRotation="90" wrapText="1"/>
    </xf>
    <xf numFmtId="0" fontId="21" fillId="7" borderId="18" xfId="2" applyFont="1" applyFill="1" applyBorder="1" applyAlignment="1">
      <alignment horizontal="center" vertical="center" textRotation="90" wrapText="1"/>
    </xf>
    <xf numFmtId="0" fontId="21" fillId="7" borderId="17" xfId="2" applyFont="1" applyFill="1" applyBorder="1" applyAlignment="1">
      <alignment horizontal="center" vertical="center" wrapText="1"/>
    </xf>
    <xf numFmtId="0" fontId="21" fillId="7" borderId="18" xfId="2" applyFont="1" applyFill="1" applyBorder="1" applyAlignment="1">
      <alignment horizontal="center" vertical="center" wrapText="1"/>
    </xf>
    <xf numFmtId="0" fontId="21" fillId="7" borderId="20" xfId="2" applyFont="1" applyFill="1" applyBorder="1" applyAlignment="1">
      <alignment horizontal="center" vertical="center" wrapText="1"/>
    </xf>
    <xf numFmtId="0" fontId="21" fillId="7" borderId="22" xfId="2" applyFont="1" applyFill="1" applyBorder="1" applyAlignment="1">
      <alignment horizontal="center" vertical="center" wrapText="1"/>
    </xf>
    <xf numFmtId="0" fontId="19" fillId="7" borderId="23" xfId="2" applyFont="1" applyFill="1" applyBorder="1" applyAlignment="1">
      <alignment horizontal="center" vertical="center" wrapText="1"/>
    </xf>
    <xf numFmtId="0" fontId="19" fillId="7" borderId="18" xfId="2" applyFont="1" applyFill="1" applyBorder="1" applyAlignment="1">
      <alignment horizontal="center" vertical="center" wrapText="1"/>
    </xf>
    <xf numFmtId="0" fontId="21" fillId="7" borderId="26" xfId="2" applyFont="1" applyFill="1" applyBorder="1" applyAlignment="1">
      <alignment horizontal="center" vertical="center" wrapText="1"/>
    </xf>
    <xf numFmtId="0" fontId="19" fillId="7" borderId="27" xfId="2" applyFont="1" applyFill="1" applyBorder="1" applyAlignment="1">
      <alignment horizontal="center" vertical="center" wrapText="1"/>
    </xf>
    <xf numFmtId="0" fontId="19" fillId="7" borderId="26" xfId="2" applyFont="1" applyFill="1" applyBorder="1" applyAlignment="1">
      <alignment horizontal="center" vertical="center" wrapText="1"/>
    </xf>
    <xf numFmtId="0" fontId="21" fillId="7" borderId="23" xfId="2" applyFont="1" applyFill="1" applyBorder="1" applyAlignment="1">
      <alignment horizontal="center" vertical="center" wrapText="1"/>
    </xf>
    <xf numFmtId="1" fontId="52" fillId="0" borderId="25" xfId="2" applyNumberFormat="1" applyFont="1" applyFill="1" applyBorder="1" applyAlignment="1">
      <alignment horizontal="center" vertical="center" wrapText="1"/>
    </xf>
    <xf numFmtId="1" fontId="52" fillId="0" borderId="22" xfId="2" applyNumberFormat="1" applyFont="1" applyFill="1" applyBorder="1" applyAlignment="1">
      <alignment horizontal="center" vertical="center" wrapText="1"/>
    </xf>
    <xf numFmtId="0" fontId="19" fillId="7" borderId="29" xfId="2" applyFont="1" applyFill="1" applyBorder="1" applyAlignment="1">
      <alignment horizontal="center" vertical="center" wrapText="1"/>
    </xf>
    <xf numFmtId="0" fontId="19" fillId="7" borderId="17" xfId="2" applyFont="1" applyFill="1" applyBorder="1" applyAlignment="1">
      <alignment horizontal="center" vertical="center" wrapText="1"/>
    </xf>
    <xf numFmtId="0" fontId="21" fillId="7" borderId="40" xfId="2" applyFont="1" applyFill="1" applyBorder="1" applyAlignment="1">
      <alignment horizontal="center" vertical="center" wrapText="1"/>
    </xf>
    <xf numFmtId="1" fontId="61" fillId="0" borderId="27" xfId="2" applyNumberFormat="1" applyFont="1" applyFill="1" applyBorder="1" applyAlignment="1">
      <alignment horizontal="center" vertical="center" wrapText="1"/>
    </xf>
    <xf numFmtId="0" fontId="61" fillId="0" borderId="25" xfId="2" applyFont="1" applyFill="1" applyBorder="1" applyAlignment="1">
      <alignment horizontal="center" vertical="center" wrapText="1"/>
    </xf>
    <xf numFmtId="0" fontId="61" fillId="0" borderId="26" xfId="2" applyFont="1" applyFill="1" applyBorder="1" applyAlignment="1">
      <alignment horizontal="center" vertical="center" wrapText="1"/>
    </xf>
    <xf numFmtId="0" fontId="61" fillId="0" borderId="22" xfId="2" applyFont="1" applyFill="1" applyBorder="1" applyAlignment="1">
      <alignment horizontal="center" vertical="center" wrapText="1"/>
    </xf>
    <xf numFmtId="1" fontId="59" fillId="0" borderId="27" xfId="2" applyNumberFormat="1" applyFont="1" applyFill="1" applyBorder="1" applyAlignment="1">
      <alignment horizontal="center" vertical="center" wrapText="1"/>
    </xf>
    <xf numFmtId="1" fontId="59" fillId="0" borderId="25" xfId="2" applyNumberFormat="1" applyFont="1" applyFill="1" applyBorder="1" applyAlignment="1">
      <alignment horizontal="center" vertical="center" wrapText="1"/>
    </xf>
    <xf numFmtId="0" fontId="57" fillId="7" borderId="29" xfId="2" applyFont="1" applyFill="1" applyBorder="1" applyAlignment="1">
      <alignment horizontal="center" vertical="center" wrapText="1"/>
    </xf>
    <xf numFmtId="0" fontId="57" fillId="7" borderId="21" xfId="2" applyFont="1" applyFill="1" applyBorder="1" applyAlignment="1">
      <alignment horizontal="center" vertical="center" wrapText="1"/>
    </xf>
    <xf numFmtId="0" fontId="56" fillId="7" borderId="26" xfId="2" applyFont="1" applyFill="1" applyBorder="1" applyAlignment="1">
      <alignment horizontal="center" vertical="center" wrapText="1"/>
    </xf>
    <xf numFmtId="0" fontId="56" fillId="7" borderId="22" xfId="2" applyFont="1" applyFill="1" applyBorder="1" applyAlignment="1">
      <alignment horizontal="center" vertical="center" wrapText="1"/>
    </xf>
    <xf numFmtId="1" fontId="59" fillId="0" borderId="19" xfId="2" applyNumberFormat="1" applyFont="1" applyFill="1" applyBorder="1" applyAlignment="1">
      <alignment horizontal="center" vertical="center" wrapText="1"/>
    </xf>
    <xf numFmtId="0" fontId="57" fillId="7" borderId="17" xfId="2" applyFont="1" applyFill="1" applyBorder="1" applyAlignment="1">
      <alignment horizontal="center" vertical="center" wrapText="1"/>
    </xf>
    <xf numFmtId="0" fontId="21" fillId="7" borderId="19" xfId="2" applyFont="1" applyFill="1" applyBorder="1" applyAlignment="1">
      <alignment horizontal="center" vertical="center" wrapText="1"/>
    </xf>
    <xf numFmtId="43" fontId="61" fillId="0" borderId="27" xfId="1" applyFont="1" applyFill="1" applyBorder="1" applyAlignment="1">
      <alignment horizontal="center" vertical="center" wrapText="1"/>
    </xf>
    <xf numFmtId="43" fontId="61" fillId="0" borderId="25" xfId="1" applyFont="1" applyFill="1" applyBorder="1" applyAlignment="1">
      <alignment horizontal="center" vertical="center" wrapText="1"/>
    </xf>
    <xf numFmtId="43" fontId="61" fillId="0" borderId="26" xfId="1" applyFont="1" applyFill="1" applyBorder="1" applyAlignment="1">
      <alignment horizontal="center" vertical="center" wrapText="1"/>
    </xf>
    <xf numFmtId="43" fontId="61" fillId="0" borderId="22" xfId="1" applyFont="1" applyFill="1" applyBorder="1" applyAlignment="1">
      <alignment horizontal="center" vertical="center" wrapText="1"/>
    </xf>
    <xf numFmtId="0" fontId="17" fillId="6" borderId="27" xfId="3" applyFont="1" applyFill="1" applyBorder="1" applyAlignment="1" applyProtection="1">
      <alignment horizontal="center"/>
    </xf>
    <xf numFmtId="0" fontId="17" fillId="6" borderId="25" xfId="3" applyFont="1" applyFill="1" applyBorder="1" applyAlignment="1" applyProtection="1">
      <alignment horizontal="center"/>
    </xf>
  </cellXfs>
  <cellStyles count="26">
    <cellStyle name="Comma" xfId="1" builtinId="3"/>
    <cellStyle name="Comma [0]" xfId="8" builtinId="6"/>
    <cellStyle name="Comma [0] 2" xfId="21" xr:uid="{00000000-0005-0000-0000-00003B000000}"/>
    <cellStyle name="Comma 2" xfId="18" xr:uid="{00000000-0005-0000-0000-00003C000000}"/>
    <cellStyle name="Normal" xfId="0" builtinId="0"/>
    <cellStyle name="Normal 12" xfId="7" xr:uid="{B8D9AAEC-0467-4805-ACD7-6D890617527B}"/>
    <cellStyle name="Normal 2" xfId="2" xr:uid="{7D72EE55-FE70-42DE-8D6E-70835A993102}"/>
    <cellStyle name="Normal 2 2" xfId="5" xr:uid="{98A71363-7F19-4EE5-9B5C-854194F894E2}"/>
    <cellStyle name="Normal 2 2 2" xfId="20" xr:uid="{00000000-0005-0000-0000-00003E000000}"/>
    <cellStyle name="Normal 2 3" xfId="12" xr:uid="{F16DFE1E-A7EF-407A-9856-16425E49E578}"/>
    <cellStyle name="Normal 3" xfId="3" xr:uid="{130023C1-48F6-4F49-90FE-26620669C057}"/>
    <cellStyle name="Normal 3 2" xfId="13" xr:uid="{43FDD4A8-EA20-4A5F-AABA-1CA6C0E9CF3F}"/>
    <cellStyle name="Normal 4" xfId="4" xr:uid="{204A41E3-AF79-4239-8055-633B9FDF77DC}"/>
    <cellStyle name="Normal 4 2" xfId="19" xr:uid="{00000000-0005-0000-0000-00003F000000}"/>
    <cellStyle name="Normal 5" xfId="10" xr:uid="{3AE1A6E6-BFBD-4C5B-96EC-E7B5EFD753D1}"/>
    <cellStyle name="Normal 5 2" xfId="23" xr:uid="{00000000-0005-0000-0000-000041000000}"/>
    <cellStyle name="Normal 5 3" xfId="15" xr:uid="{00000000-0005-0000-0000-000040000000}"/>
    <cellStyle name="Normal 6" xfId="11" xr:uid="{13A22BC2-9A3B-48E0-9F18-03CB054C6769}"/>
    <cellStyle name="Normal 6 2" xfId="24" xr:uid="{00000000-0005-0000-0000-000042000000}"/>
    <cellStyle name="Normal 7" xfId="17" xr:uid="{00000000-0005-0000-0000-000043000000}"/>
    <cellStyle name="Normal 8" xfId="14" xr:uid="{00000000-0005-0000-0000-00003D000000}"/>
    <cellStyle name="Normal 9" xfId="25" xr:uid="{0B4A2574-BB0F-4844-803F-495C04538315}"/>
    <cellStyle name="Normal_VNIC Long Thanh" xfId="6" xr:uid="{EF5B9F93-F60D-4897-8517-82E8182CE3D5}"/>
    <cellStyle name="Percent" xfId="9" builtinId="5"/>
    <cellStyle name="Percent 2" xfId="22" xr:uid="{00000000-0005-0000-0000-000045000000}"/>
    <cellStyle name="Tieu de phu" xfId="16" xr:uid="{00000000-0005-0000-0000-00004600000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connections" Target="connections.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4.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1.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5.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6.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1.png"/></Relationships>
</file>

<file path=xl/drawings/_rels/drawing8.xml.rels><?xml version="1.0" encoding="UTF-8" standalone="yes"?>
<Relationships xmlns="http://schemas.openxmlformats.org/package/2006/relationships"><Relationship Id="rId8" Type="http://schemas.openxmlformats.org/officeDocument/2006/relationships/image" Target="../media/image27.png"/><Relationship Id="rId3" Type="http://schemas.openxmlformats.org/officeDocument/2006/relationships/image" Target="../media/image25.png"/><Relationship Id="rId7" Type="http://schemas.openxmlformats.org/officeDocument/2006/relationships/image" Target="../media/image9.png"/><Relationship Id="rId2" Type="http://schemas.openxmlformats.org/officeDocument/2006/relationships/image" Target="../media/image24.png"/><Relationship Id="rId1" Type="http://schemas.openxmlformats.org/officeDocument/2006/relationships/image" Target="../media/image23.png"/><Relationship Id="rId6" Type="http://schemas.openxmlformats.org/officeDocument/2006/relationships/image" Target="../media/image8.png"/><Relationship Id="rId5" Type="http://schemas.openxmlformats.org/officeDocument/2006/relationships/image" Target="../media/image7.png"/><Relationship Id="rId10" Type="http://schemas.openxmlformats.org/officeDocument/2006/relationships/image" Target="../media/image29.png"/><Relationship Id="rId4" Type="http://schemas.openxmlformats.org/officeDocument/2006/relationships/image" Target="../media/image26.png"/><Relationship Id="rId9" Type="http://schemas.openxmlformats.org/officeDocument/2006/relationships/image" Target="../media/image28.png"/></Relationships>
</file>

<file path=xl/drawings/_rels/drawing9.xml.rels><?xml version="1.0" encoding="UTF-8" standalone="yes"?>
<Relationships xmlns="http://schemas.openxmlformats.org/package/2006/relationships"><Relationship Id="rId1" Type="http://schemas.openxmlformats.org/officeDocument/2006/relationships/image" Target="../media/image30.emf"/></Relationships>
</file>

<file path=xl/drawings/_rels/drawing11.xml.rels><?xml version="1.0" encoding="UTF-8" standalone="yes"?>
<Relationships xmlns="http://schemas.openxmlformats.org/package/2006/relationships"><Relationship Id="rId1" Type="http://schemas.openxmlformats.org/officeDocument/2006/relationships/image" Target="../media/image3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8.emf"/></Relationships>
</file>

<file path=xl/drawings/_rels/drawing13.xml.rels><?xml version="1.0" encoding="UTF-8" standalone="yes"?>
<Relationships xmlns="http://schemas.openxmlformats.org/package/2006/relationships"><Relationship Id="rId3" Type="http://schemas.openxmlformats.org/officeDocument/2006/relationships/image" Target="../media/image41.png"/><Relationship Id="rId7" Type="http://schemas.openxmlformats.org/officeDocument/2006/relationships/image" Target="../media/image45.png"/><Relationship Id="rId2" Type="http://schemas.openxmlformats.org/officeDocument/2006/relationships/image" Target="../media/image40.png"/><Relationship Id="rId1" Type="http://schemas.openxmlformats.org/officeDocument/2006/relationships/image" Target="../media/image39.png"/><Relationship Id="rId6" Type="http://schemas.openxmlformats.org/officeDocument/2006/relationships/image" Target="../media/image44.png"/><Relationship Id="rId5" Type="http://schemas.openxmlformats.org/officeDocument/2006/relationships/image" Target="../media/image43.png"/><Relationship Id="rId4" Type="http://schemas.openxmlformats.org/officeDocument/2006/relationships/image" Target="../media/image42.png"/></Relationships>
</file>

<file path=xl/drawings/_rels/drawing14.xml.rels><?xml version="1.0" encoding="UTF-8" standalone="yes"?>
<Relationships xmlns="http://schemas.openxmlformats.org/package/2006/relationships"><Relationship Id="rId3" Type="http://schemas.openxmlformats.org/officeDocument/2006/relationships/image" Target="../media/image48.png"/><Relationship Id="rId2" Type="http://schemas.openxmlformats.org/officeDocument/2006/relationships/image" Target="../media/image47.png"/><Relationship Id="rId1" Type="http://schemas.openxmlformats.org/officeDocument/2006/relationships/image" Target="../media/image46.png"/><Relationship Id="rId4" Type="http://schemas.openxmlformats.org/officeDocument/2006/relationships/image" Target="../media/image49.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8" Type="http://schemas.openxmlformats.org/officeDocument/2006/relationships/image" Target="../media/image6.emf"/><Relationship Id="rId3" Type="http://schemas.openxmlformats.org/officeDocument/2006/relationships/image" Target="../media/image3.emf"/><Relationship Id="rId7" Type="http://schemas.openxmlformats.org/officeDocument/2006/relationships/image" Target="../media/image5.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32.emf"/><Relationship Id="rId5" Type="http://schemas.openxmlformats.org/officeDocument/2006/relationships/image" Target="../media/image31.emf"/><Relationship Id="rId4"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36.emf"/><Relationship Id="rId2" Type="http://schemas.openxmlformats.org/officeDocument/2006/relationships/image" Target="../media/image35.emf"/><Relationship Id="rId1" Type="http://schemas.openxmlformats.org/officeDocument/2006/relationships/image" Target="../media/image34.emf"/><Relationship Id="rId4" Type="http://schemas.openxmlformats.org/officeDocument/2006/relationships/image" Target="../media/image37.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29</xdr:row>
          <xdr:rowOff>25400</xdr:rowOff>
        </xdr:from>
        <xdr:to>
          <xdr:col>1</xdr:col>
          <xdr:colOff>723900</xdr:colOff>
          <xdr:row>34</xdr:row>
          <xdr:rowOff>177800</xdr:rowOff>
        </xdr:to>
        <xdr:sp macro="" textlink="">
          <xdr:nvSpPr>
            <xdr:cNvPr id="28673" name="Object 1" hidden="1">
              <a:extLst>
                <a:ext uri="{63B3BB69-23CF-44E3-9099-C40C66FF867C}">
                  <a14:compatExt spid="_x0000_s28673"/>
                </a:ext>
                <a:ext uri="{FF2B5EF4-FFF2-40B4-BE49-F238E27FC236}">
                  <a16:creationId xmlns:a16="http://schemas.microsoft.com/office/drawing/2014/main" id="{00000000-0008-0000-0200-000001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1054100</xdr:colOff>
          <xdr:row>34</xdr:row>
          <xdr:rowOff>165100</xdr:rowOff>
        </xdr:from>
        <xdr:to>
          <xdr:col>2</xdr:col>
          <xdr:colOff>406400</xdr:colOff>
          <xdr:row>38</xdr:row>
          <xdr:rowOff>165100</xdr:rowOff>
        </xdr:to>
        <xdr:sp macro="" textlink="">
          <xdr:nvSpPr>
            <xdr:cNvPr id="28674" name="Object 2" hidden="1">
              <a:extLst>
                <a:ext uri="{63B3BB69-23CF-44E3-9099-C40C66FF867C}">
                  <a14:compatExt spid="_x0000_s28674"/>
                </a:ext>
                <a:ext uri="{FF2B5EF4-FFF2-40B4-BE49-F238E27FC236}">
                  <a16:creationId xmlns:a16="http://schemas.microsoft.com/office/drawing/2014/main" id="{00000000-0008-0000-0200-000002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38</xdr:row>
          <xdr:rowOff>203200</xdr:rowOff>
        </xdr:from>
        <xdr:to>
          <xdr:col>2</xdr:col>
          <xdr:colOff>546100</xdr:colOff>
          <xdr:row>40</xdr:row>
          <xdr:rowOff>63500</xdr:rowOff>
        </xdr:to>
        <xdr:sp macro="" textlink="">
          <xdr:nvSpPr>
            <xdr:cNvPr id="28675" name="Object 3" hidden="1">
              <a:extLst>
                <a:ext uri="{63B3BB69-23CF-44E3-9099-C40C66FF867C}">
                  <a14:compatExt spid="_x0000_s28675"/>
                </a:ext>
                <a:ext uri="{FF2B5EF4-FFF2-40B4-BE49-F238E27FC236}">
                  <a16:creationId xmlns:a16="http://schemas.microsoft.com/office/drawing/2014/main" id="{00000000-0008-0000-0200-000003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47</xdr:row>
          <xdr:rowOff>88900</xdr:rowOff>
        </xdr:from>
        <xdr:to>
          <xdr:col>1</xdr:col>
          <xdr:colOff>812800</xdr:colOff>
          <xdr:row>53</xdr:row>
          <xdr:rowOff>50800</xdr:rowOff>
        </xdr:to>
        <xdr:sp macro="" textlink="">
          <xdr:nvSpPr>
            <xdr:cNvPr id="28676" name="Object 4" hidden="1">
              <a:extLst>
                <a:ext uri="{63B3BB69-23CF-44E3-9099-C40C66FF867C}">
                  <a14:compatExt spid="_x0000_s28676"/>
                </a:ext>
                <a:ext uri="{FF2B5EF4-FFF2-40B4-BE49-F238E27FC236}">
                  <a16:creationId xmlns:a16="http://schemas.microsoft.com/office/drawing/2014/main" id="{00000000-0008-0000-0200-000004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53</xdr:row>
          <xdr:rowOff>152400</xdr:rowOff>
        </xdr:from>
        <xdr:to>
          <xdr:col>2</xdr:col>
          <xdr:colOff>698500</xdr:colOff>
          <xdr:row>57</xdr:row>
          <xdr:rowOff>152400</xdr:rowOff>
        </xdr:to>
        <xdr:sp macro="" textlink="">
          <xdr:nvSpPr>
            <xdr:cNvPr id="28677" name="Object 5" hidden="1">
              <a:extLst>
                <a:ext uri="{63B3BB69-23CF-44E3-9099-C40C66FF867C}">
                  <a14:compatExt spid="_x0000_s28677"/>
                </a:ext>
                <a:ext uri="{FF2B5EF4-FFF2-40B4-BE49-F238E27FC236}">
                  <a16:creationId xmlns:a16="http://schemas.microsoft.com/office/drawing/2014/main" id="{00000000-0008-0000-0200-000005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xdr:row>
          <xdr:rowOff>38100</xdr:rowOff>
        </xdr:from>
        <xdr:to>
          <xdr:col>3</xdr:col>
          <xdr:colOff>304800</xdr:colOff>
          <xdr:row>44</xdr:row>
          <xdr:rowOff>38100</xdr:rowOff>
        </xdr:to>
        <xdr:sp macro="" textlink="">
          <xdr:nvSpPr>
            <xdr:cNvPr id="28678" name="Object 6" hidden="1">
              <a:extLst>
                <a:ext uri="{63B3BB69-23CF-44E3-9099-C40C66FF867C}">
                  <a14:compatExt spid="_x0000_s28678"/>
                </a:ext>
                <a:ext uri="{FF2B5EF4-FFF2-40B4-BE49-F238E27FC236}">
                  <a16:creationId xmlns:a16="http://schemas.microsoft.com/office/drawing/2014/main" id="{00000000-0008-0000-0200-000006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56</xdr:row>
          <xdr:rowOff>203200</xdr:rowOff>
        </xdr:from>
        <xdr:to>
          <xdr:col>2</xdr:col>
          <xdr:colOff>546100</xdr:colOff>
          <xdr:row>58</xdr:row>
          <xdr:rowOff>63500</xdr:rowOff>
        </xdr:to>
        <xdr:sp macro="" textlink="">
          <xdr:nvSpPr>
            <xdr:cNvPr id="28679" name="Object 7" hidden="1">
              <a:extLst>
                <a:ext uri="{63B3BB69-23CF-44E3-9099-C40C66FF867C}">
                  <a14:compatExt spid="_x0000_s28679"/>
                </a:ext>
                <a:ext uri="{FF2B5EF4-FFF2-40B4-BE49-F238E27FC236}">
                  <a16:creationId xmlns:a16="http://schemas.microsoft.com/office/drawing/2014/main" id="{00000000-0008-0000-0200-000007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59</xdr:row>
          <xdr:rowOff>76200</xdr:rowOff>
        </xdr:from>
        <xdr:to>
          <xdr:col>3</xdr:col>
          <xdr:colOff>482600</xdr:colOff>
          <xdr:row>62</xdr:row>
          <xdr:rowOff>127000</xdr:rowOff>
        </xdr:to>
        <xdr:sp macro="" textlink="">
          <xdr:nvSpPr>
            <xdr:cNvPr id="28680" name="Object 8" hidden="1">
              <a:extLst>
                <a:ext uri="{63B3BB69-23CF-44E3-9099-C40C66FF867C}">
                  <a14:compatExt spid="_x0000_s28680"/>
                </a:ext>
                <a:ext uri="{FF2B5EF4-FFF2-40B4-BE49-F238E27FC236}">
                  <a16:creationId xmlns:a16="http://schemas.microsoft.com/office/drawing/2014/main" id="{00000000-0008-0000-0200-000008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35</xdr:row>
          <xdr:rowOff>139700</xdr:rowOff>
        </xdr:from>
        <xdr:to>
          <xdr:col>7</xdr:col>
          <xdr:colOff>25400</xdr:colOff>
          <xdr:row>39</xdr:row>
          <xdr:rowOff>50800</xdr:rowOff>
        </xdr:to>
        <xdr:sp macro="" textlink="">
          <xdr:nvSpPr>
            <xdr:cNvPr id="28681" name="Object 9" hidden="1">
              <a:extLst>
                <a:ext uri="{63B3BB69-23CF-44E3-9099-C40C66FF867C}">
                  <a14:compatExt spid="_x0000_s28681"/>
                </a:ext>
                <a:ext uri="{FF2B5EF4-FFF2-40B4-BE49-F238E27FC236}">
                  <a16:creationId xmlns:a16="http://schemas.microsoft.com/office/drawing/2014/main" id="{00000000-0008-0000-0200-000009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53</xdr:row>
          <xdr:rowOff>139700</xdr:rowOff>
        </xdr:from>
        <xdr:to>
          <xdr:col>7</xdr:col>
          <xdr:colOff>0</xdr:colOff>
          <xdr:row>57</xdr:row>
          <xdr:rowOff>50800</xdr:rowOff>
        </xdr:to>
        <xdr:sp macro="" textlink="">
          <xdr:nvSpPr>
            <xdr:cNvPr id="28682" name="Object 10" hidden="1">
              <a:extLst>
                <a:ext uri="{63B3BB69-23CF-44E3-9099-C40C66FF867C}">
                  <a14:compatExt spid="_x0000_s28682"/>
                </a:ext>
                <a:ext uri="{FF2B5EF4-FFF2-40B4-BE49-F238E27FC236}">
                  <a16:creationId xmlns:a16="http://schemas.microsoft.com/office/drawing/2014/main" id="{00000000-0008-0000-0200-00000A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0</xdr:colOff>
      <xdr:row>258</xdr:row>
      <xdr:rowOff>0</xdr:rowOff>
    </xdr:from>
    <xdr:to>
      <xdr:col>0</xdr:col>
      <xdr:colOff>180975</xdr:colOff>
      <xdr:row>259</xdr:row>
      <xdr:rowOff>23813</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0639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260</xdr:row>
      <xdr:rowOff>0</xdr:rowOff>
    </xdr:from>
    <xdr:to>
      <xdr:col>0</xdr:col>
      <xdr:colOff>357188</xdr:colOff>
      <xdr:row>261</xdr:row>
      <xdr:rowOff>47625</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483000"/>
          <a:ext cx="357188"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261</xdr:row>
      <xdr:rowOff>0</xdr:rowOff>
    </xdr:from>
    <xdr:to>
      <xdr:col>0</xdr:col>
      <xdr:colOff>157163</xdr:colOff>
      <xdr:row>262</xdr:row>
      <xdr:rowOff>23813</xdr:rowOff>
    </xdr:to>
    <xdr:pic>
      <xdr:nvPicPr>
        <xdr:cNvPr id="5" name="Picture 4">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69255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263</xdr:row>
      <xdr:rowOff>0</xdr:rowOff>
    </xdr:from>
    <xdr:to>
      <xdr:col>0</xdr:col>
      <xdr:colOff>90488</xdr:colOff>
      <xdr:row>264</xdr:row>
      <xdr:rowOff>23813</xdr:rowOff>
    </xdr:to>
    <xdr:pic>
      <xdr:nvPicPr>
        <xdr:cNvPr id="6" name="Picture 5">
          <a:extLst>
            <a:ext uri="{FF2B5EF4-FFF2-40B4-BE49-F238E27FC236}">
              <a16:creationId xmlns:a16="http://schemas.microsoft.com/office/drawing/2014/main" id="{00000000-0008-0000-0300-00000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511165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112</xdr:row>
      <xdr:rowOff>0</xdr:rowOff>
    </xdr:from>
    <xdr:to>
      <xdr:col>0</xdr:col>
      <xdr:colOff>241300</xdr:colOff>
      <xdr:row>113</xdr:row>
      <xdr:rowOff>50800</xdr:rowOff>
    </xdr:to>
    <xdr:pic>
      <xdr:nvPicPr>
        <xdr:cNvPr id="3" name="Picture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428200"/>
          <a:ext cx="2413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4" name="Picture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6672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5" name="Picture 4">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493250" y="31527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6" name="Picture 5">
          <a:extLst>
            <a:ext uri="{FF2B5EF4-FFF2-40B4-BE49-F238E27FC236}">
              <a16:creationId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85400" y="313499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7" name="Picture 6">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77550" y="313499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167</xdr:row>
      <xdr:rowOff>0</xdr:rowOff>
    </xdr:from>
    <xdr:to>
      <xdr:col>6</xdr:col>
      <xdr:colOff>196850</xdr:colOff>
      <xdr:row>168</xdr:row>
      <xdr:rowOff>76200</xdr:rowOff>
    </xdr:to>
    <xdr:pic>
      <xdr:nvPicPr>
        <xdr:cNvPr id="8" name="Picture 7">
          <a:extLst>
            <a:ext uri="{FF2B5EF4-FFF2-40B4-BE49-F238E27FC236}">
              <a16:creationId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724650" y="333565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166</xdr:row>
      <xdr:rowOff>0</xdr:rowOff>
    </xdr:from>
    <xdr:to>
      <xdr:col>7</xdr:col>
      <xdr:colOff>247650</xdr:colOff>
      <xdr:row>167</xdr:row>
      <xdr:rowOff>82550</xdr:rowOff>
    </xdr:to>
    <xdr:pic>
      <xdr:nvPicPr>
        <xdr:cNvPr id="9" name="Picture 8">
          <a:extLst>
            <a:ext uri="{FF2B5EF4-FFF2-40B4-BE49-F238E27FC236}">
              <a16:creationId xmlns:a16="http://schemas.microsoft.com/office/drawing/2014/main" id="{00000000-0008-0000-0400-00000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416800" y="331787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167</xdr:row>
      <xdr:rowOff>0</xdr:rowOff>
    </xdr:from>
    <xdr:to>
      <xdr:col>8</xdr:col>
      <xdr:colOff>114300</xdr:colOff>
      <xdr:row>168</xdr:row>
      <xdr:rowOff>31750</xdr:rowOff>
    </xdr:to>
    <xdr:pic>
      <xdr:nvPicPr>
        <xdr:cNvPr id="10" name="Picture 9">
          <a:extLst>
            <a:ext uri="{FF2B5EF4-FFF2-40B4-BE49-F238E27FC236}">
              <a16:creationId xmlns:a16="http://schemas.microsoft.com/office/drawing/2014/main" id="{00000000-0008-0000-0400-00000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356600" y="333565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1" name="Picture 10">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119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2" name="Picture 11">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3" name="Picture 12">
          <a:extLst>
            <a:ext uri="{FF2B5EF4-FFF2-40B4-BE49-F238E27FC236}">
              <a16:creationId xmlns:a16="http://schemas.microsoft.com/office/drawing/2014/main" id="{00000000-0008-0000-0400-00000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190</xdr:row>
      <xdr:rowOff>0</xdr:rowOff>
    </xdr:from>
    <xdr:to>
      <xdr:col>0</xdr:col>
      <xdr:colOff>215900</xdr:colOff>
      <xdr:row>191</xdr:row>
      <xdr:rowOff>57150</xdr:rowOff>
    </xdr:to>
    <xdr:pic>
      <xdr:nvPicPr>
        <xdr:cNvPr id="14" name="Picture 13">
          <a:extLst>
            <a:ext uri="{FF2B5EF4-FFF2-40B4-BE49-F238E27FC236}">
              <a16:creationId xmlns:a16="http://schemas.microsoft.com/office/drawing/2014/main" id="{00000000-0008-0000-0400-00000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0174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xdr:row>
      <xdr:rowOff>0</xdr:rowOff>
    </xdr:from>
    <xdr:to>
      <xdr:col>0</xdr:col>
      <xdr:colOff>88900</xdr:colOff>
      <xdr:row>194</xdr:row>
      <xdr:rowOff>57150</xdr:rowOff>
    </xdr:to>
    <xdr:pic>
      <xdr:nvPicPr>
        <xdr:cNvPr id="15" name="Picture 14">
          <a:extLst>
            <a:ext uri="{FF2B5EF4-FFF2-40B4-BE49-F238E27FC236}">
              <a16:creationId xmlns:a16="http://schemas.microsoft.com/office/drawing/2014/main" id="{00000000-0008-0000-0400-00000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5508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194</xdr:row>
      <xdr:rowOff>0</xdr:rowOff>
    </xdr:from>
    <xdr:to>
      <xdr:col>0</xdr:col>
      <xdr:colOff>82550</xdr:colOff>
      <xdr:row>195</xdr:row>
      <xdr:rowOff>57150</xdr:rowOff>
    </xdr:to>
    <xdr:pic>
      <xdr:nvPicPr>
        <xdr:cNvPr id="16" name="Picture 15">
          <a:extLst>
            <a:ext uri="{FF2B5EF4-FFF2-40B4-BE49-F238E27FC236}">
              <a16:creationId xmlns:a16="http://schemas.microsoft.com/office/drawing/2014/main" id="{00000000-0008-0000-0400-000010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728650"/>
          <a:ext cx="8255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545623</xdr:colOff>
      <xdr:row>107</xdr:row>
      <xdr:rowOff>5302</xdr:rowOff>
    </xdr:from>
    <xdr:ext cx="330475" cy="172227"/>
    <mc:AlternateContent xmlns:mc="http://schemas.openxmlformats.org/markup-compatibility/2006" xmlns:a14="http://schemas.microsoft.com/office/drawing/2010/main">
      <mc:Choice Requires="a14">
        <xdr:sp macro="" textlink="">
          <xdr:nvSpPr>
            <xdr:cNvPr id="21" name="TextBox 20">
              <a:extLst>
                <a:ext uri="{FF2B5EF4-FFF2-40B4-BE49-F238E27FC236}">
                  <a16:creationId xmlns:a16="http://schemas.microsoft.com/office/drawing/2014/main" id="{00000000-0008-0000-0400-000015000000}"/>
                </a:ext>
              </a:extLst>
            </xdr:cNvPr>
            <xdr:cNvSpPr txBox="1"/>
          </xdr:nvSpPr>
          <xdr:spPr>
            <a:xfrm>
              <a:off x="18966973" y="210555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𝑷</m:t>
                      </m:r>
                    </m:e>
                    <m:sub>
                      <m:r>
                        <a:rPr lang="en-US" sz="1100" b="1" i="1">
                          <a:latin typeface="Cambria Math" panose="02040503050406030204" pitchFamily="18" charset="0"/>
                        </a:rPr>
                        <m:t>𝒊</m:t>
                      </m:r>
                    </m:sub>
                  </m:sSub>
                </m:oMath>
              </a14:m>
              <a:r>
                <a:rPr lang="en-US" sz="1100" b="1"/>
                <a:t> (T)</a:t>
              </a:r>
              <a:endParaRPr lang="vi-VN" sz="1100" b="1"/>
            </a:p>
          </xdr:txBody>
        </xdr:sp>
      </mc:Choice>
      <mc:Fallback xmlns="">
        <xdr:sp macro="" textlink="">
          <xdr:nvSpPr>
            <xdr:cNvPr id="21" name="TextBox 20">
              <a:extLst>
                <a:ext uri="{FF2B5EF4-FFF2-40B4-BE49-F238E27FC236}">
                  <a16:creationId xmlns:a16="http://schemas.microsoft.com/office/drawing/2014/main" id="{9854F464-AC58-4B0D-9D10-1A3B093CB5CB}"/>
                </a:ext>
              </a:extLst>
            </xdr:cNvPr>
            <xdr:cNvSpPr txBox="1"/>
          </xdr:nvSpPr>
          <xdr:spPr>
            <a:xfrm>
              <a:off x="18966973" y="210555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𝑷</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(T)</a:t>
              </a:r>
              <a:endParaRPr lang="vi-VN" sz="1100" b="1"/>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17" name="Picture 16">
          <a:extLst>
            <a:ext uri="{FF2B5EF4-FFF2-40B4-BE49-F238E27FC236}">
              <a16:creationId xmlns:a16="http://schemas.microsoft.com/office/drawing/2014/main" id="{00000000-0008-0000-0400-000011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0091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18" name="Picture 17">
          <a:extLst>
            <a:ext uri="{FF2B5EF4-FFF2-40B4-BE49-F238E27FC236}">
              <a16:creationId xmlns:a16="http://schemas.microsoft.com/office/drawing/2014/main" id="{00000000-0008-0000-0400-000012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19" name="Picture 18">
          <a:extLst>
            <a:ext uri="{FF2B5EF4-FFF2-40B4-BE49-F238E27FC236}">
              <a16:creationId xmlns:a16="http://schemas.microsoft.com/office/drawing/2014/main" id="{00000000-0008-0000-0400-000013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0" name="Picture 19">
          <a:extLst>
            <a:ext uri="{FF2B5EF4-FFF2-40B4-BE49-F238E27FC236}">
              <a16:creationId xmlns:a16="http://schemas.microsoft.com/office/drawing/2014/main" id="{00000000-0008-0000-0400-000014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2" name="Picture 21">
          <a:extLst>
            <a:ext uri="{FF2B5EF4-FFF2-40B4-BE49-F238E27FC236}">
              <a16:creationId xmlns:a16="http://schemas.microsoft.com/office/drawing/2014/main" id="{00000000-0008-0000-04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3" name="Picture 22">
          <a:extLst>
            <a:ext uri="{FF2B5EF4-FFF2-40B4-BE49-F238E27FC236}">
              <a16:creationId xmlns:a16="http://schemas.microsoft.com/office/drawing/2014/main" id="{00000000-0008-0000-0400-00001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4" name="Picture 23">
          <a:extLst>
            <a:ext uri="{FF2B5EF4-FFF2-40B4-BE49-F238E27FC236}">
              <a16:creationId xmlns:a16="http://schemas.microsoft.com/office/drawing/2014/main" id="{00000000-0008-0000-0400-00001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25" name="Picture 24">
          <a:extLst>
            <a:ext uri="{FF2B5EF4-FFF2-40B4-BE49-F238E27FC236}">
              <a16:creationId xmlns:a16="http://schemas.microsoft.com/office/drawing/2014/main" id="{00000000-0008-0000-0400-00001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5340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6" name="Picture 25">
          <a:extLst>
            <a:ext uri="{FF2B5EF4-FFF2-40B4-BE49-F238E27FC236}">
              <a16:creationId xmlns:a16="http://schemas.microsoft.com/office/drawing/2014/main" id="{00000000-0008-0000-0400-00001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7" name="Picture 26">
          <a:extLst>
            <a:ext uri="{FF2B5EF4-FFF2-40B4-BE49-F238E27FC236}">
              <a16:creationId xmlns:a16="http://schemas.microsoft.com/office/drawing/2014/main" id="{00000000-0008-0000-0400-00001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8" name="Picture 27">
          <a:extLst>
            <a:ext uri="{FF2B5EF4-FFF2-40B4-BE49-F238E27FC236}">
              <a16:creationId xmlns:a16="http://schemas.microsoft.com/office/drawing/2014/main" id="{00000000-0008-0000-0400-00001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349250</xdr:colOff>
      <xdr:row>111</xdr:row>
      <xdr:rowOff>146050</xdr:rowOff>
    </xdr:from>
    <xdr:to>
      <xdr:col>4</xdr:col>
      <xdr:colOff>590550</xdr:colOff>
      <xdr:row>113</xdr:row>
      <xdr:rowOff>19050</xdr:rowOff>
    </xdr:to>
    <xdr:pic>
      <xdr:nvPicPr>
        <xdr:cNvPr id="29" name="Picture 28">
          <a:extLst>
            <a:ext uri="{FF2B5EF4-FFF2-40B4-BE49-F238E27FC236}">
              <a16:creationId xmlns:a16="http://schemas.microsoft.com/office/drawing/2014/main" id="{00000000-0008-0000-0400-00001D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0" name="Picture 29">
          <a:extLst>
            <a:ext uri="{FF2B5EF4-FFF2-40B4-BE49-F238E27FC236}">
              <a16:creationId xmlns:a16="http://schemas.microsoft.com/office/drawing/2014/main" id="{00000000-0008-0000-0400-00001E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31" name="Picture 30">
          <a:extLst>
            <a:ext uri="{FF2B5EF4-FFF2-40B4-BE49-F238E27FC236}">
              <a16:creationId xmlns:a16="http://schemas.microsoft.com/office/drawing/2014/main" id="{00000000-0008-0000-0400-00001F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32" name="Picture 31">
          <a:extLst>
            <a:ext uri="{FF2B5EF4-FFF2-40B4-BE49-F238E27FC236}">
              <a16:creationId xmlns:a16="http://schemas.microsoft.com/office/drawing/2014/main" id="{00000000-0008-0000-0400-000020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33" name="Picture 32">
          <a:extLst>
            <a:ext uri="{FF2B5EF4-FFF2-40B4-BE49-F238E27FC236}">
              <a16:creationId xmlns:a16="http://schemas.microsoft.com/office/drawing/2014/main" id="{00000000-0008-0000-0400-000021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34" name="Picture 33">
          <a:extLst>
            <a:ext uri="{FF2B5EF4-FFF2-40B4-BE49-F238E27FC236}">
              <a16:creationId xmlns:a16="http://schemas.microsoft.com/office/drawing/2014/main" id="{00000000-0008-0000-0400-00002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35" name="Picture 34">
          <a:extLst>
            <a:ext uri="{FF2B5EF4-FFF2-40B4-BE49-F238E27FC236}">
              <a16:creationId xmlns:a16="http://schemas.microsoft.com/office/drawing/2014/main" id="{00000000-0008-0000-0400-000023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36" name="Picture 35">
          <a:extLst>
            <a:ext uri="{FF2B5EF4-FFF2-40B4-BE49-F238E27FC236}">
              <a16:creationId xmlns:a16="http://schemas.microsoft.com/office/drawing/2014/main" id="{00000000-0008-0000-0400-000024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37" name="Picture 36">
          <a:extLst>
            <a:ext uri="{FF2B5EF4-FFF2-40B4-BE49-F238E27FC236}">
              <a16:creationId xmlns:a16="http://schemas.microsoft.com/office/drawing/2014/main" id="{00000000-0008-0000-0400-000025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38" name="Picture 37">
          <a:extLst>
            <a:ext uri="{FF2B5EF4-FFF2-40B4-BE49-F238E27FC236}">
              <a16:creationId xmlns:a16="http://schemas.microsoft.com/office/drawing/2014/main" id="{00000000-0008-0000-0400-000026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39" name="Picture 38">
          <a:extLst>
            <a:ext uri="{FF2B5EF4-FFF2-40B4-BE49-F238E27FC236}">
              <a16:creationId xmlns:a16="http://schemas.microsoft.com/office/drawing/2014/main" id="{00000000-0008-0000-0400-000027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31750</xdr:colOff>
      <xdr:row>112</xdr:row>
      <xdr:rowOff>0</xdr:rowOff>
    </xdr:from>
    <xdr:to>
      <xdr:col>0</xdr:col>
      <xdr:colOff>133350</xdr:colOff>
      <xdr:row>113</xdr:row>
      <xdr:rowOff>57150</xdr:rowOff>
    </xdr:to>
    <xdr:pic>
      <xdr:nvPicPr>
        <xdr:cNvPr id="40" name="Picture 39">
          <a:extLst>
            <a:ext uri="{FF2B5EF4-FFF2-40B4-BE49-F238E27FC236}">
              <a16:creationId xmlns:a16="http://schemas.microsoft.com/office/drawing/2014/main" id="{00000000-0008-0000-0400-000028000000}"/>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00000000-0008-0000-0400-000029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1" name="TextBox 40">
              <a:extLst>
                <a:ext uri="{FF2B5EF4-FFF2-40B4-BE49-F238E27FC236}">
                  <a16:creationId xmlns:a16="http://schemas.microsoft.com/office/drawing/2014/main" id="{2C728501-B407-4332-83DA-6F9D81DFDD99}"/>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𝒈𝒍</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00000000-0008-0000-0400-00002A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2" name="TextBox 41">
              <a:extLst>
                <a:ext uri="{FF2B5EF4-FFF2-40B4-BE49-F238E27FC236}">
                  <a16:creationId xmlns:a16="http://schemas.microsoft.com/office/drawing/2014/main" id="{491E140F-08EA-4DDE-A472-3F65E8F94D98}"/>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𝒃𝒕</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43" name="TextBox 42">
              <a:extLst>
                <a:ext uri="{FF2B5EF4-FFF2-40B4-BE49-F238E27FC236}">
                  <a16:creationId xmlns:a16="http://schemas.microsoft.com/office/drawing/2014/main" id="{00000000-0008-0000-0400-00002B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43" name="TextBox 42">
              <a:extLst>
                <a:ext uri="{FF2B5EF4-FFF2-40B4-BE49-F238E27FC236}">
                  <a16:creationId xmlns:a16="http://schemas.microsoft.com/office/drawing/2014/main" id="{443E3EB2-852C-446D-9E64-44E167D9A775}"/>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𝒛^𝒈𝒍</a:t>
              </a:r>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a:t>
              </a:r>
              <a:r>
                <a:rPr lang="en-US" sz="1100" b="1" i="0">
                  <a:solidFill>
                    <a:schemeClr val="tx1"/>
                  </a:solidFill>
                  <a:effectLst/>
                  <a:latin typeface="Cambria Math" panose="02040503050406030204" pitchFamily="18" charset="0"/>
                  <a:ea typeface="+mn-ea"/>
                  <a:cs typeface="+mn-cs"/>
                </a:rPr>
                <a:t>𝒃𝒕</a:t>
              </a:r>
              <a:r>
                <a:rPr lang="el-GR" sz="1100" b="1" i="0">
                  <a:solidFill>
                    <a:schemeClr val="tx1"/>
                  </a:solidFill>
                  <a:effectLst/>
                  <a:latin typeface="Cambria Math" panose="02040503050406030204" pitchFamily="18" charset="0"/>
                  <a:ea typeface="+mn-ea"/>
                  <a:cs typeface="+mn-cs"/>
                </a:rPr>
                <a:t> )</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44" name="TextBox 43">
              <a:extLst>
                <a:ext uri="{FF2B5EF4-FFF2-40B4-BE49-F238E27FC236}">
                  <a16:creationId xmlns:a16="http://schemas.microsoft.com/office/drawing/2014/main" id="{00000000-0008-0000-0400-00002C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4" name="TextBox 43">
              <a:extLst>
                <a:ext uri="{FF2B5EF4-FFF2-40B4-BE49-F238E27FC236}">
                  <a16:creationId xmlns:a16="http://schemas.microsoft.com/office/drawing/2014/main" id="{874F49D7-7C0D-4547-8E80-4964CA728BFB}"/>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45" name="TextBox 44">
              <a:extLst>
                <a:ext uri="{FF2B5EF4-FFF2-40B4-BE49-F238E27FC236}">
                  <a16:creationId xmlns:a16="http://schemas.microsoft.com/office/drawing/2014/main" id="{00000000-0008-0000-0400-00002D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45" name="TextBox 44">
              <a:extLst>
                <a:ext uri="{FF2B5EF4-FFF2-40B4-BE49-F238E27FC236}">
                  <a16:creationId xmlns:a16="http://schemas.microsoft.com/office/drawing/2014/main" id="{548B3A20-D36B-4815-A583-539123C20B2F}"/>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46" name="TextBox 45">
              <a:extLst>
                <a:ext uri="{FF2B5EF4-FFF2-40B4-BE49-F238E27FC236}">
                  <a16:creationId xmlns:a16="http://schemas.microsoft.com/office/drawing/2014/main" id="{00000000-0008-0000-0400-00002E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46" name="TextBox 45">
              <a:extLst>
                <a:ext uri="{FF2B5EF4-FFF2-40B4-BE49-F238E27FC236}">
                  <a16:creationId xmlns:a16="http://schemas.microsoft.com/office/drawing/2014/main" id="{1600276D-B17C-4BEC-B39F-97D3BD20B154}"/>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〖𝑳_𝒒𝒖/𝑩</a:t>
              </a:r>
              <a:r>
                <a:rPr lang="en-US" sz="1100" b="1" i="0">
                  <a:solidFill>
                    <a:schemeClr val="tx1"/>
                  </a:solidFill>
                  <a:effectLst/>
                  <a:latin typeface="+mn-lt"/>
                  <a:ea typeface="+mn-ea"/>
                  <a:cs typeface="+mn-cs"/>
                </a:rPr>
                <a:t>_𝒒𝒖</a:t>
              </a:r>
              <a:r>
                <a:rPr lang="en-US" sz="1100" b="1" i="0">
                  <a:solidFill>
                    <a:schemeClr val="tx1"/>
                  </a:solidFill>
                  <a:effectLst/>
                  <a:latin typeface="Cambria Math" panose="02040503050406030204" pitchFamily="18" charset="0"/>
                  <a:ea typeface="+mn-ea"/>
                  <a:cs typeface="+mn-cs"/>
                </a:rPr>
                <a:t>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00000000-0008-0000-0400-00002F000000}"/>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47" name="TextBox 46">
              <a:extLst>
                <a:ext uri="{FF2B5EF4-FFF2-40B4-BE49-F238E27FC236}">
                  <a16:creationId xmlns:a16="http://schemas.microsoft.com/office/drawing/2014/main" id="{AEE00C37-D926-4CBE-80E2-609A226B0321}"/>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48" name="TextBox 47">
              <a:extLst>
                <a:ext uri="{FF2B5EF4-FFF2-40B4-BE49-F238E27FC236}">
                  <a16:creationId xmlns:a16="http://schemas.microsoft.com/office/drawing/2014/main" id="{00000000-0008-0000-0400-000030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48" name="TextBox 47">
              <a:extLst>
                <a:ext uri="{FF2B5EF4-FFF2-40B4-BE49-F238E27FC236}">
                  <a16:creationId xmlns:a16="http://schemas.microsoft.com/office/drawing/2014/main" id="{50A976F6-1606-459E-A922-D88D7F53940C}"/>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49" name="Picture 48">
          <a:extLst>
            <a:ext uri="{FF2B5EF4-FFF2-40B4-BE49-F238E27FC236}">
              <a16:creationId xmlns:a16="http://schemas.microsoft.com/office/drawing/2014/main" id="{00000000-0008-0000-0400-000031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900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50" name="Picture 49">
          <a:extLst>
            <a:ext uri="{FF2B5EF4-FFF2-40B4-BE49-F238E27FC236}">
              <a16:creationId xmlns:a16="http://schemas.microsoft.com/office/drawing/2014/main" id="{00000000-0008-0000-0400-000032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51" name="Picture 50">
          <a:extLst>
            <a:ext uri="{FF2B5EF4-FFF2-40B4-BE49-F238E27FC236}">
              <a16:creationId xmlns:a16="http://schemas.microsoft.com/office/drawing/2014/main" id="{00000000-0008-0000-0400-000033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039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2" name="Picture 51">
          <a:extLst>
            <a:ext uri="{FF2B5EF4-FFF2-40B4-BE49-F238E27FC236}">
              <a16:creationId xmlns:a16="http://schemas.microsoft.com/office/drawing/2014/main" id="{00000000-0008-0000-0400-000034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53" name="Picture 52">
          <a:extLst>
            <a:ext uri="{FF2B5EF4-FFF2-40B4-BE49-F238E27FC236}">
              <a16:creationId xmlns:a16="http://schemas.microsoft.com/office/drawing/2014/main" id="{00000000-0008-0000-0400-000035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167</xdr:row>
      <xdr:rowOff>0</xdr:rowOff>
    </xdr:from>
    <xdr:to>
      <xdr:col>6</xdr:col>
      <xdr:colOff>196850</xdr:colOff>
      <xdr:row>168</xdr:row>
      <xdr:rowOff>76200</xdr:rowOff>
    </xdr:to>
    <xdr:pic>
      <xdr:nvPicPr>
        <xdr:cNvPr id="54" name="Picture 53">
          <a:extLst>
            <a:ext uri="{FF2B5EF4-FFF2-40B4-BE49-F238E27FC236}">
              <a16:creationId xmlns:a16="http://schemas.microsoft.com/office/drawing/2014/main" id="{00000000-0008-0000-0400-000036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978650" y="336804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166</xdr:row>
      <xdr:rowOff>0</xdr:rowOff>
    </xdr:from>
    <xdr:to>
      <xdr:col>7</xdr:col>
      <xdr:colOff>247650</xdr:colOff>
      <xdr:row>167</xdr:row>
      <xdr:rowOff>82550</xdr:rowOff>
    </xdr:to>
    <xdr:pic>
      <xdr:nvPicPr>
        <xdr:cNvPr id="55" name="Picture 54">
          <a:extLst>
            <a:ext uri="{FF2B5EF4-FFF2-40B4-BE49-F238E27FC236}">
              <a16:creationId xmlns:a16="http://schemas.microsoft.com/office/drawing/2014/main" id="{00000000-0008-0000-0400-00003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670800" y="335026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167</xdr:row>
      <xdr:rowOff>0</xdr:rowOff>
    </xdr:from>
    <xdr:to>
      <xdr:col>8</xdr:col>
      <xdr:colOff>114300</xdr:colOff>
      <xdr:row>168</xdr:row>
      <xdr:rowOff>31750</xdr:rowOff>
    </xdr:to>
    <xdr:pic>
      <xdr:nvPicPr>
        <xdr:cNvPr id="56" name="Picture 55">
          <a:extLst>
            <a:ext uri="{FF2B5EF4-FFF2-40B4-BE49-F238E27FC236}">
              <a16:creationId xmlns:a16="http://schemas.microsoft.com/office/drawing/2014/main" id="{00000000-0008-0000-0400-00003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610600" y="336804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57" name="Picture 56">
          <a:extLst>
            <a:ext uri="{FF2B5EF4-FFF2-40B4-BE49-F238E27FC236}">
              <a16:creationId xmlns:a16="http://schemas.microsoft.com/office/drawing/2014/main" id="{00000000-0008-0000-0400-000039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58" name="Picture 57">
          <a:extLst>
            <a:ext uri="{FF2B5EF4-FFF2-40B4-BE49-F238E27FC236}">
              <a16:creationId xmlns:a16="http://schemas.microsoft.com/office/drawing/2014/main" id="{00000000-0008-0000-0400-00003A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59" name="Picture 58">
          <a:extLst>
            <a:ext uri="{FF2B5EF4-FFF2-40B4-BE49-F238E27FC236}">
              <a16:creationId xmlns:a16="http://schemas.microsoft.com/office/drawing/2014/main" id="{00000000-0008-0000-0400-00003B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190</xdr:row>
      <xdr:rowOff>0</xdr:rowOff>
    </xdr:from>
    <xdr:to>
      <xdr:col>0</xdr:col>
      <xdr:colOff>215900</xdr:colOff>
      <xdr:row>191</xdr:row>
      <xdr:rowOff>57150</xdr:rowOff>
    </xdr:to>
    <xdr:pic>
      <xdr:nvPicPr>
        <xdr:cNvPr id="60" name="Picture 59">
          <a:extLst>
            <a:ext uri="{FF2B5EF4-FFF2-40B4-BE49-F238E27FC236}">
              <a16:creationId xmlns:a16="http://schemas.microsoft.com/office/drawing/2014/main" id="{00000000-0008-0000-0400-00003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3413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xdr:row>
      <xdr:rowOff>0</xdr:rowOff>
    </xdr:from>
    <xdr:to>
      <xdr:col>0</xdr:col>
      <xdr:colOff>88900</xdr:colOff>
      <xdr:row>194</xdr:row>
      <xdr:rowOff>57150</xdr:rowOff>
    </xdr:to>
    <xdr:pic>
      <xdr:nvPicPr>
        <xdr:cNvPr id="61" name="Picture 60">
          <a:extLst>
            <a:ext uri="{FF2B5EF4-FFF2-40B4-BE49-F238E27FC236}">
              <a16:creationId xmlns:a16="http://schemas.microsoft.com/office/drawing/2014/main" id="{00000000-0008-0000-0400-00003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8747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194</xdr:row>
      <xdr:rowOff>0</xdr:rowOff>
    </xdr:from>
    <xdr:to>
      <xdr:col>0</xdr:col>
      <xdr:colOff>82550</xdr:colOff>
      <xdr:row>195</xdr:row>
      <xdr:rowOff>57150</xdr:rowOff>
    </xdr:to>
    <xdr:pic>
      <xdr:nvPicPr>
        <xdr:cNvPr id="62" name="Picture 61">
          <a:extLst>
            <a:ext uri="{FF2B5EF4-FFF2-40B4-BE49-F238E27FC236}">
              <a16:creationId xmlns:a16="http://schemas.microsoft.com/office/drawing/2014/main" id="{00000000-0008-0000-0400-00003E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052500"/>
          <a:ext cx="8255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545623</xdr:colOff>
      <xdr:row>107</xdr:row>
      <xdr:rowOff>5302</xdr:rowOff>
    </xdr:from>
    <xdr:ext cx="330475" cy="172227"/>
    <mc:AlternateContent xmlns:mc="http://schemas.openxmlformats.org/markup-compatibility/2006" xmlns:a14="http://schemas.microsoft.com/office/drawing/2010/main">
      <mc:Choice Requires="a14">
        <xdr:sp macro="" textlink="">
          <xdr:nvSpPr>
            <xdr:cNvPr id="63" name="TextBox 62">
              <a:extLst>
                <a:ext uri="{FF2B5EF4-FFF2-40B4-BE49-F238E27FC236}">
                  <a16:creationId xmlns:a16="http://schemas.microsoft.com/office/drawing/2014/main" id="{00000000-0008-0000-0400-00003F000000}"/>
                </a:ext>
              </a:extLst>
            </xdr:cNvPr>
            <xdr:cNvSpPr txBox="1"/>
          </xdr:nvSpPr>
          <xdr:spPr>
            <a:xfrm>
              <a:off x="18966973" y="210809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𝑷</m:t>
                      </m:r>
                    </m:e>
                    <m:sub>
                      <m:r>
                        <a:rPr lang="en-US" sz="1100" b="1" i="1">
                          <a:latin typeface="Cambria Math" panose="02040503050406030204" pitchFamily="18" charset="0"/>
                        </a:rPr>
                        <m:t>𝒊</m:t>
                      </m:r>
                    </m:sub>
                  </m:sSub>
                </m:oMath>
              </a14:m>
              <a:r>
                <a:rPr lang="en-US" sz="1100" b="1"/>
                <a:t> (T)</a:t>
              </a:r>
              <a:endParaRPr lang="vi-VN" sz="1100" b="1"/>
            </a:p>
          </xdr:txBody>
        </xdr:sp>
      </mc:Choice>
      <mc:Fallback xmlns="">
        <xdr:sp macro="" textlink="">
          <xdr:nvSpPr>
            <xdr:cNvPr id="63" name="TextBox 62">
              <a:extLst>
                <a:ext uri="{FF2B5EF4-FFF2-40B4-BE49-F238E27FC236}">
                  <a16:creationId xmlns:a16="http://schemas.microsoft.com/office/drawing/2014/main" id="{580450AA-7342-4341-8863-138803B8F0A3}"/>
                </a:ext>
              </a:extLst>
            </xdr:cNvPr>
            <xdr:cNvSpPr txBox="1"/>
          </xdr:nvSpPr>
          <xdr:spPr>
            <a:xfrm>
              <a:off x="18966973" y="210809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𝑷</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(T)</a:t>
              </a:r>
              <a:endParaRPr lang="vi-VN" sz="1100" b="1"/>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64" name="Picture 63">
          <a:extLst>
            <a:ext uri="{FF2B5EF4-FFF2-40B4-BE49-F238E27FC236}">
              <a16:creationId xmlns:a16="http://schemas.microsoft.com/office/drawing/2014/main" id="{00000000-0008-0000-0400-000040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900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65" name="Picture 64">
          <a:extLst>
            <a:ext uri="{FF2B5EF4-FFF2-40B4-BE49-F238E27FC236}">
              <a16:creationId xmlns:a16="http://schemas.microsoft.com/office/drawing/2014/main" id="{00000000-0008-0000-0400-000041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66" name="Picture 65">
          <a:extLst>
            <a:ext uri="{FF2B5EF4-FFF2-40B4-BE49-F238E27FC236}">
              <a16:creationId xmlns:a16="http://schemas.microsoft.com/office/drawing/2014/main" id="{00000000-0008-0000-0400-00004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039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67" name="Picture 66">
          <a:extLst>
            <a:ext uri="{FF2B5EF4-FFF2-40B4-BE49-F238E27FC236}">
              <a16:creationId xmlns:a16="http://schemas.microsoft.com/office/drawing/2014/main" id="{00000000-0008-0000-0400-000043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8" name="Picture 67">
          <a:extLst>
            <a:ext uri="{FF2B5EF4-FFF2-40B4-BE49-F238E27FC236}">
              <a16:creationId xmlns:a16="http://schemas.microsoft.com/office/drawing/2014/main" id="{00000000-0008-0000-0400-000044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69" name="Picture 68">
          <a:extLst>
            <a:ext uri="{FF2B5EF4-FFF2-40B4-BE49-F238E27FC236}">
              <a16:creationId xmlns:a16="http://schemas.microsoft.com/office/drawing/2014/main" id="{00000000-0008-0000-0400-00004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59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70" name="Picture 69">
          <a:extLst>
            <a:ext uri="{FF2B5EF4-FFF2-40B4-BE49-F238E27FC236}">
              <a16:creationId xmlns:a16="http://schemas.microsoft.com/office/drawing/2014/main" id="{00000000-0008-0000-0400-000046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216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71" name="Picture 70">
          <a:extLst>
            <a:ext uri="{FF2B5EF4-FFF2-40B4-BE49-F238E27FC236}">
              <a16:creationId xmlns:a16="http://schemas.microsoft.com/office/drawing/2014/main" id="{00000000-0008-0000-0400-000047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343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72" name="Picture 71">
          <a:extLst>
            <a:ext uri="{FF2B5EF4-FFF2-40B4-BE49-F238E27FC236}">
              <a16:creationId xmlns:a16="http://schemas.microsoft.com/office/drawing/2014/main" id="{00000000-0008-0000-0400-000048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73" name="Picture 72">
          <a:extLst>
            <a:ext uri="{FF2B5EF4-FFF2-40B4-BE49-F238E27FC236}">
              <a16:creationId xmlns:a16="http://schemas.microsoft.com/office/drawing/2014/main" id="{00000000-0008-0000-0400-000049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74" name="Picture 73">
          <a:extLst>
            <a:ext uri="{FF2B5EF4-FFF2-40B4-BE49-F238E27FC236}">
              <a16:creationId xmlns:a16="http://schemas.microsoft.com/office/drawing/2014/main" id="{00000000-0008-0000-0400-00004A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349250</xdr:colOff>
      <xdr:row>111</xdr:row>
      <xdr:rowOff>146050</xdr:rowOff>
    </xdr:from>
    <xdr:to>
      <xdr:col>4</xdr:col>
      <xdr:colOff>590550</xdr:colOff>
      <xdr:row>113</xdr:row>
      <xdr:rowOff>19050</xdr:rowOff>
    </xdr:to>
    <xdr:pic>
      <xdr:nvPicPr>
        <xdr:cNvPr id="75" name="Picture 74">
          <a:extLst>
            <a:ext uri="{FF2B5EF4-FFF2-40B4-BE49-F238E27FC236}">
              <a16:creationId xmlns:a16="http://schemas.microsoft.com/office/drawing/2014/main" id="{00000000-0008-0000-0400-00004B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583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76" name="Picture 75">
          <a:extLst>
            <a:ext uri="{FF2B5EF4-FFF2-40B4-BE49-F238E27FC236}">
              <a16:creationId xmlns:a16="http://schemas.microsoft.com/office/drawing/2014/main" id="{00000000-0008-0000-0400-00004C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77" name="Picture 76">
          <a:extLst>
            <a:ext uri="{FF2B5EF4-FFF2-40B4-BE49-F238E27FC236}">
              <a16:creationId xmlns:a16="http://schemas.microsoft.com/office/drawing/2014/main" id="{00000000-0008-0000-0400-00004D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4928850" y="30410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78" name="Picture 77">
          <a:extLst>
            <a:ext uri="{FF2B5EF4-FFF2-40B4-BE49-F238E27FC236}">
              <a16:creationId xmlns:a16="http://schemas.microsoft.com/office/drawing/2014/main" id="{00000000-0008-0000-0400-00004E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79" name="Picture 78">
          <a:extLst>
            <a:ext uri="{FF2B5EF4-FFF2-40B4-BE49-F238E27FC236}">
              <a16:creationId xmlns:a16="http://schemas.microsoft.com/office/drawing/2014/main" id="{00000000-0008-0000-0400-00004F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80" name="Picture 79">
          <a:extLst>
            <a:ext uri="{FF2B5EF4-FFF2-40B4-BE49-F238E27FC236}">
              <a16:creationId xmlns:a16="http://schemas.microsoft.com/office/drawing/2014/main" id="{00000000-0008-0000-0400-000050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59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1" name="Picture 80">
          <a:extLst>
            <a:ext uri="{FF2B5EF4-FFF2-40B4-BE49-F238E27FC236}">
              <a16:creationId xmlns:a16="http://schemas.microsoft.com/office/drawing/2014/main" id="{00000000-0008-0000-0400-000051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216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82" name="Picture 81">
          <a:extLst>
            <a:ext uri="{FF2B5EF4-FFF2-40B4-BE49-F238E27FC236}">
              <a16:creationId xmlns:a16="http://schemas.microsoft.com/office/drawing/2014/main" id="{00000000-0008-0000-0400-000052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709400" y="336423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83" name="Picture 82">
          <a:extLst>
            <a:ext uri="{FF2B5EF4-FFF2-40B4-BE49-F238E27FC236}">
              <a16:creationId xmlns:a16="http://schemas.microsoft.com/office/drawing/2014/main" id="{00000000-0008-0000-0400-000053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84" name="Picture 83">
          <a:extLst>
            <a:ext uri="{FF2B5EF4-FFF2-40B4-BE49-F238E27FC236}">
              <a16:creationId xmlns:a16="http://schemas.microsoft.com/office/drawing/2014/main" id="{00000000-0008-0000-0400-000054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85" name="Picture 84">
          <a:extLst>
            <a:ext uri="{FF2B5EF4-FFF2-40B4-BE49-F238E27FC236}">
              <a16:creationId xmlns:a16="http://schemas.microsoft.com/office/drawing/2014/main" id="{00000000-0008-0000-0400-000055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31750</xdr:colOff>
      <xdr:row>112</xdr:row>
      <xdr:rowOff>0</xdr:rowOff>
    </xdr:from>
    <xdr:to>
      <xdr:col>0</xdr:col>
      <xdr:colOff>133350</xdr:colOff>
      <xdr:row>113</xdr:row>
      <xdr:rowOff>57150</xdr:rowOff>
    </xdr:to>
    <xdr:pic>
      <xdr:nvPicPr>
        <xdr:cNvPr id="86" name="Picture 85">
          <a:extLst>
            <a:ext uri="{FF2B5EF4-FFF2-40B4-BE49-F238E27FC236}">
              <a16:creationId xmlns:a16="http://schemas.microsoft.com/office/drawing/2014/main" id="{00000000-0008-0000-0400-000056000000}"/>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199005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87" name="TextBox 86">
              <a:extLst>
                <a:ext uri="{FF2B5EF4-FFF2-40B4-BE49-F238E27FC236}">
                  <a16:creationId xmlns:a16="http://schemas.microsoft.com/office/drawing/2014/main" id="{00000000-0008-0000-0400-000057000000}"/>
                </a:ext>
              </a:extLst>
            </xdr:cNvPr>
            <xdr:cNvSpPr txBox="1"/>
          </xdr:nvSpPr>
          <xdr:spPr>
            <a:xfrm>
              <a:off x="19245279" y="3182405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87" name="TextBox 86">
              <a:extLst>
                <a:ext uri="{FF2B5EF4-FFF2-40B4-BE49-F238E27FC236}">
                  <a16:creationId xmlns:a16="http://schemas.microsoft.com/office/drawing/2014/main" id="{83F353EA-F6FD-4AAA-BE93-458E32E51250}"/>
                </a:ext>
              </a:extLst>
            </xdr:cNvPr>
            <xdr:cNvSpPr txBox="1"/>
          </xdr:nvSpPr>
          <xdr:spPr>
            <a:xfrm>
              <a:off x="19245279" y="3182405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88" name="TextBox 87">
              <a:extLst>
                <a:ext uri="{FF2B5EF4-FFF2-40B4-BE49-F238E27FC236}">
                  <a16:creationId xmlns:a16="http://schemas.microsoft.com/office/drawing/2014/main" id="{00000000-0008-0000-0400-000058000000}"/>
                </a:ext>
              </a:extLst>
            </xdr:cNvPr>
            <xdr:cNvSpPr txBox="1"/>
          </xdr:nvSpPr>
          <xdr:spPr>
            <a:xfrm>
              <a:off x="19923415" y="3181004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88" name="TextBox 87">
              <a:extLst>
                <a:ext uri="{FF2B5EF4-FFF2-40B4-BE49-F238E27FC236}">
                  <a16:creationId xmlns:a16="http://schemas.microsoft.com/office/drawing/2014/main" id="{4EEA7661-D587-460E-B25D-B063865BCB3D}"/>
                </a:ext>
              </a:extLst>
            </xdr:cNvPr>
            <xdr:cNvSpPr txBox="1"/>
          </xdr:nvSpPr>
          <xdr:spPr>
            <a:xfrm>
              <a:off x="19923415" y="3181004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89" name="TextBox 88">
              <a:extLst>
                <a:ext uri="{FF2B5EF4-FFF2-40B4-BE49-F238E27FC236}">
                  <a16:creationId xmlns:a16="http://schemas.microsoft.com/office/drawing/2014/main" id="{00000000-0008-0000-0400-000059000000}"/>
                </a:ext>
              </a:extLst>
            </xdr:cNvPr>
            <xdr:cNvSpPr txBox="1"/>
          </xdr:nvSpPr>
          <xdr:spPr>
            <a:xfrm>
              <a:off x="20650599" y="3178354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89" name="TextBox 88">
              <a:extLst>
                <a:ext uri="{FF2B5EF4-FFF2-40B4-BE49-F238E27FC236}">
                  <a16:creationId xmlns:a16="http://schemas.microsoft.com/office/drawing/2014/main" id="{5D258996-5FC0-4533-8FBB-8502168CCE8E}"/>
                </a:ext>
              </a:extLst>
            </xdr:cNvPr>
            <xdr:cNvSpPr txBox="1"/>
          </xdr:nvSpPr>
          <xdr:spPr>
            <a:xfrm>
              <a:off x="20650599" y="3178354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 </a:t>
              </a:r>
              <a:r>
                <a:rPr lang="el-GR" sz="1100" b="1" i="0">
                  <a:solidFill>
                    <a:schemeClr val="tx1"/>
                  </a:solidFill>
                  <a:effectLst/>
                  <a:latin typeface="Cambria Math" panose="02040503050406030204" pitchFamily="18" charset="0"/>
                  <a:ea typeface="+mn-ea"/>
                  <a:cs typeface="+mn-cs"/>
                </a:rPr>
                <a:t>)</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90" name="TextBox 89">
              <a:extLst>
                <a:ext uri="{FF2B5EF4-FFF2-40B4-BE49-F238E27FC236}">
                  <a16:creationId xmlns:a16="http://schemas.microsoft.com/office/drawing/2014/main" id="{00000000-0008-0000-0400-00005A000000}"/>
                </a:ext>
              </a:extLst>
            </xdr:cNvPr>
            <xdr:cNvSpPr txBox="1"/>
          </xdr:nvSpPr>
          <xdr:spPr>
            <a:xfrm>
              <a:off x="21263922" y="3184945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90" name="TextBox 89">
              <a:extLst>
                <a:ext uri="{FF2B5EF4-FFF2-40B4-BE49-F238E27FC236}">
                  <a16:creationId xmlns:a16="http://schemas.microsoft.com/office/drawing/2014/main" id="{280E557E-6210-4CFE-9BF5-38BCDD70E7F8}"/>
                </a:ext>
              </a:extLst>
            </xdr:cNvPr>
            <xdr:cNvSpPr txBox="1"/>
          </xdr:nvSpPr>
          <xdr:spPr>
            <a:xfrm>
              <a:off x="21263922" y="3184945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91" name="TextBox 90">
              <a:extLst>
                <a:ext uri="{FF2B5EF4-FFF2-40B4-BE49-F238E27FC236}">
                  <a16:creationId xmlns:a16="http://schemas.microsoft.com/office/drawing/2014/main" id="{00000000-0008-0000-0400-00005B000000}"/>
                </a:ext>
              </a:extLst>
            </xdr:cNvPr>
            <xdr:cNvSpPr txBox="1"/>
          </xdr:nvSpPr>
          <xdr:spPr>
            <a:xfrm>
              <a:off x="21964831" y="3184945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91" name="TextBox 90">
              <a:extLst>
                <a:ext uri="{FF2B5EF4-FFF2-40B4-BE49-F238E27FC236}">
                  <a16:creationId xmlns:a16="http://schemas.microsoft.com/office/drawing/2014/main" id="{6C777D8F-208F-47D3-B7DE-F0CA2353026D}"/>
                </a:ext>
              </a:extLst>
            </xdr:cNvPr>
            <xdr:cNvSpPr txBox="1"/>
          </xdr:nvSpPr>
          <xdr:spPr>
            <a:xfrm>
              <a:off x="21964831" y="3184945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pPr/>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92" name="TextBox 91">
              <a:extLst>
                <a:ext uri="{FF2B5EF4-FFF2-40B4-BE49-F238E27FC236}">
                  <a16:creationId xmlns:a16="http://schemas.microsoft.com/office/drawing/2014/main" id="{00000000-0008-0000-0400-00005C000000}"/>
                </a:ext>
              </a:extLst>
            </xdr:cNvPr>
            <xdr:cNvSpPr txBox="1"/>
          </xdr:nvSpPr>
          <xdr:spPr>
            <a:xfrm>
              <a:off x="17846090" y="3148904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92" name="TextBox 91">
              <a:extLst>
                <a:ext uri="{FF2B5EF4-FFF2-40B4-BE49-F238E27FC236}">
                  <a16:creationId xmlns:a16="http://schemas.microsoft.com/office/drawing/2014/main" id="{ACC9417C-0146-4E32-9B51-31C30FA9887C}"/>
                </a:ext>
              </a:extLst>
            </xdr:cNvPr>
            <xdr:cNvSpPr txBox="1"/>
          </xdr:nvSpPr>
          <xdr:spPr>
            <a:xfrm>
              <a:off x="17846090" y="3148904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〖𝑳_𝒒𝒖/𝑩_𝒒𝒖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93" name="TextBox 92">
              <a:extLst>
                <a:ext uri="{FF2B5EF4-FFF2-40B4-BE49-F238E27FC236}">
                  <a16:creationId xmlns:a16="http://schemas.microsoft.com/office/drawing/2014/main" id="{00000000-0008-0000-0400-00005D000000}"/>
                </a:ext>
              </a:extLst>
            </xdr:cNvPr>
            <xdr:cNvSpPr txBox="1"/>
          </xdr:nvSpPr>
          <xdr:spPr>
            <a:xfrm>
              <a:off x="17302399" y="3186697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93" name="TextBox 92">
              <a:extLst>
                <a:ext uri="{FF2B5EF4-FFF2-40B4-BE49-F238E27FC236}">
                  <a16:creationId xmlns:a16="http://schemas.microsoft.com/office/drawing/2014/main" id="{0B38A034-5A9A-4D50-987E-19892B7462BB}"/>
                </a:ext>
              </a:extLst>
            </xdr:cNvPr>
            <xdr:cNvSpPr txBox="1"/>
          </xdr:nvSpPr>
          <xdr:spPr>
            <a:xfrm>
              <a:off x="17302399" y="3186697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94" name="TextBox 93">
              <a:extLst>
                <a:ext uri="{FF2B5EF4-FFF2-40B4-BE49-F238E27FC236}">
                  <a16:creationId xmlns:a16="http://schemas.microsoft.com/office/drawing/2014/main" id="{00000000-0008-0000-0400-00005E000000}"/>
                </a:ext>
              </a:extLst>
            </xdr:cNvPr>
            <xdr:cNvSpPr txBox="1"/>
          </xdr:nvSpPr>
          <xdr:spPr>
            <a:xfrm>
              <a:off x="18666116" y="3192828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94" name="TextBox 93">
              <a:extLst>
                <a:ext uri="{FF2B5EF4-FFF2-40B4-BE49-F238E27FC236}">
                  <a16:creationId xmlns:a16="http://schemas.microsoft.com/office/drawing/2014/main" id="{21676B08-403E-45E2-BCCA-576B83FFD403}"/>
                </a:ext>
              </a:extLst>
            </xdr:cNvPr>
            <xdr:cNvSpPr txBox="1"/>
          </xdr:nvSpPr>
          <xdr:spPr>
            <a:xfrm>
              <a:off x="18666116" y="3192828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0</xdr:col>
      <xdr:colOff>0</xdr:colOff>
      <xdr:row>112</xdr:row>
      <xdr:rowOff>0</xdr:rowOff>
    </xdr:from>
    <xdr:to>
      <xdr:col>0</xdr:col>
      <xdr:colOff>241300</xdr:colOff>
      <xdr:row>113</xdr:row>
      <xdr:rowOff>50800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138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6672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527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3499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00000000-0008-0000-05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3499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00000000-0008-0000-0500-00000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2359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00000000-0008-0000-0500-00000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1978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9" name="Picture 8">
          <a:extLst>
            <a:ext uri="{FF2B5EF4-FFF2-40B4-BE49-F238E27FC236}">
              <a16:creationId xmlns:a16="http://schemas.microsoft.com/office/drawing/2014/main" id="{00000000-0008-0000-05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3057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00000000-0008-0000-05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119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00000000-0008-0000-05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00000000-0008-0000-05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4" name="Picture 13">
          <a:extLst>
            <a:ext uri="{FF2B5EF4-FFF2-40B4-BE49-F238E27FC236}">
              <a16:creationId xmlns:a16="http://schemas.microsoft.com/office/drawing/2014/main" id="{00000000-0008-0000-0500-00000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5" name="Picture 14">
          <a:extLst>
            <a:ext uri="{FF2B5EF4-FFF2-40B4-BE49-F238E27FC236}">
              <a16:creationId xmlns:a16="http://schemas.microsoft.com/office/drawing/2014/main" id="{00000000-0008-0000-0500-00000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6" name="Picture 15">
          <a:extLst>
            <a:ext uri="{FF2B5EF4-FFF2-40B4-BE49-F238E27FC236}">
              <a16:creationId xmlns:a16="http://schemas.microsoft.com/office/drawing/2014/main" id="{00000000-0008-0000-0500-00001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7" name="Picture 16">
          <a:extLst>
            <a:ext uri="{FF2B5EF4-FFF2-40B4-BE49-F238E27FC236}">
              <a16:creationId xmlns:a16="http://schemas.microsoft.com/office/drawing/2014/main" id="{00000000-0008-0000-0500-00001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00000000-0008-0000-0500-000019000000}"/>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25" name="TextBox 24">
              <a:extLst>
                <a:ext uri="{FF2B5EF4-FFF2-40B4-BE49-F238E27FC236}">
                  <a16:creationId xmlns:a16="http://schemas.microsoft.com/office/drawing/2014/main" id="{25C47E11-61DE-4255-8C07-EED425FFD724}"/>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4</xdr:col>
      <xdr:colOff>349250</xdr:colOff>
      <xdr:row>111</xdr:row>
      <xdr:rowOff>146050</xdr:rowOff>
    </xdr:from>
    <xdr:to>
      <xdr:col>4</xdr:col>
      <xdr:colOff>590550</xdr:colOff>
      <xdr:row>113</xdr:row>
      <xdr:rowOff>19050</xdr:rowOff>
    </xdr:to>
    <xdr:pic>
      <xdr:nvPicPr>
        <xdr:cNvPr id="18" name="Picture 17">
          <a:extLst>
            <a:ext uri="{FF2B5EF4-FFF2-40B4-BE49-F238E27FC236}">
              <a16:creationId xmlns:a16="http://schemas.microsoft.com/office/drawing/2014/main" id="{00000000-0008-0000-0500-00001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19" name="Picture 18">
          <a:extLst>
            <a:ext uri="{FF2B5EF4-FFF2-40B4-BE49-F238E27FC236}">
              <a16:creationId xmlns:a16="http://schemas.microsoft.com/office/drawing/2014/main" id="{00000000-0008-0000-0500-00001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20" name="Picture 19">
          <a:extLst>
            <a:ext uri="{FF2B5EF4-FFF2-40B4-BE49-F238E27FC236}">
              <a16:creationId xmlns:a16="http://schemas.microsoft.com/office/drawing/2014/main" id="{00000000-0008-0000-0500-00001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1" name="Picture 20">
          <a:extLst>
            <a:ext uri="{FF2B5EF4-FFF2-40B4-BE49-F238E27FC236}">
              <a16:creationId xmlns:a16="http://schemas.microsoft.com/office/drawing/2014/main" id="{00000000-0008-0000-0500-00001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2" name="Picture 21">
          <a:extLst>
            <a:ext uri="{FF2B5EF4-FFF2-40B4-BE49-F238E27FC236}">
              <a16:creationId xmlns:a16="http://schemas.microsoft.com/office/drawing/2014/main" id="{00000000-0008-0000-05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3" name="Picture 22">
          <a:extLst>
            <a:ext uri="{FF2B5EF4-FFF2-40B4-BE49-F238E27FC236}">
              <a16:creationId xmlns:a16="http://schemas.microsoft.com/office/drawing/2014/main" id="{00000000-0008-0000-0500-00001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331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4" name="Picture 23">
          <a:extLst>
            <a:ext uri="{FF2B5EF4-FFF2-40B4-BE49-F238E27FC236}">
              <a16:creationId xmlns:a16="http://schemas.microsoft.com/office/drawing/2014/main" id="{00000000-0008-0000-0500-00001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2930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26" name="Picture 25">
          <a:extLst>
            <a:ext uri="{FF2B5EF4-FFF2-40B4-BE49-F238E27FC236}">
              <a16:creationId xmlns:a16="http://schemas.microsoft.com/office/drawing/2014/main" id="{00000000-0008-0000-0500-00001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4137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7" name="Picture 26">
          <a:extLst>
            <a:ext uri="{FF2B5EF4-FFF2-40B4-BE49-F238E27FC236}">
              <a16:creationId xmlns:a16="http://schemas.microsoft.com/office/drawing/2014/main" id="{00000000-0008-0000-0500-00001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8" name="Picture 27">
          <a:extLst>
            <a:ext uri="{FF2B5EF4-FFF2-40B4-BE49-F238E27FC236}">
              <a16:creationId xmlns:a16="http://schemas.microsoft.com/office/drawing/2014/main" id="{00000000-0008-0000-0500-00001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0898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9" name="Picture 28">
          <a:extLst>
            <a:ext uri="{FF2B5EF4-FFF2-40B4-BE49-F238E27FC236}">
              <a16:creationId xmlns:a16="http://schemas.microsoft.com/office/drawing/2014/main" id="{00000000-0008-0000-0500-00001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4518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0" name="Picture 29">
          <a:extLst>
            <a:ext uri="{FF2B5EF4-FFF2-40B4-BE49-F238E27FC236}">
              <a16:creationId xmlns:a16="http://schemas.microsoft.com/office/drawing/2014/main" id="{00000000-0008-0000-0500-00001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1" name="Picture 30">
          <a:extLst>
            <a:ext uri="{FF2B5EF4-FFF2-40B4-BE49-F238E27FC236}">
              <a16:creationId xmlns:a16="http://schemas.microsoft.com/office/drawing/2014/main" id="{00000000-0008-0000-0500-00001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2" name="Picture 31">
          <a:extLst>
            <a:ext uri="{FF2B5EF4-FFF2-40B4-BE49-F238E27FC236}">
              <a16:creationId xmlns:a16="http://schemas.microsoft.com/office/drawing/2014/main" id="{00000000-0008-0000-0500-00002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3" name="Picture 32">
          <a:extLst>
            <a:ext uri="{FF2B5EF4-FFF2-40B4-BE49-F238E27FC236}">
              <a16:creationId xmlns:a16="http://schemas.microsoft.com/office/drawing/2014/main" id="{00000000-0008-0000-0500-00002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34" name="TextBox 33">
              <a:extLst>
                <a:ext uri="{FF2B5EF4-FFF2-40B4-BE49-F238E27FC236}">
                  <a16:creationId xmlns:a16="http://schemas.microsoft.com/office/drawing/2014/main" id="{00000000-0008-0000-0500-00002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34" name="TextBox 33">
              <a:extLst>
                <a:ext uri="{FF2B5EF4-FFF2-40B4-BE49-F238E27FC236}">
                  <a16:creationId xmlns:a16="http://schemas.microsoft.com/office/drawing/2014/main" id="{2B860DA8-557C-4E11-8287-D3ACD84BE248}"/>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35" name="Picture 34">
          <a:extLst>
            <a:ext uri="{FF2B5EF4-FFF2-40B4-BE49-F238E27FC236}">
              <a16:creationId xmlns:a16="http://schemas.microsoft.com/office/drawing/2014/main" id="{00000000-0008-0000-0500-000023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00000000-0008-0000-0500-00000D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13" name="TextBox 12">
              <a:extLst>
                <a:ext uri="{FF2B5EF4-FFF2-40B4-BE49-F238E27FC236}">
                  <a16:creationId xmlns:a16="http://schemas.microsoft.com/office/drawing/2014/main" id="{F7EB5912-0599-416F-A832-D8B0FEE93BA9}"/>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𝒈𝒍</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00000000-0008-0000-0500-000029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1" name="TextBox 40">
              <a:extLst>
                <a:ext uri="{FF2B5EF4-FFF2-40B4-BE49-F238E27FC236}">
                  <a16:creationId xmlns:a16="http://schemas.microsoft.com/office/drawing/2014/main" id="{1B8B55C4-D963-4D97-9ABD-5DE7B07B877D}"/>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𝒃𝒕</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00000000-0008-0000-0500-00002A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42" name="TextBox 41">
              <a:extLst>
                <a:ext uri="{FF2B5EF4-FFF2-40B4-BE49-F238E27FC236}">
                  <a16:creationId xmlns:a16="http://schemas.microsoft.com/office/drawing/2014/main" id="{4A5D538F-11A4-49D3-9B1D-C5D454A9C8B4}"/>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𝒛^𝒈𝒍</a:t>
              </a:r>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a:t>
              </a:r>
              <a:r>
                <a:rPr lang="en-US" sz="1100" b="1" i="0">
                  <a:solidFill>
                    <a:schemeClr val="tx1"/>
                  </a:solidFill>
                  <a:effectLst/>
                  <a:latin typeface="Cambria Math" panose="02040503050406030204" pitchFamily="18" charset="0"/>
                  <a:ea typeface="+mn-ea"/>
                  <a:cs typeface="+mn-cs"/>
                </a:rPr>
                <a:t>𝒃𝒕</a:t>
              </a:r>
              <a:r>
                <a:rPr lang="el-GR" sz="1100" b="1" i="0">
                  <a:solidFill>
                    <a:schemeClr val="tx1"/>
                  </a:solidFill>
                  <a:effectLst/>
                  <a:latin typeface="Cambria Math" panose="02040503050406030204" pitchFamily="18" charset="0"/>
                  <a:ea typeface="+mn-ea"/>
                  <a:cs typeface="+mn-cs"/>
                </a:rPr>
                <a:t> )</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43" name="TextBox 42">
              <a:extLst>
                <a:ext uri="{FF2B5EF4-FFF2-40B4-BE49-F238E27FC236}">
                  <a16:creationId xmlns:a16="http://schemas.microsoft.com/office/drawing/2014/main" id="{00000000-0008-0000-0500-00002B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3" name="TextBox 42">
              <a:extLst>
                <a:ext uri="{FF2B5EF4-FFF2-40B4-BE49-F238E27FC236}">
                  <a16:creationId xmlns:a16="http://schemas.microsoft.com/office/drawing/2014/main" id="{AD94FE2C-96AA-43BF-8C5B-A8285A60AF1F}"/>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44" name="TextBox 43">
              <a:extLst>
                <a:ext uri="{FF2B5EF4-FFF2-40B4-BE49-F238E27FC236}">
                  <a16:creationId xmlns:a16="http://schemas.microsoft.com/office/drawing/2014/main" id="{00000000-0008-0000-0500-00002C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44" name="TextBox 43">
              <a:extLst>
                <a:ext uri="{FF2B5EF4-FFF2-40B4-BE49-F238E27FC236}">
                  <a16:creationId xmlns:a16="http://schemas.microsoft.com/office/drawing/2014/main" id="{AB830251-8F5F-4B5B-9D61-1B5F9EF7AEBC}"/>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45" name="TextBox 44">
              <a:extLst>
                <a:ext uri="{FF2B5EF4-FFF2-40B4-BE49-F238E27FC236}">
                  <a16:creationId xmlns:a16="http://schemas.microsoft.com/office/drawing/2014/main" id="{00000000-0008-0000-0500-00002D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45" name="TextBox 44">
              <a:extLst>
                <a:ext uri="{FF2B5EF4-FFF2-40B4-BE49-F238E27FC236}">
                  <a16:creationId xmlns:a16="http://schemas.microsoft.com/office/drawing/2014/main" id="{BB03C049-812E-4ABA-A421-56B7B0378EF7}"/>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〖𝑳_𝒒𝒖/𝑩</a:t>
              </a:r>
              <a:r>
                <a:rPr lang="en-US" sz="1100" b="1" i="0">
                  <a:solidFill>
                    <a:schemeClr val="tx1"/>
                  </a:solidFill>
                  <a:effectLst/>
                  <a:latin typeface="+mn-lt"/>
                  <a:ea typeface="+mn-ea"/>
                  <a:cs typeface="+mn-cs"/>
                </a:rPr>
                <a:t>_𝒒𝒖</a:t>
              </a:r>
              <a:r>
                <a:rPr lang="en-US" sz="1100" b="1" i="0">
                  <a:solidFill>
                    <a:schemeClr val="tx1"/>
                  </a:solidFill>
                  <a:effectLst/>
                  <a:latin typeface="Cambria Math" panose="02040503050406030204" pitchFamily="18" charset="0"/>
                  <a:ea typeface="+mn-ea"/>
                  <a:cs typeface="+mn-cs"/>
                </a:rPr>
                <a:t>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46" name="TextBox 45">
              <a:extLst>
                <a:ext uri="{FF2B5EF4-FFF2-40B4-BE49-F238E27FC236}">
                  <a16:creationId xmlns:a16="http://schemas.microsoft.com/office/drawing/2014/main" id="{00000000-0008-0000-0500-00002E000000}"/>
                </a:ext>
              </a:extLst>
            </xdr:cNvPr>
            <xdr:cNvSpPr txBox="1"/>
          </xdr:nvSpPr>
          <xdr:spPr>
            <a:xfrm>
              <a:off x="17454142" y="32096013"/>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46" name="TextBox 45">
              <a:extLst>
                <a:ext uri="{FF2B5EF4-FFF2-40B4-BE49-F238E27FC236}">
                  <a16:creationId xmlns:a16="http://schemas.microsoft.com/office/drawing/2014/main" id="{33CDA1FB-4EAD-4975-8473-322B1D7F7C48}"/>
                </a:ext>
              </a:extLst>
            </xdr:cNvPr>
            <xdr:cNvSpPr txBox="1"/>
          </xdr:nvSpPr>
          <xdr:spPr>
            <a:xfrm>
              <a:off x="17454142" y="32096013"/>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00000000-0008-0000-0500-00002F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47" name="TextBox 46">
              <a:extLst>
                <a:ext uri="{FF2B5EF4-FFF2-40B4-BE49-F238E27FC236}">
                  <a16:creationId xmlns:a16="http://schemas.microsoft.com/office/drawing/2014/main" id="{F7B5476B-2107-4CD5-88B0-5A83941DC9AD}"/>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48" name="Picture 47">
          <a:extLst>
            <a:ext uri="{FF2B5EF4-FFF2-40B4-BE49-F238E27FC236}">
              <a16:creationId xmlns:a16="http://schemas.microsoft.com/office/drawing/2014/main" id="{00000000-0008-0000-0500-000030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900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49" name="Picture 48">
          <a:extLst>
            <a:ext uri="{FF2B5EF4-FFF2-40B4-BE49-F238E27FC236}">
              <a16:creationId xmlns:a16="http://schemas.microsoft.com/office/drawing/2014/main" id="{00000000-0008-0000-0500-000031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50" name="Picture 49">
          <a:extLst>
            <a:ext uri="{FF2B5EF4-FFF2-40B4-BE49-F238E27FC236}">
              <a16:creationId xmlns:a16="http://schemas.microsoft.com/office/drawing/2014/main" id="{00000000-0008-0000-0500-00003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039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1" name="Picture 50">
          <a:extLst>
            <a:ext uri="{FF2B5EF4-FFF2-40B4-BE49-F238E27FC236}">
              <a16:creationId xmlns:a16="http://schemas.microsoft.com/office/drawing/2014/main" id="{00000000-0008-0000-0500-000033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52" name="Picture 51">
          <a:extLst>
            <a:ext uri="{FF2B5EF4-FFF2-40B4-BE49-F238E27FC236}">
              <a16:creationId xmlns:a16="http://schemas.microsoft.com/office/drawing/2014/main" id="{00000000-0008-0000-0500-000034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167</xdr:row>
      <xdr:rowOff>0</xdr:rowOff>
    </xdr:from>
    <xdr:to>
      <xdr:col>6</xdr:col>
      <xdr:colOff>196850</xdr:colOff>
      <xdr:row>168</xdr:row>
      <xdr:rowOff>76200</xdr:rowOff>
    </xdr:to>
    <xdr:pic>
      <xdr:nvPicPr>
        <xdr:cNvPr id="53" name="Picture 52">
          <a:extLst>
            <a:ext uri="{FF2B5EF4-FFF2-40B4-BE49-F238E27FC236}">
              <a16:creationId xmlns:a16="http://schemas.microsoft.com/office/drawing/2014/main" id="{00000000-0008-0000-0500-00003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978650" y="336804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166</xdr:row>
      <xdr:rowOff>0</xdr:rowOff>
    </xdr:from>
    <xdr:to>
      <xdr:col>7</xdr:col>
      <xdr:colOff>247650</xdr:colOff>
      <xdr:row>167</xdr:row>
      <xdr:rowOff>82550</xdr:rowOff>
    </xdr:to>
    <xdr:pic>
      <xdr:nvPicPr>
        <xdr:cNvPr id="54" name="Picture 53">
          <a:extLst>
            <a:ext uri="{FF2B5EF4-FFF2-40B4-BE49-F238E27FC236}">
              <a16:creationId xmlns:a16="http://schemas.microsoft.com/office/drawing/2014/main" id="{00000000-0008-0000-0500-000036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670800" y="335026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167</xdr:row>
      <xdr:rowOff>0</xdr:rowOff>
    </xdr:from>
    <xdr:to>
      <xdr:col>8</xdr:col>
      <xdr:colOff>114300</xdr:colOff>
      <xdr:row>168</xdr:row>
      <xdr:rowOff>31750</xdr:rowOff>
    </xdr:to>
    <xdr:pic>
      <xdr:nvPicPr>
        <xdr:cNvPr id="55" name="Picture 54">
          <a:extLst>
            <a:ext uri="{FF2B5EF4-FFF2-40B4-BE49-F238E27FC236}">
              <a16:creationId xmlns:a16="http://schemas.microsoft.com/office/drawing/2014/main" id="{00000000-0008-0000-0500-000037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610600" y="336804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56" name="Picture 55">
          <a:extLst>
            <a:ext uri="{FF2B5EF4-FFF2-40B4-BE49-F238E27FC236}">
              <a16:creationId xmlns:a16="http://schemas.microsoft.com/office/drawing/2014/main" id="{00000000-0008-0000-0500-000038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57" name="Picture 56">
          <a:extLst>
            <a:ext uri="{FF2B5EF4-FFF2-40B4-BE49-F238E27FC236}">
              <a16:creationId xmlns:a16="http://schemas.microsoft.com/office/drawing/2014/main" id="{00000000-0008-0000-0500-000039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58" name="Picture 57">
          <a:extLst>
            <a:ext uri="{FF2B5EF4-FFF2-40B4-BE49-F238E27FC236}">
              <a16:creationId xmlns:a16="http://schemas.microsoft.com/office/drawing/2014/main" id="{00000000-0008-0000-0500-00003A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190</xdr:row>
      <xdr:rowOff>0</xdr:rowOff>
    </xdr:from>
    <xdr:to>
      <xdr:col>0</xdr:col>
      <xdr:colOff>215900</xdr:colOff>
      <xdr:row>191</xdr:row>
      <xdr:rowOff>57150</xdr:rowOff>
    </xdr:to>
    <xdr:pic>
      <xdr:nvPicPr>
        <xdr:cNvPr id="59" name="Picture 58">
          <a:extLst>
            <a:ext uri="{FF2B5EF4-FFF2-40B4-BE49-F238E27FC236}">
              <a16:creationId xmlns:a16="http://schemas.microsoft.com/office/drawing/2014/main" id="{00000000-0008-0000-0500-00003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3413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xdr:row>
      <xdr:rowOff>0</xdr:rowOff>
    </xdr:from>
    <xdr:to>
      <xdr:col>0</xdr:col>
      <xdr:colOff>88900</xdr:colOff>
      <xdr:row>194</xdr:row>
      <xdr:rowOff>57150</xdr:rowOff>
    </xdr:to>
    <xdr:pic>
      <xdr:nvPicPr>
        <xdr:cNvPr id="60" name="Picture 59">
          <a:extLst>
            <a:ext uri="{FF2B5EF4-FFF2-40B4-BE49-F238E27FC236}">
              <a16:creationId xmlns:a16="http://schemas.microsoft.com/office/drawing/2014/main" id="{00000000-0008-0000-0500-00003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8747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194</xdr:row>
      <xdr:rowOff>0</xdr:rowOff>
    </xdr:from>
    <xdr:to>
      <xdr:col>0</xdr:col>
      <xdr:colOff>82550</xdr:colOff>
      <xdr:row>195</xdr:row>
      <xdr:rowOff>57150</xdr:rowOff>
    </xdr:to>
    <xdr:pic>
      <xdr:nvPicPr>
        <xdr:cNvPr id="61" name="Picture 60">
          <a:extLst>
            <a:ext uri="{FF2B5EF4-FFF2-40B4-BE49-F238E27FC236}">
              <a16:creationId xmlns:a16="http://schemas.microsoft.com/office/drawing/2014/main" id="{00000000-0008-0000-0500-00003D000000}"/>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052500"/>
          <a:ext cx="8255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545623</xdr:colOff>
      <xdr:row>107</xdr:row>
      <xdr:rowOff>5302</xdr:rowOff>
    </xdr:from>
    <xdr:ext cx="330475" cy="172227"/>
    <mc:AlternateContent xmlns:mc="http://schemas.openxmlformats.org/markup-compatibility/2006" xmlns:a14="http://schemas.microsoft.com/office/drawing/2010/main">
      <mc:Choice Requires="a14">
        <xdr:sp macro="" textlink="">
          <xdr:nvSpPr>
            <xdr:cNvPr id="62" name="TextBox 61">
              <a:extLst>
                <a:ext uri="{FF2B5EF4-FFF2-40B4-BE49-F238E27FC236}">
                  <a16:creationId xmlns:a16="http://schemas.microsoft.com/office/drawing/2014/main" id="{00000000-0008-0000-0500-00003E000000}"/>
                </a:ext>
              </a:extLst>
            </xdr:cNvPr>
            <xdr:cNvSpPr txBox="1"/>
          </xdr:nvSpPr>
          <xdr:spPr>
            <a:xfrm>
              <a:off x="18966973" y="210809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𝑷</m:t>
                      </m:r>
                    </m:e>
                    <m:sub>
                      <m:r>
                        <a:rPr lang="en-US" sz="1100" b="1" i="1">
                          <a:latin typeface="Cambria Math" panose="02040503050406030204" pitchFamily="18" charset="0"/>
                        </a:rPr>
                        <m:t>𝒊</m:t>
                      </m:r>
                    </m:sub>
                  </m:sSub>
                </m:oMath>
              </a14:m>
              <a:r>
                <a:rPr lang="en-US" sz="1100" b="1"/>
                <a:t> (T)</a:t>
              </a:r>
              <a:endParaRPr lang="vi-VN" sz="1100" b="1"/>
            </a:p>
          </xdr:txBody>
        </xdr:sp>
      </mc:Choice>
      <mc:Fallback xmlns="">
        <xdr:sp macro="" textlink="">
          <xdr:nvSpPr>
            <xdr:cNvPr id="62" name="TextBox 61">
              <a:extLst>
                <a:ext uri="{FF2B5EF4-FFF2-40B4-BE49-F238E27FC236}">
                  <a16:creationId xmlns:a16="http://schemas.microsoft.com/office/drawing/2014/main" id="{0E81BB7F-D382-4BAF-8561-E0347872BE61}"/>
                </a:ext>
              </a:extLst>
            </xdr:cNvPr>
            <xdr:cNvSpPr txBox="1"/>
          </xdr:nvSpPr>
          <xdr:spPr>
            <a:xfrm>
              <a:off x="18966973" y="210809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𝑷</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(T)</a:t>
              </a:r>
              <a:endParaRPr lang="vi-VN" sz="1100" b="1"/>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63" name="Picture 62">
          <a:extLst>
            <a:ext uri="{FF2B5EF4-FFF2-40B4-BE49-F238E27FC236}">
              <a16:creationId xmlns:a16="http://schemas.microsoft.com/office/drawing/2014/main" id="{00000000-0008-0000-0500-00003F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900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64" name="Picture 63">
          <a:extLst>
            <a:ext uri="{FF2B5EF4-FFF2-40B4-BE49-F238E27FC236}">
              <a16:creationId xmlns:a16="http://schemas.microsoft.com/office/drawing/2014/main" id="{00000000-0008-0000-0500-000040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65" name="Picture 64">
          <a:extLst>
            <a:ext uri="{FF2B5EF4-FFF2-40B4-BE49-F238E27FC236}">
              <a16:creationId xmlns:a16="http://schemas.microsoft.com/office/drawing/2014/main" id="{00000000-0008-0000-0500-000041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039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66" name="Picture 65">
          <a:extLst>
            <a:ext uri="{FF2B5EF4-FFF2-40B4-BE49-F238E27FC236}">
              <a16:creationId xmlns:a16="http://schemas.microsoft.com/office/drawing/2014/main" id="{00000000-0008-0000-0500-000042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7" name="Picture 66">
          <a:extLst>
            <a:ext uri="{FF2B5EF4-FFF2-40B4-BE49-F238E27FC236}">
              <a16:creationId xmlns:a16="http://schemas.microsoft.com/office/drawing/2014/main" id="{00000000-0008-0000-0500-000043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68" name="Picture 67">
          <a:extLst>
            <a:ext uri="{FF2B5EF4-FFF2-40B4-BE49-F238E27FC236}">
              <a16:creationId xmlns:a16="http://schemas.microsoft.com/office/drawing/2014/main" id="{00000000-0008-0000-0500-00004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59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69" name="Picture 68">
          <a:extLst>
            <a:ext uri="{FF2B5EF4-FFF2-40B4-BE49-F238E27FC236}">
              <a16:creationId xmlns:a16="http://schemas.microsoft.com/office/drawing/2014/main" id="{00000000-0008-0000-0500-000045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216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70" name="Picture 69">
          <a:extLst>
            <a:ext uri="{FF2B5EF4-FFF2-40B4-BE49-F238E27FC236}">
              <a16:creationId xmlns:a16="http://schemas.microsoft.com/office/drawing/2014/main" id="{00000000-0008-0000-0500-000046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343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71" name="Picture 70">
          <a:extLst>
            <a:ext uri="{FF2B5EF4-FFF2-40B4-BE49-F238E27FC236}">
              <a16:creationId xmlns:a16="http://schemas.microsoft.com/office/drawing/2014/main" id="{00000000-0008-0000-0500-000047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72" name="Picture 71">
          <a:extLst>
            <a:ext uri="{FF2B5EF4-FFF2-40B4-BE49-F238E27FC236}">
              <a16:creationId xmlns:a16="http://schemas.microsoft.com/office/drawing/2014/main" id="{00000000-0008-0000-0500-000048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73" name="Picture 72">
          <a:extLst>
            <a:ext uri="{FF2B5EF4-FFF2-40B4-BE49-F238E27FC236}">
              <a16:creationId xmlns:a16="http://schemas.microsoft.com/office/drawing/2014/main" id="{00000000-0008-0000-0500-000049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349250</xdr:colOff>
      <xdr:row>111</xdr:row>
      <xdr:rowOff>146050</xdr:rowOff>
    </xdr:from>
    <xdr:to>
      <xdr:col>4</xdr:col>
      <xdr:colOff>590550</xdr:colOff>
      <xdr:row>113</xdr:row>
      <xdr:rowOff>19050</xdr:rowOff>
    </xdr:to>
    <xdr:pic>
      <xdr:nvPicPr>
        <xdr:cNvPr id="74" name="Picture 73">
          <a:extLst>
            <a:ext uri="{FF2B5EF4-FFF2-40B4-BE49-F238E27FC236}">
              <a16:creationId xmlns:a16="http://schemas.microsoft.com/office/drawing/2014/main" id="{00000000-0008-0000-0500-00004A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583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75" name="Picture 74">
          <a:extLst>
            <a:ext uri="{FF2B5EF4-FFF2-40B4-BE49-F238E27FC236}">
              <a16:creationId xmlns:a16="http://schemas.microsoft.com/office/drawing/2014/main" id="{00000000-0008-0000-0500-00004B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76" name="Picture 75">
          <a:extLst>
            <a:ext uri="{FF2B5EF4-FFF2-40B4-BE49-F238E27FC236}">
              <a16:creationId xmlns:a16="http://schemas.microsoft.com/office/drawing/2014/main" id="{00000000-0008-0000-0500-00004C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4928850" y="30410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77" name="Picture 76">
          <a:extLst>
            <a:ext uri="{FF2B5EF4-FFF2-40B4-BE49-F238E27FC236}">
              <a16:creationId xmlns:a16="http://schemas.microsoft.com/office/drawing/2014/main" id="{00000000-0008-0000-0500-00004D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78" name="Picture 77">
          <a:extLst>
            <a:ext uri="{FF2B5EF4-FFF2-40B4-BE49-F238E27FC236}">
              <a16:creationId xmlns:a16="http://schemas.microsoft.com/office/drawing/2014/main" id="{00000000-0008-0000-0500-00004E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9" name="Picture 78">
          <a:extLst>
            <a:ext uri="{FF2B5EF4-FFF2-40B4-BE49-F238E27FC236}">
              <a16:creationId xmlns:a16="http://schemas.microsoft.com/office/drawing/2014/main" id="{00000000-0008-0000-0500-00004F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59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0" name="Picture 79">
          <a:extLst>
            <a:ext uri="{FF2B5EF4-FFF2-40B4-BE49-F238E27FC236}">
              <a16:creationId xmlns:a16="http://schemas.microsoft.com/office/drawing/2014/main" id="{00000000-0008-0000-0500-000050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216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81" name="Picture 80">
          <a:extLst>
            <a:ext uri="{FF2B5EF4-FFF2-40B4-BE49-F238E27FC236}">
              <a16:creationId xmlns:a16="http://schemas.microsoft.com/office/drawing/2014/main" id="{00000000-0008-0000-0500-000051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709400" y="336423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82" name="Picture 81">
          <a:extLst>
            <a:ext uri="{FF2B5EF4-FFF2-40B4-BE49-F238E27FC236}">
              <a16:creationId xmlns:a16="http://schemas.microsoft.com/office/drawing/2014/main" id="{00000000-0008-0000-0500-000052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83" name="Picture 82">
          <a:extLst>
            <a:ext uri="{FF2B5EF4-FFF2-40B4-BE49-F238E27FC236}">
              <a16:creationId xmlns:a16="http://schemas.microsoft.com/office/drawing/2014/main" id="{00000000-0008-0000-0500-000053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84" name="Picture 83">
          <a:extLst>
            <a:ext uri="{FF2B5EF4-FFF2-40B4-BE49-F238E27FC236}">
              <a16:creationId xmlns:a16="http://schemas.microsoft.com/office/drawing/2014/main" id="{00000000-0008-0000-0500-000054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31750</xdr:colOff>
      <xdr:row>112</xdr:row>
      <xdr:rowOff>0</xdr:rowOff>
    </xdr:from>
    <xdr:to>
      <xdr:col>0</xdr:col>
      <xdr:colOff>133350</xdr:colOff>
      <xdr:row>113</xdr:row>
      <xdr:rowOff>57150</xdr:rowOff>
    </xdr:to>
    <xdr:pic>
      <xdr:nvPicPr>
        <xdr:cNvPr id="85" name="Picture 84">
          <a:extLst>
            <a:ext uri="{FF2B5EF4-FFF2-40B4-BE49-F238E27FC236}">
              <a16:creationId xmlns:a16="http://schemas.microsoft.com/office/drawing/2014/main" id="{00000000-0008-0000-0500-000055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199005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86" name="TextBox 85">
              <a:extLst>
                <a:ext uri="{FF2B5EF4-FFF2-40B4-BE49-F238E27FC236}">
                  <a16:creationId xmlns:a16="http://schemas.microsoft.com/office/drawing/2014/main" id="{00000000-0008-0000-0500-000056000000}"/>
                </a:ext>
              </a:extLst>
            </xdr:cNvPr>
            <xdr:cNvSpPr txBox="1"/>
          </xdr:nvSpPr>
          <xdr:spPr>
            <a:xfrm>
              <a:off x="19245279" y="3182405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86" name="TextBox 85">
              <a:extLst>
                <a:ext uri="{FF2B5EF4-FFF2-40B4-BE49-F238E27FC236}">
                  <a16:creationId xmlns:a16="http://schemas.microsoft.com/office/drawing/2014/main" id="{62E2ACBE-F5FD-4D8A-92D6-7051B7BD10E8}"/>
                </a:ext>
              </a:extLst>
            </xdr:cNvPr>
            <xdr:cNvSpPr txBox="1"/>
          </xdr:nvSpPr>
          <xdr:spPr>
            <a:xfrm>
              <a:off x="19245279" y="3182405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87" name="TextBox 86">
              <a:extLst>
                <a:ext uri="{FF2B5EF4-FFF2-40B4-BE49-F238E27FC236}">
                  <a16:creationId xmlns:a16="http://schemas.microsoft.com/office/drawing/2014/main" id="{00000000-0008-0000-0500-000057000000}"/>
                </a:ext>
              </a:extLst>
            </xdr:cNvPr>
            <xdr:cNvSpPr txBox="1"/>
          </xdr:nvSpPr>
          <xdr:spPr>
            <a:xfrm>
              <a:off x="19923415" y="3181004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87" name="TextBox 86">
              <a:extLst>
                <a:ext uri="{FF2B5EF4-FFF2-40B4-BE49-F238E27FC236}">
                  <a16:creationId xmlns:a16="http://schemas.microsoft.com/office/drawing/2014/main" id="{0EDC1D19-45CE-49E2-AD64-827918B7798A}"/>
                </a:ext>
              </a:extLst>
            </xdr:cNvPr>
            <xdr:cNvSpPr txBox="1"/>
          </xdr:nvSpPr>
          <xdr:spPr>
            <a:xfrm>
              <a:off x="19923415" y="3181004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88" name="TextBox 87">
              <a:extLst>
                <a:ext uri="{FF2B5EF4-FFF2-40B4-BE49-F238E27FC236}">
                  <a16:creationId xmlns:a16="http://schemas.microsoft.com/office/drawing/2014/main" id="{00000000-0008-0000-0500-000058000000}"/>
                </a:ext>
              </a:extLst>
            </xdr:cNvPr>
            <xdr:cNvSpPr txBox="1"/>
          </xdr:nvSpPr>
          <xdr:spPr>
            <a:xfrm>
              <a:off x="20650599" y="3178354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88" name="TextBox 87">
              <a:extLst>
                <a:ext uri="{FF2B5EF4-FFF2-40B4-BE49-F238E27FC236}">
                  <a16:creationId xmlns:a16="http://schemas.microsoft.com/office/drawing/2014/main" id="{033E3E0B-3BF1-4F17-9C60-09D08D9C7162}"/>
                </a:ext>
              </a:extLst>
            </xdr:cNvPr>
            <xdr:cNvSpPr txBox="1"/>
          </xdr:nvSpPr>
          <xdr:spPr>
            <a:xfrm>
              <a:off x="20650599" y="3178354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 </a:t>
              </a:r>
              <a:r>
                <a:rPr lang="el-GR" sz="1100" b="1" i="0">
                  <a:solidFill>
                    <a:schemeClr val="tx1"/>
                  </a:solidFill>
                  <a:effectLst/>
                  <a:latin typeface="Cambria Math" panose="02040503050406030204" pitchFamily="18" charset="0"/>
                  <a:ea typeface="+mn-ea"/>
                  <a:cs typeface="+mn-cs"/>
                </a:rPr>
                <a:t>)</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89" name="TextBox 88">
              <a:extLst>
                <a:ext uri="{FF2B5EF4-FFF2-40B4-BE49-F238E27FC236}">
                  <a16:creationId xmlns:a16="http://schemas.microsoft.com/office/drawing/2014/main" id="{00000000-0008-0000-0500-000059000000}"/>
                </a:ext>
              </a:extLst>
            </xdr:cNvPr>
            <xdr:cNvSpPr txBox="1"/>
          </xdr:nvSpPr>
          <xdr:spPr>
            <a:xfrm>
              <a:off x="21263922" y="3184945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89" name="TextBox 88">
              <a:extLst>
                <a:ext uri="{FF2B5EF4-FFF2-40B4-BE49-F238E27FC236}">
                  <a16:creationId xmlns:a16="http://schemas.microsoft.com/office/drawing/2014/main" id="{32177682-8DAE-4394-A9C3-CA3309BF3257}"/>
                </a:ext>
              </a:extLst>
            </xdr:cNvPr>
            <xdr:cNvSpPr txBox="1"/>
          </xdr:nvSpPr>
          <xdr:spPr>
            <a:xfrm>
              <a:off x="21263922" y="3184945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90" name="TextBox 89">
              <a:extLst>
                <a:ext uri="{FF2B5EF4-FFF2-40B4-BE49-F238E27FC236}">
                  <a16:creationId xmlns:a16="http://schemas.microsoft.com/office/drawing/2014/main" id="{00000000-0008-0000-0500-00005A000000}"/>
                </a:ext>
              </a:extLst>
            </xdr:cNvPr>
            <xdr:cNvSpPr txBox="1"/>
          </xdr:nvSpPr>
          <xdr:spPr>
            <a:xfrm>
              <a:off x="21964831" y="3184945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90" name="TextBox 89">
              <a:extLst>
                <a:ext uri="{FF2B5EF4-FFF2-40B4-BE49-F238E27FC236}">
                  <a16:creationId xmlns:a16="http://schemas.microsoft.com/office/drawing/2014/main" id="{F6C4A18D-F05C-4778-B0CD-A10B04CA008A}"/>
                </a:ext>
              </a:extLst>
            </xdr:cNvPr>
            <xdr:cNvSpPr txBox="1"/>
          </xdr:nvSpPr>
          <xdr:spPr>
            <a:xfrm>
              <a:off x="21964831" y="3184945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pPr/>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91" name="TextBox 90">
              <a:extLst>
                <a:ext uri="{FF2B5EF4-FFF2-40B4-BE49-F238E27FC236}">
                  <a16:creationId xmlns:a16="http://schemas.microsoft.com/office/drawing/2014/main" id="{00000000-0008-0000-0500-00005B000000}"/>
                </a:ext>
              </a:extLst>
            </xdr:cNvPr>
            <xdr:cNvSpPr txBox="1"/>
          </xdr:nvSpPr>
          <xdr:spPr>
            <a:xfrm>
              <a:off x="17846090" y="3148904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91" name="TextBox 90">
              <a:extLst>
                <a:ext uri="{FF2B5EF4-FFF2-40B4-BE49-F238E27FC236}">
                  <a16:creationId xmlns:a16="http://schemas.microsoft.com/office/drawing/2014/main" id="{BBB99F8E-B9DC-4937-89E5-5BE095F21F1C}"/>
                </a:ext>
              </a:extLst>
            </xdr:cNvPr>
            <xdr:cNvSpPr txBox="1"/>
          </xdr:nvSpPr>
          <xdr:spPr>
            <a:xfrm>
              <a:off x="17846090" y="3148904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〖𝑳_𝒒𝒖/𝑩_𝒒𝒖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92" name="TextBox 91">
              <a:extLst>
                <a:ext uri="{FF2B5EF4-FFF2-40B4-BE49-F238E27FC236}">
                  <a16:creationId xmlns:a16="http://schemas.microsoft.com/office/drawing/2014/main" id="{00000000-0008-0000-0500-00005C000000}"/>
                </a:ext>
              </a:extLst>
            </xdr:cNvPr>
            <xdr:cNvSpPr txBox="1"/>
          </xdr:nvSpPr>
          <xdr:spPr>
            <a:xfrm>
              <a:off x="17302399" y="3186697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92" name="TextBox 91">
              <a:extLst>
                <a:ext uri="{FF2B5EF4-FFF2-40B4-BE49-F238E27FC236}">
                  <a16:creationId xmlns:a16="http://schemas.microsoft.com/office/drawing/2014/main" id="{163C8819-2A00-4984-A4FB-F4238C1F11F0}"/>
                </a:ext>
              </a:extLst>
            </xdr:cNvPr>
            <xdr:cNvSpPr txBox="1"/>
          </xdr:nvSpPr>
          <xdr:spPr>
            <a:xfrm>
              <a:off x="17302399" y="3186697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93" name="TextBox 92">
              <a:extLst>
                <a:ext uri="{FF2B5EF4-FFF2-40B4-BE49-F238E27FC236}">
                  <a16:creationId xmlns:a16="http://schemas.microsoft.com/office/drawing/2014/main" id="{00000000-0008-0000-0500-00005D000000}"/>
                </a:ext>
              </a:extLst>
            </xdr:cNvPr>
            <xdr:cNvSpPr txBox="1"/>
          </xdr:nvSpPr>
          <xdr:spPr>
            <a:xfrm>
              <a:off x="18666116" y="3192828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93" name="TextBox 92">
              <a:extLst>
                <a:ext uri="{FF2B5EF4-FFF2-40B4-BE49-F238E27FC236}">
                  <a16:creationId xmlns:a16="http://schemas.microsoft.com/office/drawing/2014/main" id="{B2948A4C-279E-42A8-8E37-924E298981D4}"/>
                </a:ext>
              </a:extLst>
            </xdr:cNvPr>
            <xdr:cNvSpPr txBox="1"/>
          </xdr:nvSpPr>
          <xdr:spPr>
            <a:xfrm>
              <a:off x="18666116" y="3192828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4</xdr:col>
      <xdr:colOff>349250</xdr:colOff>
      <xdr:row>111</xdr:row>
      <xdr:rowOff>146050</xdr:rowOff>
    </xdr:from>
    <xdr:to>
      <xdr:col>4</xdr:col>
      <xdr:colOff>590550</xdr:colOff>
      <xdr:row>113</xdr:row>
      <xdr:rowOff>19050</xdr:rowOff>
    </xdr:to>
    <xdr:pic>
      <xdr:nvPicPr>
        <xdr:cNvPr id="2" name="Pictur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00000000-0008-0000-06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00000000-0008-0000-06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00000000-0008-0000-0600-00000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331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00000000-0008-0000-0600-00000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2930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9" name="Picture 8">
          <a:extLst>
            <a:ext uri="{FF2B5EF4-FFF2-40B4-BE49-F238E27FC236}">
              <a16:creationId xmlns:a16="http://schemas.microsoft.com/office/drawing/2014/main" id="{00000000-0008-0000-06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4137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00000000-0008-0000-06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00000000-0008-0000-06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0898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00000000-0008-0000-06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4518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3" name="Picture 12">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4" name="Picture 13">
          <a:extLst>
            <a:ext uri="{FF2B5EF4-FFF2-40B4-BE49-F238E27FC236}">
              <a16:creationId xmlns:a16="http://schemas.microsoft.com/office/drawing/2014/main" id="{00000000-0008-0000-0600-00000E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5" name="Picture 14">
          <a:extLst>
            <a:ext uri="{FF2B5EF4-FFF2-40B4-BE49-F238E27FC236}">
              <a16:creationId xmlns:a16="http://schemas.microsoft.com/office/drawing/2014/main" id="{00000000-0008-0000-0600-00000F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6" name="Picture 15">
          <a:extLst>
            <a:ext uri="{FF2B5EF4-FFF2-40B4-BE49-F238E27FC236}">
              <a16:creationId xmlns:a16="http://schemas.microsoft.com/office/drawing/2014/main" id="{00000000-0008-0000-0600-000010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00000000-0008-0000-0600-000011000000}"/>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17" name="TextBox 16">
              <a:extLst>
                <a:ext uri="{FF2B5EF4-FFF2-40B4-BE49-F238E27FC236}">
                  <a16:creationId xmlns:a16="http://schemas.microsoft.com/office/drawing/2014/main" id="{EC2B37B0-C7F5-4913-85D2-DA5815269454}"/>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18" name="Picture 17">
          <a:extLst>
            <a:ext uri="{FF2B5EF4-FFF2-40B4-BE49-F238E27FC236}">
              <a16:creationId xmlns:a16="http://schemas.microsoft.com/office/drawing/2014/main" id="{00000000-0008-0000-0600-000012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112</xdr:row>
      <xdr:rowOff>0</xdr:rowOff>
    </xdr:from>
    <xdr:to>
      <xdr:col>0</xdr:col>
      <xdr:colOff>241300</xdr:colOff>
      <xdr:row>113</xdr:row>
      <xdr:rowOff>50800</xdr:rowOff>
    </xdr:to>
    <xdr:pic>
      <xdr:nvPicPr>
        <xdr:cNvPr id="19" name="Picture 18">
          <a:extLst>
            <a:ext uri="{FF2B5EF4-FFF2-40B4-BE49-F238E27FC236}">
              <a16:creationId xmlns:a16="http://schemas.microsoft.com/office/drawing/2014/main" id="{00000000-0008-0000-0600-00001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0091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20" name="Picture 19">
          <a:extLst>
            <a:ext uri="{FF2B5EF4-FFF2-40B4-BE49-F238E27FC236}">
              <a16:creationId xmlns:a16="http://schemas.microsoft.com/office/drawing/2014/main" id="{00000000-0008-0000-0600-00001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21" name="Picture 20">
          <a:extLst>
            <a:ext uri="{FF2B5EF4-FFF2-40B4-BE49-F238E27FC236}">
              <a16:creationId xmlns:a16="http://schemas.microsoft.com/office/drawing/2014/main" id="{00000000-0008-0000-0600-00001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2" name="Picture 21">
          <a:extLst>
            <a:ext uri="{FF2B5EF4-FFF2-40B4-BE49-F238E27FC236}">
              <a16:creationId xmlns:a16="http://schemas.microsoft.com/office/drawing/2014/main" id="{00000000-0008-0000-0600-00001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3" name="Picture 22">
          <a:extLst>
            <a:ext uri="{FF2B5EF4-FFF2-40B4-BE49-F238E27FC236}">
              <a16:creationId xmlns:a16="http://schemas.microsoft.com/office/drawing/2014/main" id="{00000000-0008-0000-0600-00001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4" name="Picture 23">
          <a:extLst>
            <a:ext uri="{FF2B5EF4-FFF2-40B4-BE49-F238E27FC236}">
              <a16:creationId xmlns:a16="http://schemas.microsoft.com/office/drawing/2014/main" id="{00000000-0008-0000-0600-00001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5" name="Picture 24">
          <a:extLst>
            <a:ext uri="{FF2B5EF4-FFF2-40B4-BE49-F238E27FC236}">
              <a16:creationId xmlns:a16="http://schemas.microsoft.com/office/drawing/2014/main" id="{00000000-0008-0000-0600-00001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26" name="Picture 25">
          <a:extLst>
            <a:ext uri="{FF2B5EF4-FFF2-40B4-BE49-F238E27FC236}">
              <a16:creationId xmlns:a16="http://schemas.microsoft.com/office/drawing/2014/main" id="{00000000-0008-0000-0600-00001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5340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7" name="Picture 26">
          <a:extLst>
            <a:ext uri="{FF2B5EF4-FFF2-40B4-BE49-F238E27FC236}">
              <a16:creationId xmlns:a16="http://schemas.microsoft.com/office/drawing/2014/main" id="{00000000-0008-0000-0600-00001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8" name="Picture 27">
          <a:extLst>
            <a:ext uri="{FF2B5EF4-FFF2-40B4-BE49-F238E27FC236}">
              <a16:creationId xmlns:a16="http://schemas.microsoft.com/office/drawing/2014/main" id="{00000000-0008-0000-0600-00001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9" name="Picture 28">
          <a:extLst>
            <a:ext uri="{FF2B5EF4-FFF2-40B4-BE49-F238E27FC236}">
              <a16:creationId xmlns:a16="http://schemas.microsoft.com/office/drawing/2014/main" id="{00000000-0008-0000-0600-00001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0" name="Picture 29">
          <a:extLst>
            <a:ext uri="{FF2B5EF4-FFF2-40B4-BE49-F238E27FC236}">
              <a16:creationId xmlns:a16="http://schemas.microsoft.com/office/drawing/2014/main" id="{00000000-0008-0000-0600-00001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331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1" name="Picture 30">
          <a:extLst>
            <a:ext uri="{FF2B5EF4-FFF2-40B4-BE49-F238E27FC236}">
              <a16:creationId xmlns:a16="http://schemas.microsoft.com/office/drawing/2014/main" id="{00000000-0008-0000-0600-00001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887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2" name="Picture 31">
          <a:extLst>
            <a:ext uri="{FF2B5EF4-FFF2-40B4-BE49-F238E27FC236}">
              <a16:creationId xmlns:a16="http://schemas.microsoft.com/office/drawing/2014/main" id="{00000000-0008-0000-0600-00002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331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3" name="Picture 32">
          <a:extLst>
            <a:ext uri="{FF2B5EF4-FFF2-40B4-BE49-F238E27FC236}">
              <a16:creationId xmlns:a16="http://schemas.microsoft.com/office/drawing/2014/main" id="{00000000-0008-0000-0600-00002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887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34" name="TextBox 33">
              <a:extLst>
                <a:ext uri="{FF2B5EF4-FFF2-40B4-BE49-F238E27FC236}">
                  <a16:creationId xmlns:a16="http://schemas.microsoft.com/office/drawing/2014/main" id="{00000000-0008-0000-0600-00002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34" name="TextBox 33">
              <a:extLst>
                <a:ext uri="{FF2B5EF4-FFF2-40B4-BE49-F238E27FC236}">
                  <a16:creationId xmlns:a16="http://schemas.microsoft.com/office/drawing/2014/main" id="{597B5FDB-CB8F-45E7-AA4D-79A6EEAE702F}"/>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4</xdr:col>
      <xdr:colOff>349250</xdr:colOff>
      <xdr:row>111</xdr:row>
      <xdr:rowOff>146050</xdr:rowOff>
    </xdr:from>
    <xdr:to>
      <xdr:col>4</xdr:col>
      <xdr:colOff>590550</xdr:colOff>
      <xdr:row>113</xdr:row>
      <xdr:rowOff>19050</xdr:rowOff>
    </xdr:to>
    <xdr:pic>
      <xdr:nvPicPr>
        <xdr:cNvPr id="35" name="Picture 34">
          <a:extLst>
            <a:ext uri="{FF2B5EF4-FFF2-40B4-BE49-F238E27FC236}">
              <a16:creationId xmlns:a16="http://schemas.microsoft.com/office/drawing/2014/main" id="{00000000-0008-0000-0600-00002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6" name="Picture 35">
          <a:extLst>
            <a:ext uri="{FF2B5EF4-FFF2-40B4-BE49-F238E27FC236}">
              <a16:creationId xmlns:a16="http://schemas.microsoft.com/office/drawing/2014/main" id="{00000000-0008-0000-0600-00002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37" name="Picture 36">
          <a:extLst>
            <a:ext uri="{FF2B5EF4-FFF2-40B4-BE49-F238E27FC236}">
              <a16:creationId xmlns:a16="http://schemas.microsoft.com/office/drawing/2014/main" id="{00000000-0008-0000-0600-00002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38" name="Picture 37">
          <a:extLst>
            <a:ext uri="{FF2B5EF4-FFF2-40B4-BE49-F238E27FC236}">
              <a16:creationId xmlns:a16="http://schemas.microsoft.com/office/drawing/2014/main" id="{00000000-0008-0000-0600-00002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39" name="Picture 38">
          <a:extLst>
            <a:ext uri="{FF2B5EF4-FFF2-40B4-BE49-F238E27FC236}">
              <a16:creationId xmlns:a16="http://schemas.microsoft.com/office/drawing/2014/main" id="{00000000-0008-0000-0600-00002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40" name="Picture 39">
          <a:extLst>
            <a:ext uri="{FF2B5EF4-FFF2-40B4-BE49-F238E27FC236}">
              <a16:creationId xmlns:a16="http://schemas.microsoft.com/office/drawing/2014/main" id="{00000000-0008-0000-0600-00002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41" name="Picture 40">
          <a:extLst>
            <a:ext uri="{FF2B5EF4-FFF2-40B4-BE49-F238E27FC236}">
              <a16:creationId xmlns:a16="http://schemas.microsoft.com/office/drawing/2014/main" id="{00000000-0008-0000-0600-00002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42" name="Picture 41">
          <a:extLst>
            <a:ext uri="{FF2B5EF4-FFF2-40B4-BE49-F238E27FC236}">
              <a16:creationId xmlns:a16="http://schemas.microsoft.com/office/drawing/2014/main" id="{00000000-0008-0000-0600-00002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43" name="Picture 42">
          <a:extLst>
            <a:ext uri="{FF2B5EF4-FFF2-40B4-BE49-F238E27FC236}">
              <a16:creationId xmlns:a16="http://schemas.microsoft.com/office/drawing/2014/main" id="{00000000-0008-0000-0600-00002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44" name="Picture 43">
          <a:extLst>
            <a:ext uri="{FF2B5EF4-FFF2-40B4-BE49-F238E27FC236}">
              <a16:creationId xmlns:a16="http://schemas.microsoft.com/office/drawing/2014/main" id="{00000000-0008-0000-0600-00002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45" name="Picture 44">
          <a:extLst>
            <a:ext uri="{FF2B5EF4-FFF2-40B4-BE49-F238E27FC236}">
              <a16:creationId xmlns:a16="http://schemas.microsoft.com/office/drawing/2014/main" id="{00000000-0008-0000-0600-00002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46" name="Picture 45">
          <a:extLst>
            <a:ext uri="{FF2B5EF4-FFF2-40B4-BE49-F238E27FC236}">
              <a16:creationId xmlns:a16="http://schemas.microsoft.com/office/drawing/2014/main" id="{00000000-0008-0000-0600-00002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331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47" name="Picture 46">
          <a:extLst>
            <a:ext uri="{FF2B5EF4-FFF2-40B4-BE49-F238E27FC236}">
              <a16:creationId xmlns:a16="http://schemas.microsoft.com/office/drawing/2014/main" id="{00000000-0008-0000-0600-00002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887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48" name="Picture 47">
          <a:extLst>
            <a:ext uri="{FF2B5EF4-FFF2-40B4-BE49-F238E27FC236}">
              <a16:creationId xmlns:a16="http://schemas.microsoft.com/office/drawing/2014/main" id="{00000000-0008-0000-0600-00003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331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49" name="Picture 48">
          <a:extLst>
            <a:ext uri="{FF2B5EF4-FFF2-40B4-BE49-F238E27FC236}">
              <a16:creationId xmlns:a16="http://schemas.microsoft.com/office/drawing/2014/main" id="{00000000-0008-0000-0600-00003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887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00000000-0008-0000-0600-00003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50" name="TextBox 49">
              <a:extLst>
                <a:ext uri="{FF2B5EF4-FFF2-40B4-BE49-F238E27FC236}">
                  <a16:creationId xmlns:a16="http://schemas.microsoft.com/office/drawing/2014/main" id="{D6D127BA-742E-40FC-B1EF-2D24AAE7E902}"/>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51" name="Picture 50">
          <a:extLst>
            <a:ext uri="{FF2B5EF4-FFF2-40B4-BE49-F238E27FC236}">
              <a16:creationId xmlns:a16="http://schemas.microsoft.com/office/drawing/2014/main" id="{00000000-0008-0000-0600-000033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00000000-0008-0000-0600-000034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52" name="TextBox 51">
              <a:extLst>
                <a:ext uri="{FF2B5EF4-FFF2-40B4-BE49-F238E27FC236}">
                  <a16:creationId xmlns:a16="http://schemas.microsoft.com/office/drawing/2014/main" id="{44B3ECB3-56CB-4183-8735-4FB269395F9D}"/>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00000000-0008-0000-0600-000035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53" name="TextBox 52">
              <a:extLst>
                <a:ext uri="{FF2B5EF4-FFF2-40B4-BE49-F238E27FC236}">
                  <a16:creationId xmlns:a16="http://schemas.microsoft.com/office/drawing/2014/main" id="{CAE7F06B-C084-4E99-A497-581E0F629C9B}"/>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54" name="TextBox 53">
              <a:extLst>
                <a:ext uri="{FF2B5EF4-FFF2-40B4-BE49-F238E27FC236}">
                  <a16:creationId xmlns:a16="http://schemas.microsoft.com/office/drawing/2014/main" id="{00000000-0008-0000-0600-000036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54" name="TextBox 53">
              <a:extLst>
                <a:ext uri="{FF2B5EF4-FFF2-40B4-BE49-F238E27FC236}">
                  <a16:creationId xmlns:a16="http://schemas.microsoft.com/office/drawing/2014/main" id="{59F6BF36-FC63-4032-B0D3-B2FB05F4A18C}"/>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 </a:t>
              </a:r>
              <a:r>
                <a:rPr lang="el-GR" sz="1100" b="1" i="0">
                  <a:solidFill>
                    <a:schemeClr val="tx1"/>
                  </a:solidFill>
                  <a:effectLst/>
                  <a:latin typeface="Cambria Math" panose="02040503050406030204" pitchFamily="18" charset="0"/>
                  <a:ea typeface="+mn-ea"/>
                  <a:cs typeface="+mn-cs"/>
                </a:rPr>
                <a:t>)</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55" name="TextBox 54">
              <a:extLst>
                <a:ext uri="{FF2B5EF4-FFF2-40B4-BE49-F238E27FC236}">
                  <a16:creationId xmlns:a16="http://schemas.microsoft.com/office/drawing/2014/main" id="{00000000-0008-0000-0600-000037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55" name="TextBox 54">
              <a:extLst>
                <a:ext uri="{FF2B5EF4-FFF2-40B4-BE49-F238E27FC236}">
                  <a16:creationId xmlns:a16="http://schemas.microsoft.com/office/drawing/2014/main" id="{7FF104C8-78B5-45B1-8295-A1FD06DC3128}"/>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56" name="TextBox 55">
              <a:extLst>
                <a:ext uri="{FF2B5EF4-FFF2-40B4-BE49-F238E27FC236}">
                  <a16:creationId xmlns:a16="http://schemas.microsoft.com/office/drawing/2014/main" id="{00000000-0008-0000-0600-000038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56" name="TextBox 55">
              <a:extLst>
                <a:ext uri="{FF2B5EF4-FFF2-40B4-BE49-F238E27FC236}">
                  <a16:creationId xmlns:a16="http://schemas.microsoft.com/office/drawing/2014/main" id="{AA53F663-754B-4AC6-B1C4-C8F1701B4A7D}"/>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pPr/>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57" name="TextBox 56">
              <a:extLst>
                <a:ext uri="{FF2B5EF4-FFF2-40B4-BE49-F238E27FC236}">
                  <a16:creationId xmlns:a16="http://schemas.microsoft.com/office/drawing/2014/main" id="{00000000-0008-0000-0600-000039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57" name="TextBox 56">
              <a:extLst>
                <a:ext uri="{FF2B5EF4-FFF2-40B4-BE49-F238E27FC236}">
                  <a16:creationId xmlns:a16="http://schemas.microsoft.com/office/drawing/2014/main" id="{7B19BE91-0894-412F-99E3-48A6A662AA9F}"/>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〖𝑳_𝒒𝒖/𝑩_𝒒𝒖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58" name="TextBox 57">
              <a:extLst>
                <a:ext uri="{FF2B5EF4-FFF2-40B4-BE49-F238E27FC236}">
                  <a16:creationId xmlns:a16="http://schemas.microsoft.com/office/drawing/2014/main" id="{00000000-0008-0000-0600-00003A000000}"/>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58" name="TextBox 57">
              <a:extLst>
                <a:ext uri="{FF2B5EF4-FFF2-40B4-BE49-F238E27FC236}">
                  <a16:creationId xmlns:a16="http://schemas.microsoft.com/office/drawing/2014/main" id="{C74E2DE7-2086-48DB-A252-E8BF469E6772}"/>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59" name="TextBox 58">
              <a:extLst>
                <a:ext uri="{FF2B5EF4-FFF2-40B4-BE49-F238E27FC236}">
                  <a16:creationId xmlns:a16="http://schemas.microsoft.com/office/drawing/2014/main" id="{00000000-0008-0000-0600-00003B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59" name="TextBox 58">
              <a:extLst>
                <a:ext uri="{FF2B5EF4-FFF2-40B4-BE49-F238E27FC236}">
                  <a16:creationId xmlns:a16="http://schemas.microsoft.com/office/drawing/2014/main" id="{011198C9-55B9-4B2B-801E-26FEDADF0123}"/>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6.xml><?xml version="1.0" encoding="utf-8"?>
<xdr:wsDr xmlns:xdr="http://schemas.openxmlformats.org/drawingml/2006/spreadsheetDrawing" xmlns:a="http://schemas.openxmlformats.org/drawingml/2006/main">
  <xdr:twoCellAnchor>
    <xdr:from>
      <xdr:col>4</xdr:col>
      <xdr:colOff>349250</xdr:colOff>
      <xdr:row>111</xdr:row>
      <xdr:rowOff>146050</xdr:rowOff>
    </xdr:from>
    <xdr:to>
      <xdr:col>4</xdr:col>
      <xdr:colOff>590550</xdr:colOff>
      <xdr:row>113</xdr:row>
      <xdr:rowOff>19050</xdr:rowOff>
    </xdr:to>
    <xdr:pic>
      <xdr:nvPicPr>
        <xdr:cNvPr id="2" name="Picture 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00000000-0008-0000-07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00000000-0008-0000-0700-00000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00000000-0008-0000-0700-00000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9" name="Picture 8">
          <a:extLst>
            <a:ext uri="{FF2B5EF4-FFF2-40B4-BE49-F238E27FC236}">
              <a16:creationId xmlns:a16="http://schemas.microsoft.com/office/drawing/2014/main" id="{00000000-0008-0000-07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00000000-0008-0000-07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00000000-0008-0000-07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00000000-0008-0000-07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994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3" name="Picture 12">
          <a:extLst>
            <a:ext uri="{FF2B5EF4-FFF2-40B4-BE49-F238E27FC236}">
              <a16:creationId xmlns:a16="http://schemas.microsoft.com/office/drawing/2014/main" id="{00000000-0008-0000-0700-00000D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4" name="Picture 13">
          <a:extLst>
            <a:ext uri="{FF2B5EF4-FFF2-40B4-BE49-F238E27FC236}">
              <a16:creationId xmlns:a16="http://schemas.microsoft.com/office/drawing/2014/main" id="{00000000-0008-0000-0700-00000E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5" name="Picture 14">
          <a:extLst>
            <a:ext uri="{FF2B5EF4-FFF2-40B4-BE49-F238E27FC236}">
              <a16:creationId xmlns:a16="http://schemas.microsoft.com/office/drawing/2014/main" id="{00000000-0008-0000-0700-00000F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6" name="Picture 15">
          <a:extLst>
            <a:ext uri="{FF2B5EF4-FFF2-40B4-BE49-F238E27FC236}">
              <a16:creationId xmlns:a16="http://schemas.microsoft.com/office/drawing/2014/main" id="{00000000-0008-0000-0700-000010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00000000-0008-0000-0700-000011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17" name="TextBox 16">
              <a:extLst>
                <a:ext uri="{FF2B5EF4-FFF2-40B4-BE49-F238E27FC236}">
                  <a16:creationId xmlns:a16="http://schemas.microsoft.com/office/drawing/2014/main" id="{30FBD442-9CF5-4D41-8F2D-6873EA92067D}"/>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18" name="Picture 17">
          <a:extLst>
            <a:ext uri="{FF2B5EF4-FFF2-40B4-BE49-F238E27FC236}">
              <a16:creationId xmlns:a16="http://schemas.microsoft.com/office/drawing/2014/main" id="{00000000-0008-0000-0700-000012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112</xdr:row>
      <xdr:rowOff>0</xdr:rowOff>
    </xdr:from>
    <xdr:to>
      <xdr:col>0</xdr:col>
      <xdr:colOff>241300</xdr:colOff>
      <xdr:row>113</xdr:row>
      <xdr:rowOff>50800</xdr:rowOff>
    </xdr:to>
    <xdr:pic>
      <xdr:nvPicPr>
        <xdr:cNvPr id="19" name="Picture 18">
          <a:extLst>
            <a:ext uri="{FF2B5EF4-FFF2-40B4-BE49-F238E27FC236}">
              <a16:creationId xmlns:a16="http://schemas.microsoft.com/office/drawing/2014/main" id="{00000000-0008-0000-0700-00001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0091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20" name="Picture 19">
          <a:extLst>
            <a:ext uri="{FF2B5EF4-FFF2-40B4-BE49-F238E27FC236}">
              <a16:creationId xmlns:a16="http://schemas.microsoft.com/office/drawing/2014/main" id="{00000000-0008-0000-0700-00001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21" name="Picture 20">
          <a:extLst>
            <a:ext uri="{FF2B5EF4-FFF2-40B4-BE49-F238E27FC236}">
              <a16:creationId xmlns:a16="http://schemas.microsoft.com/office/drawing/2014/main" id="{00000000-0008-0000-0700-00001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2" name="Picture 21">
          <a:extLst>
            <a:ext uri="{FF2B5EF4-FFF2-40B4-BE49-F238E27FC236}">
              <a16:creationId xmlns:a16="http://schemas.microsoft.com/office/drawing/2014/main" id="{00000000-0008-0000-0700-00001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3" name="Picture 22">
          <a:extLst>
            <a:ext uri="{FF2B5EF4-FFF2-40B4-BE49-F238E27FC236}">
              <a16:creationId xmlns:a16="http://schemas.microsoft.com/office/drawing/2014/main" id="{00000000-0008-0000-0700-00001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4" name="Picture 23">
          <a:extLst>
            <a:ext uri="{FF2B5EF4-FFF2-40B4-BE49-F238E27FC236}">
              <a16:creationId xmlns:a16="http://schemas.microsoft.com/office/drawing/2014/main" id="{00000000-0008-0000-0700-00001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5" name="Picture 24">
          <a:extLst>
            <a:ext uri="{FF2B5EF4-FFF2-40B4-BE49-F238E27FC236}">
              <a16:creationId xmlns:a16="http://schemas.microsoft.com/office/drawing/2014/main" id="{00000000-0008-0000-0700-00001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26" name="Picture 25">
          <a:extLst>
            <a:ext uri="{FF2B5EF4-FFF2-40B4-BE49-F238E27FC236}">
              <a16:creationId xmlns:a16="http://schemas.microsoft.com/office/drawing/2014/main" id="{00000000-0008-0000-0700-00001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534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7" name="Picture 26">
          <a:extLst>
            <a:ext uri="{FF2B5EF4-FFF2-40B4-BE49-F238E27FC236}">
              <a16:creationId xmlns:a16="http://schemas.microsoft.com/office/drawing/2014/main" id="{00000000-0008-0000-0700-00001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8" name="Picture 27">
          <a:extLst>
            <a:ext uri="{FF2B5EF4-FFF2-40B4-BE49-F238E27FC236}">
              <a16:creationId xmlns:a16="http://schemas.microsoft.com/office/drawing/2014/main" id="{00000000-0008-0000-0700-00001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9" name="Picture 28">
          <a:extLst>
            <a:ext uri="{FF2B5EF4-FFF2-40B4-BE49-F238E27FC236}">
              <a16:creationId xmlns:a16="http://schemas.microsoft.com/office/drawing/2014/main" id="{00000000-0008-0000-0700-00001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994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0" name="Picture 29">
          <a:extLst>
            <a:ext uri="{FF2B5EF4-FFF2-40B4-BE49-F238E27FC236}">
              <a16:creationId xmlns:a16="http://schemas.microsoft.com/office/drawing/2014/main" id="{00000000-0008-0000-0700-00001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1" name="Picture 30">
          <a:extLst>
            <a:ext uri="{FF2B5EF4-FFF2-40B4-BE49-F238E27FC236}">
              <a16:creationId xmlns:a16="http://schemas.microsoft.com/office/drawing/2014/main" id="{00000000-0008-0000-0700-00001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2" name="Picture 31">
          <a:extLst>
            <a:ext uri="{FF2B5EF4-FFF2-40B4-BE49-F238E27FC236}">
              <a16:creationId xmlns:a16="http://schemas.microsoft.com/office/drawing/2014/main" id="{00000000-0008-0000-0700-00002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3" name="Picture 32">
          <a:extLst>
            <a:ext uri="{FF2B5EF4-FFF2-40B4-BE49-F238E27FC236}">
              <a16:creationId xmlns:a16="http://schemas.microsoft.com/office/drawing/2014/main" id="{00000000-0008-0000-0700-00002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34" name="TextBox 33">
              <a:extLst>
                <a:ext uri="{FF2B5EF4-FFF2-40B4-BE49-F238E27FC236}">
                  <a16:creationId xmlns:a16="http://schemas.microsoft.com/office/drawing/2014/main" id="{00000000-0008-0000-0700-00002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34" name="TextBox 33">
              <a:extLst>
                <a:ext uri="{FF2B5EF4-FFF2-40B4-BE49-F238E27FC236}">
                  <a16:creationId xmlns:a16="http://schemas.microsoft.com/office/drawing/2014/main" id="{167C6FB2-8921-4425-8200-CC4E6C6F5DC6}"/>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4</xdr:col>
      <xdr:colOff>349250</xdr:colOff>
      <xdr:row>111</xdr:row>
      <xdr:rowOff>146050</xdr:rowOff>
    </xdr:from>
    <xdr:to>
      <xdr:col>4</xdr:col>
      <xdr:colOff>590550</xdr:colOff>
      <xdr:row>113</xdr:row>
      <xdr:rowOff>19050</xdr:rowOff>
    </xdr:to>
    <xdr:pic>
      <xdr:nvPicPr>
        <xdr:cNvPr id="35" name="Picture 34">
          <a:extLst>
            <a:ext uri="{FF2B5EF4-FFF2-40B4-BE49-F238E27FC236}">
              <a16:creationId xmlns:a16="http://schemas.microsoft.com/office/drawing/2014/main" id="{00000000-0008-0000-0700-00002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6" name="Picture 35">
          <a:extLst>
            <a:ext uri="{FF2B5EF4-FFF2-40B4-BE49-F238E27FC236}">
              <a16:creationId xmlns:a16="http://schemas.microsoft.com/office/drawing/2014/main" id="{00000000-0008-0000-0700-00002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37" name="Picture 36">
          <a:extLst>
            <a:ext uri="{FF2B5EF4-FFF2-40B4-BE49-F238E27FC236}">
              <a16:creationId xmlns:a16="http://schemas.microsoft.com/office/drawing/2014/main" id="{00000000-0008-0000-0700-00002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38" name="Picture 37">
          <a:extLst>
            <a:ext uri="{FF2B5EF4-FFF2-40B4-BE49-F238E27FC236}">
              <a16:creationId xmlns:a16="http://schemas.microsoft.com/office/drawing/2014/main" id="{00000000-0008-0000-0700-00002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39" name="Picture 38">
          <a:extLst>
            <a:ext uri="{FF2B5EF4-FFF2-40B4-BE49-F238E27FC236}">
              <a16:creationId xmlns:a16="http://schemas.microsoft.com/office/drawing/2014/main" id="{00000000-0008-0000-0700-00002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40" name="Picture 39">
          <a:extLst>
            <a:ext uri="{FF2B5EF4-FFF2-40B4-BE49-F238E27FC236}">
              <a16:creationId xmlns:a16="http://schemas.microsoft.com/office/drawing/2014/main" id="{00000000-0008-0000-0700-00002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41" name="Picture 40">
          <a:extLst>
            <a:ext uri="{FF2B5EF4-FFF2-40B4-BE49-F238E27FC236}">
              <a16:creationId xmlns:a16="http://schemas.microsoft.com/office/drawing/2014/main" id="{00000000-0008-0000-0700-00002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42" name="Picture 41">
          <a:extLst>
            <a:ext uri="{FF2B5EF4-FFF2-40B4-BE49-F238E27FC236}">
              <a16:creationId xmlns:a16="http://schemas.microsoft.com/office/drawing/2014/main" id="{00000000-0008-0000-0700-00002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43" name="Picture 42">
          <a:extLst>
            <a:ext uri="{FF2B5EF4-FFF2-40B4-BE49-F238E27FC236}">
              <a16:creationId xmlns:a16="http://schemas.microsoft.com/office/drawing/2014/main" id="{00000000-0008-0000-0700-00002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44" name="Picture 43">
          <a:extLst>
            <a:ext uri="{FF2B5EF4-FFF2-40B4-BE49-F238E27FC236}">
              <a16:creationId xmlns:a16="http://schemas.microsoft.com/office/drawing/2014/main" id="{00000000-0008-0000-0700-00002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45" name="Picture 44">
          <a:extLst>
            <a:ext uri="{FF2B5EF4-FFF2-40B4-BE49-F238E27FC236}">
              <a16:creationId xmlns:a16="http://schemas.microsoft.com/office/drawing/2014/main" id="{00000000-0008-0000-0700-00002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994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46" name="Picture 45">
          <a:extLst>
            <a:ext uri="{FF2B5EF4-FFF2-40B4-BE49-F238E27FC236}">
              <a16:creationId xmlns:a16="http://schemas.microsoft.com/office/drawing/2014/main" id="{00000000-0008-0000-0700-00002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47" name="Picture 46">
          <a:extLst>
            <a:ext uri="{FF2B5EF4-FFF2-40B4-BE49-F238E27FC236}">
              <a16:creationId xmlns:a16="http://schemas.microsoft.com/office/drawing/2014/main" id="{00000000-0008-0000-0700-00002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48" name="Picture 47">
          <a:extLst>
            <a:ext uri="{FF2B5EF4-FFF2-40B4-BE49-F238E27FC236}">
              <a16:creationId xmlns:a16="http://schemas.microsoft.com/office/drawing/2014/main" id="{00000000-0008-0000-0700-00003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49" name="Picture 48">
          <a:extLst>
            <a:ext uri="{FF2B5EF4-FFF2-40B4-BE49-F238E27FC236}">
              <a16:creationId xmlns:a16="http://schemas.microsoft.com/office/drawing/2014/main" id="{00000000-0008-0000-0700-00003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00000000-0008-0000-0700-00003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50" name="TextBox 49">
              <a:extLst>
                <a:ext uri="{FF2B5EF4-FFF2-40B4-BE49-F238E27FC236}">
                  <a16:creationId xmlns:a16="http://schemas.microsoft.com/office/drawing/2014/main" id="{21CE13D2-7195-47C4-8826-A7F1CED47882}"/>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51" name="Picture 50">
          <a:extLst>
            <a:ext uri="{FF2B5EF4-FFF2-40B4-BE49-F238E27FC236}">
              <a16:creationId xmlns:a16="http://schemas.microsoft.com/office/drawing/2014/main" id="{00000000-0008-0000-0700-000033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00000000-0008-0000-0700-000034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52" name="TextBox 51">
              <a:extLst>
                <a:ext uri="{FF2B5EF4-FFF2-40B4-BE49-F238E27FC236}">
                  <a16:creationId xmlns:a16="http://schemas.microsoft.com/office/drawing/2014/main" id="{75CB3514-8CE2-4B42-895D-EEF345FF81E6}"/>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00000000-0008-0000-0700-000035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53" name="TextBox 52">
              <a:extLst>
                <a:ext uri="{FF2B5EF4-FFF2-40B4-BE49-F238E27FC236}">
                  <a16:creationId xmlns:a16="http://schemas.microsoft.com/office/drawing/2014/main" id="{E36A323D-24FD-48FF-971A-632BD8B5D2FB}"/>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54" name="TextBox 53">
              <a:extLst>
                <a:ext uri="{FF2B5EF4-FFF2-40B4-BE49-F238E27FC236}">
                  <a16:creationId xmlns:a16="http://schemas.microsoft.com/office/drawing/2014/main" id="{00000000-0008-0000-0700-000036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54" name="TextBox 53">
              <a:extLst>
                <a:ext uri="{FF2B5EF4-FFF2-40B4-BE49-F238E27FC236}">
                  <a16:creationId xmlns:a16="http://schemas.microsoft.com/office/drawing/2014/main" id="{EC15253C-8E11-4627-8415-BE4939CEBFA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 </a:t>
              </a:r>
              <a:r>
                <a:rPr lang="el-GR" sz="1100" b="1" i="0">
                  <a:solidFill>
                    <a:schemeClr val="tx1"/>
                  </a:solidFill>
                  <a:effectLst/>
                  <a:latin typeface="Cambria Math" panose="02040503050406030204" pitchFamily="18" charset="0"/>
                  <a:ea typeface="+mn-ea"/>
                  <a:cs typeface="+mn-cs"/>
                </a:rPr>
                <a:t>)</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55" name="TextBox 54">
              <a:extLst>
                <a:ext uri="{FF2B5EF4-FFF2-40B4-BE49-F238E27FC236}">
                  <a16:creationId xmlns:a16="http://schemas.microsoft.com/office/drawing/2014/main" id="{00000000-0008-0000-0700-000037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55" name="TextBox 54">
              <a:extLst>
                <a:ext uri="{FF2B5EF4-FFF2-40B4-BE49-F238E27FC236}">
                  <a16:creationId xmlns:a16="http://schemas.microsoft.com/office/drawing/2014/main" id="{575D2F68-254D-4996-895A-83E7485D2838}"/>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56" name="TextBox 55">
              <a:extLst>
                <a:ext uri="{FF2B5EF4-FFF2-40B4-BE49-F238E27FC236}">
                  <a16:creationId xmlns:a16="http://schemas.microsoft.com/office/drawing/2014/main" id="{00000000-0008-0000-0700-000038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56" name="TextBox 55">
              <a:extLst>
                <a:ext uri="{FF2B5EF4-FFF2-40B4-BE49-F238E27FC236}">
                  <a16:creationId xmlns:a16="http://schemas.microsoft.com/office/drawing/2014/main" id="{F65DBCBA-6D70-4DFA-8C88-9489C9F78E67}"/>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pPr/>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57" name="TextBox 56">
              <a:extLst>
                <a:ext uri="{FF2B5EF4-FFF2-40B4-BE49-F238E27FC236}">
                  <a16:creationId xmlns:a16="http://schemas.microsoft.com/office/drawing/2014/main" id="{00000000-0008-0000-0700-000039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57" name="TextBox 56">
              <a:extLst>
                <a:ext uri="{FF2B5EF4-FFF2-40B4-BE49-F238E27FC236}">
                  <a16:creationId xmlns:a16="http://schemas.microsoft.com/office/drawing/2014/main" id="{14F0B841-1C00-4967-9710-4B1AA2B0ACC1}"/>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〖𝑳_𝒒𝒖/𝑩_𝒒𝒖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58" name="TextBox 57">
              <a:extLst>
                <a:ext uri="{FF2B5EF4-FFF2-40B4-BE49-F238E27FC236}">
                  <a16:creationId xmlns:a16="http://schemas.microsoft.com/office/drawing/2014/main" id="{00000000-0008-0000-0700-00003A000000}"/>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58" name="TextBox 57">
              <a:extLst>
                <a:ext uri="{FF2B5EF4-FFF2-40B4-BE49-F238E27FC236}">
                  <a16:creationId xmlns:a16="http://schemas.microsoft.com/office/drawing/2014/main" id="{53541818-2D55-4458-B903-E86D81F314B1}"/>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59" name="TextBox 58">
              <a:extLst>
                <a:ext uri="{FF2B5EF4-FFF2-40B4-BE49-F238E27FC236}">
                  <a16:creationId xmlns:a16="http://schemas.microsoft.com/office/drawing/2014/main" id="{00000000-0008-0000-0700-00003B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59" name="TextBox 58">
              <a:extLst>
                <a:ext uri="{FF2B5EF4-FFF2-40B4-BE49-F238E27FC236}">
                  <a16:creationId xmlns:a16="http://schemas.microsoft.com/office/drawing/2014/main" id="{8B9F2415-979E-432D-B1D5-A103242998F8}"/>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7.xml><?xml version="1.0" encoding="utf-8"?>
<xdr:wsDr xmlns:xdr="http://schemas.openxmlformats.org/drawingml/2006/spreadsheetDrawing" xmlns:a="http://schemas.openxmlformats.org/drawingml/2006/main">
  <xdr:twoCellAnchor>
    <xdr:from>
      <xdr:col>16</xdr:col>
      <xdr:colOff>304800</xdr:colOff>
      <xdr:row>13</xdr:row>
      <xdr:rowOff>127000</xdr:rowOff>
    </xdr:from>
    <xdr:to>
      <xdr:col>16</xdr:col>
      <xdr:colOff>546100</xdr:colOff>
      <xdr:row>15</xdr:row>
      <xdr:rowOff>25400</xdr:rowOff>
    </xdr:to>
    <xdr:pic>
      <xdr:nvPicPr>
        <xdr:cNvPr id="2" name="Picture 1">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979150" y="22733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43</xdr:col>
      <xdr:colOff>0</xdr:colOff>
      <xdr:row>8</xdr:row>
      <xdr:rowOff>0</xdr:rowOff>
    </xdr:from>
    <xdr:to>
      <xdr:col>43</xdr:col>
      <xdr:colOff>90488</xdr:colOff>
      <xdr:row>9</xdr:row>
      <xdr:rowOff>9525</xdr:rowOff>
    </xdr:to>
    <xdr:pic>
      <xdr:nvPicPr>
        <xdr:cNvPr id="2" name="Picture 1">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7851100" y="209550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44</xdr:col>
      <xdr:colOff>0</xdr:colOff>
      <xdr:row>8</xdr:row>
      <xdr:rowOff>0</xdr:rowOff>
    </xdr:from>
    <xdr:to>
      <xdr:col>44</xdr:col>
      <xdr:colOff>147638</xdr:colOff>
      <xdr:row>9</xdr:row>
      <xdr:rowOff>9525</xdr:rowOff>
    </xdr:to>
    <xdr:pic>
      <xdr:nvPicPr>
        <xdr:cNvPr id="3" name="Picture 2">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498800" y="2095500"/>
          <a:ext cx="14763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45</xdr:col>
      <xdr:colOff>0</xdr:colOff>
      <xdr:row>8</xdr:row>
      <xdr:rowOff>0</xdr:rowOff>
    </xdr:from>
    <xdr:to>
      <xdr:col>45</xdr:col>
      <xdr:colOff>157163</xdr:colOff>
      <xdr:row>9</xdr:row>
      <xdr:rowOff>9525</xdr:rowOff>
    </xdr:to>
    <xdr:pic>
      <xdr:nvPicPr>
        <xdr:cNvPr id="4" name="Picture 3">
          <a:extLst>
            <a:ext uri="{FF2B5EF4-FFF2-40B4-BE49-F238E27FC236}">
              <a16:creationId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1465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0</xdr:colOff>
      <xdr:row>8</xdr:row>
      <xdr:rowOff>0</xdr:rowOff>
    </xdr:from>
    <xdr:to>
      <xdr:col>46</xdr:col>
      <xdr:colOff>157163</xdr:colOff>
      <xdr:row>9</xdr:row>
      <xdr:rowOff>9525</xdr:rowOff>
    </xdr:to>
    <xdr:pic>
      <xdr:nvPicPr>
        <xdr:cNvPr id="5" name="Picture 4">
          <a:extLst>
            <a:ext uri="{FF2B5EF4-FFF2-40B4-BE49-F238E27FC236}">
              <a16:creationId xmlns:a16="http://schemas.microsoft.com/office/drawing/2014/main" id="{00000000-0008-0000-0C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7942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0</xdr:colOff>
      <xdr:row>8</xdr:row>
      <xdr:rowOff>0</xdr:rowOff>
    </xdr:from>
    <xdr:to>
      <xdr:col>47</xdr:col>
      <xdr:colOff>180975</xdr:colOff>
      <xdr:row>9</xdr:row>
      <xdr:rowOff>9525</xdr:rowOff>
    </xdr:to>
    <xdr:pic>
      <xdr:nvPicPr>
        <xdr:cNvPr id="6" name="Picture 5">
          <a:extLst>
            <a:ext uri="{FF2B5EF4-FFF2-40B4-BE49-F238E27FC236}">
              <a16:creationId xmlns:a16="http://schemas.microsoft.com/office/drawing/2014/main" id="{00000000-0008-0000-0C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441900" y="20955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48</xdr:col>
      <xdr:colOff>0</xdr:colOff>
      <xdr:row>8</xdr:row>
      <xdr:rowOff>0</xdr:rowOff>
    </xdr:from>
    <xdr:to>
      <xdr:col>48</xdr:col>
      <xdr:colOff>357188</xdr:colOff>
      <xdr:row>9</xdr:row>
      <xdr:rowOff>33338</xdr:rowOff>
    </xdr:to>
    <xdr:pic>
      <xdr:nvPicPr>
        <xdr:cNvPr id="7" name="Picture 6">
          <a:extLst>
            <a:ext uri="{FF2B5EF4-FFF2-40B4-BE49-F238E27FC236}">
              <a16:creationId xmlns:a16="http://schemas.microsoft.com/office/drawing/2014/main" id="{00000000-0008-0000-0C00-00000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0</xdr:colOff>
      <xdr:row>5</xdr:row>
      <xdr:rowOff>0</xdr:rowOff>
    </xdr:from>
    <xdr:to>
      <xdr:col>15</xdr:col>
      <xdr:colOff>157163</xdr:colOff>
      <xdr:row>6</xdr:row>
      <xdr:rowOff>19050</xdr:rowOff>
    </xdr:to>
    <xdr:pic>
      <xdr:nvPicPr>
        <xdr:cNvPr id="8" name="Picture 7">
          <a:extLst>
            <a:ext uri="{FF2B5EF4-FFF2-40B4-BE49-F238E27FC236}">
              <a16:creationId xmlns:a16="http://schemas.microsoft.com/office/drawing/2014/main" id="{00000000-0008-0000-0C00-00000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44100" y="14859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8</xdr:row>
      <xdr:rowOff>0</xdr:rowOff>
    </xdr:from>
    <xdr:to>
      <xdr:col>49</xdr:col>
      <xdr:colOff>157163</xdr:colOff>
      <xdr:row>9</xdr:row>
      <xdr:rowOff>9525</xdr:rowOff>
    </xdr:to>
    <xdr:pic>
      <xdr:nvPicPr>
        <xdr:cNvPr id="9" name="Picture 8">
          <a:extLst>
            <a:ext uri="{FF2B5EF4-FFF2-40B4-BE49-F238E27FC236}">
              <a16:creationId xmlns:a16="http://schemas.microsoft.com/office/drawing/2014/main" id="{00000000-0008-0000-0C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50</xdr:col>
      <xdr:colOff>0</xdr:colOff>
      <xdr:row>8</xdr:row>
      <xdr:rowOff>0</xdr:rowOff>
    </xdr:from>
    <xdr:to>
      <xdr:col>50</xdr:col>
      <xdr:colOff>95250</xdr:colOff>
      <xdr:row>9</xdr:row>
      <xdr:rowOff>9525</xdr:rowOff>
    </xdr:to>
    <xdr:pic>
      <xdr:nvPicPr>
        <xdr:cNvPr id="10" name="Picture 9">
          <a:extLst>
            <a:ext uri="{FF2B5EF4-FFF2-40B4-BE49-F238E27FC236}">
              <a16:creationId xmlns:a16="http://schemas.microsoft.com/office/drawing/2014/main" id="{00000000-0008-0000-0C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8</xdr:row>
      <xdr:rowOff>0</xdr:rowOff>
    </xdr:from>
    <xdr:to>
      <xdr:col>51</xdr:col>
      <xdr:colOff>323850</xdr:colOff>
      <xdr:row>9</xdr:row>
      <xdr:rowOff>28575</xdr:rowOff>
    </xdr:to>
    <xdr:pic>
      <xdr:nvPicPr>
        <xdr:cNvPr id="11" name="Picture 10">
          <a:extLst>
            <a:ext uri="{FF2B5EF4-FFF2-40B4-BE49-F238E27FC236}">
              <a16:creationId xmlns:a16="http://schemas.microsoft.com/office/drawing/2014/main" id="{00000000-0008-0000-0C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52</xdr:col>
      <xdr:colOff>0</xdr:colOff>
      <xdr:row>8</xdr:row>
      <xdr:rowOff>0</xdr:rowOff>
    </xdr:from>
    <xdr:to>
      <xdr:col>52</xdr:col>
      <xdr:colOff>233363</xdr:colOff>
      <xdr:row>9</xdr:row>
      <xdr:rowOff>9525</xdr:rowOff>
    </xdr:to>
    <xdr:pic>
      <xdr:nvPicPr>
        <xdr:cNvPr id="12" name="Picture 11">
          <a:extLst>
            <a:ext uri="{FF2B5EF4-FFF2-40B4-BE49-F238E27FC236}">
              <a16:creationId xmlns:a16="http://schemas.microsoft.com/office/drawing/2014/main" id="{00000000-0008-0000-0C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909000" y="2095500"/>
          <a:ext cx="2333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55</xdr:col>
      <xdr:colOff>0</xdr:colOff>
      <xdr:row>8</xdr:row>
      <xdr:rowOff>0</xdr:rowOff>
    </xdr:from>
    <xdr:to>
      <xdr:col>55</xdr:col>
      <xdr:colOff>357188</xdr:colOff>
      <xdr:row>9</xdr:row>
      <xdr:rowOff>33338</xdr:rowOff>
    </xdr:to>
    <xdr:pic>
      <xdr:nvPicPr>
        <xdr:cNvPr id="13" name="Picture 12">
          <a:extLst>
            <a:ext uri="{FF2B5EF4-FFF2-40B4-BE49-F238E27FC236}">
              <a16:creationId xmlns:a16="http://schemas.microsoft.com/office/drawing/2014/main" id="{00000000-0008-0000-0C00-00000D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56</xdr:col>
      <xdr:colOff>0</xdr:colOff>
      <xdr:row>8</xdr:row>
      <xdr:rowOff>0</xdr:rowOff>
    </xdr:from>
    <xdr:to>
      <xdr:col>56</xdr:col>
      <xdr:colOff>157163</xdr:colOff>
      <xdr:row>9</xdr:row>
      <xdr:rowOff>9525</xdr:rowOff>
    </xdr:to>
    <xdr:pic>
      <xdr:nvPicPr>
        <xdr:cNvPr id="14" name="Picture 13">
          <a:extLst>
            <a:ext uri="{FF2B5EF4-FFF2-40B4-BE49-F238E27FC236}">
              <a16:creationId xmlns:a16="http://schemas.microsoft.com/office/drawing/2014/main" id="{00000000-0008-0000-0C00-00000E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57</xdr:col>
      <xdr:colOff>0</xdr:colOff>
      <xdr:row>8</xdr:row>
      <xdr:rowOff>0</xdr:rowOff>
    </xdr:from>
    <xdr:to>
      <xdr:col>57</xdr:col>
      <xdr:colOff>95250</xdr:colOff>
      <xdr:row>9</xdr:row>
      <xdr:rowOff>9525</xdr:rowOff>
    </xdr:to>
    <xdr:pic>
      <xdr:nvPicPr>
        <xdr:cNvPr id="15" name="Picture 14">
          <a:extLst>
            <a:ext uri="{FF2B5EF4-FFF2-40B4-BE49-F238E27FC236}">
              <a16:creationId xmlns:a16="http://schemas.microsoft.com/office/drawing/2014/main" id="{00000000-0008-0000-0C00-00000F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43</xdr:col>
      <xdr:colOff>0</xdr:colOff>
      <xdr:row>9</xdr:row>
      <xdr:rowOff>0</xdr:rowOff>
    </xdr:from>
    <xdr:to>
      <xdr:col>43</xdr:col>
      <xdr:colOff>90488</xdr:colOff>
      <xdr:row>10</xdr:row>
      <xdr:rowOff>9525</xdr:rowOff>
    </xdr:to>
    <xdr:pic>
      <xdr:nvPicPr>
        <xdr:cNvPr id="16" name="Picture 15">
          <a:extLst>
            <a:ext uri="{FF2B5EF4-FFF2-40B4-BE49-F238E27FC236}">
              <a16:creationId xmlns:a16="http://schemas.microsoft.com/office/drawing/2014/main" id="{00000000-0008-0000-0C00-000010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079700" y="209550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44</xdr:col>
      <xdr:colOff>0</xdr:colOff>
      <xdr:row>9</xdr:row>
      <xdr:rowOff>0</xdr:rowOff>
    </xdr:from>
    <xdr:to>
      <xdr:col>44</xdr:col>
      <xdr:colOff>147638</xdr:colOff>
      <xdr:row>10</xdr:row>
      <xdr:rowOff>9525</xdr:rowOff>
    </xdr:to>
    <xdr:pic>
      <xdr:nvPicPr>
        <xdr:cNvPr id="17" name="Picture 16">
          <a:extLst>
            <a:ext uri="{FF2B5EF4-FFF2-40B4-BE49-F238E27FC236}">
              <a16:creationId xmlns:a16="http://schemas.microsoft.com/office/drawing/2014/main" id="{00000000-0008-0000-0C00-000011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727400" y="2095500"/>
          <a:ext cx="14763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45</xdr:col>
      <xdr:colOff>0</xdr:colOff>
      <xdr:row>9</xdr:row>
      <xdr:rowOff>0</xdr:rowOff>
    </xdr:from>
    <xdr:to>
      <xdr:col>45</xdr:col>
      <xdr:colOff>157163</xdr:colOff>
      <xdr:row>10</xdr:row>
      <xdr:rowOff>9525</xdr:rowOff>
    </xdr:to>
    <xdr:pic>
      <xdr:nvPicPr>
        <xdr:cNvPr id="18" name="Picture 17">
          <a:extLst>
            <a:ext uri="{FF2B5EF4-FFF2-40B4-BE49-F238E27FC236}">
              <a16:creationId xmlns:a16="http://schemas.microsoft.com/office/drawing/2014/main" id="{00000000-0008-0000-0C00-00001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3751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0</xdr:colOff>
      <xdr:row>9</xdr:row>
      <xdr:rowOff>0</xdr:rowOff>
    </xdr:from>
    <xdr:to>
      <xdr:col>46</xdr:col>
      <xdr:colOff>157163</xdr:colOff>
      <xdr:row>10</xdr:row>
      <xdr:rowOff>9525</xdr:rowOff>
    </xdr:to>
    <xdr:pic>
      <xdr:nvPicPr>
        <xdr:cNvPr id="19" name="Picture 18">
          <a:extLst>
            <a:ext uri="{FF2B5EF4-FFF2-40B4-BE49-F238E27FC236}">
              <a16:creationId xmlns:a16="http://schemas.microsoft.com/office/drawing/2014/main" id="{00000000-0008-0000-0C00-000013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0228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0</xdr:colOff>
      <xdr:row>9</xdr:row>
      <xdr:rowOff>0</xdr:rowOff>
    </xdr:from>
    <xdr:to>
      <xdr:col>47</xdr:col>
      <xdr:colOff>180975</xdr:colOff>
      <xdr:row>10</xdr:row>
      <xdr:rowOff>9525</xdr:rowOff>
    </xdr:to>
    <xdr:pic>
      <xdr:nvPicPr>
        <xdr:cNvPr id="20" name="Picture 19">
          <a:extLst>
            <a:ext uri="{FF2B5EF4-FFF2-40B4-BE49-F238E27FC236}">
              <a16:creationId xmlns:a16="http://schemas.microsoft.com/office/drawing/2014/main" id="{00000000-0008-0000-0C00-000014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70500" y="20955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48</xdr:col>
      <xdr:colOff>0</xdr:colOff>
      <xdr:row>9</xdr:row>
      <xdr:rowOff>0</xdr:rowOff>
    </xdr:from>
    <xdr:to>
      <xdr:col>48</xdr:col>
      <xdr:colOff>357188</xdr:colOff>
      <xdr:row>10</xdr:row>
      <xdr:rowOff>33338</xdr:rowOff>
    </xdr:to>
    <xdr:pic>
      <xdr:nvPicPr>
        <xdr:cNvPr id="21" name="Picture 20">
          <a:extLst>
            <a:ext uri="{FF2B5EF4-FFF2-40B4-BE49-F238E27FC236}">
              <a16:creationId xmlns:a16="http://schemas.microsoft.com/office/drawing/2014/main" id="{00000000-0008-0000-0C00-000015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9</xdr:row>
      <xdr:rowOff>0</xdr:rowOff>
    </xdr:from>
    <xdr:to>
      <xdr:col>49</xdr:col>
      <xdr:colOff>157163</xdr:colOff>
      <xdr:row>10</xdr:row>
      <xdr:rowOff>9525</xdr:rowOff>
    </xdr:to>
    <xdr:pic>
      <xdr:nvPicPr>
        <xdr:cNvPr id="22" name="Picture 21">
          <a:extLst>
            <a:ext uri="{FF2B5EF4-FFF2-40B4-BE49-F238E27FC236}">
              <a16:creationId xmlns:a16="http://schemas.microsoft.com/office/drawing/2014/main" id="{00000000-0008-0000-0C00-000016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50</xdr:col>
      <xdr:colOff>0</xdr:colOff>
      <xdr:row>9</xdr:row>
      <xdr:rowOff>0</xdr:rowOff>
    </xdr:from>
    <xdr:to>
      <xdr:col>50</xdr:col>
      <xdr:colOff>95250</xdr:colOff>
      <xdr:row>10</xdr:row>
      <xdr:rowOff>9525</xdr:rowOff>
    </xdr:to>
    <xdr:pic>
      <xdr:nvPicPr>
        <xdr:cNvPr id="23" name="Picture 22">
          <a:extLst>
            <a:ext uri="{FF2B5EF4-FFF2-40B4-BE49-F238E27FC236}">
              <a16:creationId xmlns:a16="http://schemas.microsoft.com/office/drawing/2014/main" id="{00000000-0008-0000-0C00-000017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9</xdr:row>
      <xdr:rowOff>0</xdr:rowOff>
    </xdr:from>
    <xdr:to>
      <xdr:col>51</xdr:col>
      <xdr:colOff>323850</xdr:colOff>
      <xdr:row>10</xdr:row>
      <xdr:rowOff>28575</xdr:rowOff>
    </xdr:to>
    <xdr:pic>
      <xdr:nvPicPr>
        <xdr:cNvPr id="24" name="Picture 23">
          <a:extLst>
            <a:ext uri="{FF2B5EF4-FFF2-40B4-BE49-F238E27FC236}">
              <a16:creationId xmlns:a16="http://schemas.microsoft.com/office/drawing/2014/main" id="{00000000-0008-0000-0C00-000018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52</xdr:col>
      <xdr:colOff>0</xdr:colOff>
      <xdr:row>9</xdr:row>
      <xdr:rowOff>0</xdr:rowOff>
    </xdr:from>
    <xdr:to>
      <xdr:col>52</xdr:col>
      <xdr:colOff>233363</xdr:colOff>
      <xdr:row>10</xdr:row>
      <xdr:rowOff>9525</xdr:rowOff>
    </xdr:to>
    <xdr:pic>
      <xdr:nvPicPr>
        <xdr:cNvPr id="25" name="Picture 24">
          <a:extLst>
            <a:ext uri="{FF2B5EF4-FFF2-40B4-BE49-F238E27FC236}">
              <a16:creationId xmlns:a16="http://schemas.microsoft.com/office/drawing/2014/main" id="{00000000-0008-0000-0C00-000019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909000" y="2095500"/>
          <a:ext cx="2333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55</xdr:col>
      <xdr:colOff>0</xdr:colOff>
      <xdr:row>9</xdr:row>
      <xdr:rowOff>0</xdr:rowOff>
    </xdr:from>
    <xdr:to>
      <xdr:col>55</xdr:col>
      <xdr:colOff>357188</xdr:colOff>
      <xdr:row>10</xdr:row>
      <xdr:rowOff>33338</xdr:rowOff>
    </xdr:to>
    <xdr:pic>
      <xdr:nvPicPr>
        <xdr:cNvPr id="26" name="Picture 25">
          <a:extLst>
            <a:ext uri="{FF2B5EF4-FFF2-40B4-BE49-F238E27FC236}">
              <a16:creationId xmlns:a16="http://schemas.microsoft.com/office/drawing/2014/main" id="{00000000-0008-0000-0C00-00001A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58521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56</xdr:col>
      <xdr:colOff>0</xdr:colOff>
      <xdr:row>9</xdr:row>
      <xdr:rowOff>0</xdr:rowOff>
    </xdr:from>
    <xdr:to>
      <xdr:col>56</xdr:col>
      <xdr:colOff>157163</xdr:colOff>
      <xdr:row>10</xdr:row>
      <xdr:rowOff>9525</xdr:rowOff>
    </xdr:to>
    <xdr:pic>
      <xdr:nvPicPr>
        <xdr:cNvPr id="27" name="Picture 26">
          <a:extLst>
            <a:ext uri="{FF2B5EF4-FFF2-40B4-BE49-F238E27FC236}">
              <a16:creationId xmlns:a16="http://schemas.microsoft.com/office/drawing/2014/main" id="{00000000-0008-0000-0C00-00001B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4998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57</xdr:col>
      <xdr:colOff>0</xdr:colOff>
      <xdr:row>9</xdr:row>
      <xdr:rowOff>0</xdr:rowOff>
    </xdr:from>
    <xdr:to>
      <xdr:col>57</xdr:col>
      <xdr:colOff>95250</xdr:colOff>
      <xdr:row>10</xdr:row>
      <xdr:rowOff>9525</xdr:rowOff>
    </xdr:to>
    <xdr:pic>
      <xdr:nvPicPr>
        <xdr:cNvPr id="28" name="Picture 27">
          <a:extLst>
            <a:ext uri="{FF2B5EF4-FFF2-40B4-BE49-F238E27FC236}">
              <a16:creationId xmlns:a16="http://schemas.microsoft.com/office/drawing/2014/main" id="{00000000-0008-0000-0C00-00001C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71475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9</xdr:row>
      <xdr:rowOff>0</xdr:rowOff>
    </xdr:from>
    <xdr:to>
      <xdr:col>51</xdr:col>
      <xdr:colOff>323850</xdr:colOff>
      <xdr:row>10</xdr:row>
      <xdr:rowOff>28575</xdr:rowOff>
    </xdr:to>
    <xdr:pic>
      <xdr:nvPicPr>
        <xdr:cNvPr id="29" name="Picture 28">
          <a:extLst>
            <a:ext uri="{FF2B5EF4-FFF2-40B4-BE49-F238E27FC236}">
              <a16:creationId xmlns:a16="http://schemas.microsoft.com/office/drawing/2014/main" id="{00000000-0008-0000-0C00-00001D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523875</xdr:colOff>
      <xdr:row>1</xdr:row>
      <xdr:rowOff>9525</xdr:rowOff>
    </xdr:from>
    <xdr:to>
      <xdr:col>10</xdr:col>
      <xdr:colOff>552450</xdr:colOff>
      <xdr:row>17</xdr:row>
      <xdr:rowOff>104775</xdr:rowOff>
    </xdr:to>
    <xdr:pic>
      <xdr:nvPicPr>
        <xdr:cNvPr id="2" name="Picture 11">
          <a:extLst>
            <a:ext uri="{FF2B5EF4-FFF2-40B4-BE49-F238E27FC236}">
              <a16:creationId xmlns:a16="http://schemas.microsoft.com/office/drawing/2014/main" id="{00000000-0008-0000-0E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05625" y="795338"/>
          <a:ext cx="2776538" cy="2990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495300</xdr:colOff>
          <xdr:row>38</xdr:row>
          <xdr:rowOff>88900</xdr:rowOff>
        </xdr:from>
        <xdr:to>
          <xdr:col>1</xdr:col>
          <xdr:colOff>901700</xdr:colOff>
          <xdr:row>43</xdr:row>
          <xdr:rowOff>127000</xdr:rowOff>
        </xdr:to>
        <xdr:sp macro="" textlink="">
          <xdr:nvSpPr>
            <xdr:cNvPr id="27649" name="Object 1" hidden="1">
              <a:extLst>
                <a:ext uri="{63B3BB69-23CF-44E3-9099-C40C66FF867C}">
                  <a14:compatExt spid="_x0000_s27649"/>
                </a:ext>
                <a:ext uri="{FF2B5EF4-FFF2-40B4-BE49-F238E27FC236}">
                  <a16:creationId xmlns:a16="http://schemas.microsoft.com/office/drawing/2014/main" id="{00000000-0008-0000-1000-000001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44</xdr:row>
          <xdr:rowOff>152400</xdr:rowOff>
        </xdr:from>
        <xdr:to>
          <xdr:col>2</xdr:col>
          <xdr:colOff>469900</xdr:colOff>
          <xdr:row>48</xdr:row>
          <xdr:rowOff>38100</xdr:rowOff>
        </xdr:to>
        <xdr:sp macro="" textlink="">
          <xdr:nvSpPr>
            <xdr:cNvPr id="27650" name="Object 2" hidden="1">
              <a:extLst>
                <a:ext uri="{63B3BB69-23CF-44E3-9099-C40C66FF867C}">
                  <a14:compatExt spid="_x0000_s27650"/>
                </a:ext>
                <a:ext uri="{FF2B5EF4-FFF2-40B4-BE49-F238E27FC236}">
                  <a16:creationId xmlns:a16="http://schemas.microsoft.com/office/drawing/2014/main" id="{00000000-0008-0000-1000-000002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47</xdr:row>
          <xdr:rowOff>203200</xdr:rowOff>
        </xdr:from>
        <xdr:to>
          <xdr:col>2</xdr:col>
          <xdr:colOff>546100</xdr:colOff>
          <xdr:row>49</xdr:row>
          <xdr:rowOff>76200</xdr:rowOff>
        </xdr:to>
        <xdr:sp macro="" textlink="">
          <xdr:nvSpPr>
            <xdr:cNvPr id="27651" name="Object 3" hidden="1">
              <a:extLst>
                <a:ext uri="{63B3BB69-23CF-44E3-9099-C40C66FF867C}">
                  <a14:compatExt spid="_x0000_s27651"/>
                </a:ext>
                <a:ext uri="{FF2B5EF4-FFF2-40B4-BE49-F238E27FC236}">
                  <a16:creationId xmlns:a16="http://schemas.microsoft.com/office/drawing/2014/main" id="{00000000-0008-0000-1000-000003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56</xdr:row>
          <xdr:rowOff>88900</xdr:rowOff>
        </xdr:from>
        <xdr:to>
          <xdr:col>1</xdr:col>
          <xdr:colOff>901700</xdr:colOff>
          <xdr:row>61</xdr:row>
          <xdr:rowOff>127000</xdr:rowOff>
        </xdr:to>
        <xdr:sp macro="" textlink="">
          <xdr:nvSpPr>
            <xdr:cNvPr id="27652" name="Object 4" hidden="1">
              <a:extLst>
                <a:ext uri="{63B3BB69-23CF-44E3-9099-C40C66FF867C}">
                  <a14:compatExt spid="_x0000_s27652"/>
                </a:ext>
                <a:ext uri="{FF2B5EF4-FFF2-40B4-BE49-F238E27FC236}">
                  <a16:creationId xmlns:a16="http://schemas.microsoft.com/office/drawing/2014/main" id="{00000000-0008-0000-1000-000004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62</xdr:row>
          <xdr:rowOff>152400</xdr:rowOff>
        </xdr:from>
        <xdr:to>
          <xdr:col>2</xdr:col>
          <xdr:colOff>469900</xdr:colOff>
          <xdr:row>66</xdr:row>
          <xdr:rowOff>38100</xdr:rowOff>
        </xdr:to>
        <xdr:sp macro="" textlink="">
          <xdr:nvSpPr>
            <xdr:cNvPr id="27653" name="Object 5" hidden="1">
              <a:extLst>
                <a:ext uri="{63B3BB69-23CF-44E3-9099-C40C66FF867C}">
                  <a14:compatExt spid="_x0000_s27653"/>
                </a:ext>
                <a:ext uri="{FF2B5EF4-FFF2-40B4-BE49-F238E27FC236}">
                  <a16:creationId xmlns:a16="http://schemas.microsoft.com/office/drawing/2014/main" id="{00000000-0008-0000-1000-000005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74</xdr:row>
          <xdr:rowOff>88900</xdr:rowOff>
        </xdr:from>
        <xdr:to>
          <xdr:col>1</xdr:col>
          <xdr:colOff>901700</xdr:colOff>
          <xdr:row>79</xdr:row>
          <xdr:rowOff>127000</xdr:rowOff>
        </xdr:to>
        <xdr:sp macro="" textlink="">
          <xdr:nvSpPr>
            <xdr:cNvPr id="27654" name="Object 6" hidden="1">
              <a:extLst>
                <a:ext uri="{63B3BB69-23CF-44E3-9099-C40C66FF867C}">
                  <a14:compatExt spid="_x0000_s27654"/>
                </a:ext>
                <a:ext uri="{FF2B5EF4-FFF2-40B4-BE49-F238E27FC236}">
                  <a16:creationId xmlns:a16="http://schemas.microsoft.com/office/drawing/2014/main" id="{00000000-0008-0000-1000-000006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80</xdr:row>
          <xdr:rowOff>152400</xdr:rowOff>
        </xdr:from>
        <xdr:to>
          <xdr:col>2</xdr:col>
          <xdr:colOff>469900</xdr:colOff>
          <xdr:row>84</xdr:row>
          <xdr:rowOff>38100</xdr:rowOff>
        </xdr:to>
        <xdr:sp macro="" textlink="">
          <xdr:nvSpPr>
            <xdr:cNvPr id="27655" name="Object 7" hidden="1">
              <a:extLst>
                <a:ext uri="{63B3BB69-23CF-44E3-9099-C40C66FF867C}">
                  <a14:compatExt spid="_x0000_s27655"/>
                </a:ext>
                <a:ext uri="{FF2B5EF4-FFF2-40B4-BE49-F238E27FC236}">
                  <a16:creationId xmlns:a16="http://schemas.microsoft.com/office/drawing/2014/main" id="{00000000-0008-0000-1000-000007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92</xdr:row>
          <xdr:rowOff>88900</xdr:rowOff>
        </xdr:from>
        <xdr:to>
          <xdr:col>1</xdr:col>
          <xdr:colOff>901700</xdr:colOff>
          <xdr:row>97</xdr:row>
          <xdr:rowOff>127000</xdr:rowOff>
        </xdr:to>
        <xdr:sp macro="" textlink="">
          <xdr:nvSpPr>
            <xdr:cNvPr id="27656" name="Object 8" hidden="1">
              <a:extLst>
                <a:ext uri="{63B3BB69-23CF-44E3-9099-C40C66FF867C}">
                  <a14:compatExt spid="_x0000_s27656"/>
                </a:ext>
                <a:ext uri="{FF2B5EF4-FFF2-40B4-BE49-F238E27FC236}">
                  <a16:creationId xmlns:a16="http://schemas.microsoft.com/office/drawing/2014/main" id="{00000000-0008-0000-1000-000008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98</xdr:row>
          <xdr:rowOff>152400</xdr:rowOff>
        </xdr:from>
        <xdr:to>
          <xdr:col>2</xdr:col>
          <xdr:colOff>469900</xdr:colOff>
          <xdr:row>102</xdr:row>
          <xdr:rowOff>38100</xdr:rowOff>
        </xdr:to>
        <xdr:sp macro="" textlink="">
          <xdr:nvSpPr>
            <xdr:cNvPr id="27657" name="Object 9" hidden="1">
              <a:extLst>
                <a:ext uri="{63B3BB69-23CF-44E3-9099-C40C66FF867C}">
                  <a14:compatExt spid="_x0000_s27657"/>
                </a:ext>
                <a:ext uri="{FF2B5EF4-FFF2-40B4-BE49-F238E27FC236}">
                  <a16:creationId xmlns:a16="http://schemas.microsoft.com/office/drawing/2014/main" id="{00000000-0008-0000-1000-000009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50</xdr:row>
          <xdr:rowOff>63500</xdr:rowOff>
        </xdr:from>
        <xdr:to>
          <xdr:col>3</xdr:col>
          <xdr:colOff>469900</xdr:colOff>
          <xdr:row>53</xdr:row>
          <xdr:rowOff>76200</xdr:rowOff>
        </xdr:to>
        <xdr:sp macro="" textlink="">
          <xdr:nvSpPr>
            <xdr:cNvPr id="27658" name="Object 10" hidden="1">
              <a:extLst>
                <a:ext uri="{63B3BB69-23CF-44E3-9099-C40C66FF867C}">
                  <a14:compatExt spid="_x0000_s27658"/>
                </a:ext>
                <a:ext uri="{FF2B5EF4-FFF2-40B4-BE49-F238E27FC236}">
                  <a16:creationId xmlns:a16="http://schemas.microsoft.com/office/drawing/2014/main" id="{00000000-0008-0000-1000-00000A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65</xdr:row>
          <xdr:rowOff>203200</xdr:rowOff>
        </xdr:from>
        <xdr:to>
          <xdr:col>2</xdr:col>
          <xdr:colOff>546100</xdr:colOff>
          <xdr:row>67</xdr:row>
          <xdr:rowOff>76200</xdr:rowOff>
        </xdr:to>
        <xdr:sp macro="" textlink="">
          <xdr:nvSpPr>
            <xdr:cNvPr id="27659" name="Object 11" hidden="1">
              <a:extLst>
                <a:ext uri="{63B3BB69-23CF-44E3-9099-C40C66FF867C}">
                  <a14:compatExt spid="_x0000_s27659"/>
                </a:ext>
                <a:ext uri="{FF2B5EF4-FFF2-40B4-BE49-F238E27FC236}">
                  <a16:creationId xmlns:a16="http://schemas.microsoft.com/office/drawing/2014/main" id="{00000000-0008-0000-1000-00000B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68</xdr:row>
          <xdr:rowOff>76200</xdr:rowOff>
        </xdr:from>
        <xdr:to>
          <xdr:col>3</xdr:col>
          <xdr:colOff>457200</xdr:colOff>
          <xdr:row>71</xdr:row>
          <xdr:rowOff>88900</xdr:rowOff>
        </xdr:to>
        <xdr:sp macro="" textlink="">
          <xdr:nvSpPr>
            <xdr:cNvPr id="27660" name="Object 12" hidden="1">
              <a:extLst>
                <a:ext uri="{63B3BB69-23CF-44E3-9099-C40C66FF867C}">
                  <a14:compatExt spid="_x0000_s27660"/>
                </a:ext>
                <a:ext uri="{FF2B5EF4-FFF2-40B4-BE49-F238E27FC236}">
                  <a16:creationId xmlns:a16="http://schemas.microsoft.com/office/drawing/2014/main" id="{00000000-0008-0000-1000-00000C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83</xdr:row>
          <xdr:rowOff>203200</xdr:rowOff>
        </xdr:from>
        <xdr:to>
          <xdr:col>2</xdr:col>
          <xdr:colOff>546100</xdr:colOff>
          <xdr:row>85</xdr:row>
          <xdr:rowOff>76200</xdr:rowOff>
        </xdr:to>
        <xdr:sp macro="" textlink="">
          <xdr:nvSpPr>
            <xdr:cNvPr id="27661" name="Object 13" hidden="1">
              <a:extLst>
                <a:ext uri="{63B3BB69-23CF-44E3-9099-C40C66FF867C}">
                  <a14:compatExt spid="_x0000_s27661"/>
                </a:ext>
                <a:ext uri="{FF2B5EF4-FFF2-40B4-BE49-F238E27FC236}">
                  <a16:creationId xmlns:a16="http://schemas.microsoft.com/office/drawing/2014/main" id="{00000000-0008-0000-1000-00000D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86</xdr:row>
          <xdr:rowOff>76200</xdr:rowOff>
        </xdr:from>
        <xdr:to>
          <xdr:col>3</xdr:col>
          <xdr:colOff>457200</xdr:colOff>
          <xdr:row>89</xdr:row>
          <xdr:rowOff>88900</xdr:rowOff>
        </xdr:to>
        <xdr:sp macro="" textlink="">
          <xdr:nvSpPr>
            <xdr:cNvPr id="27662" name="Object 14" hidden="1">
              <a:extLst>
                <a:ext uri="{63B3BB69-23CF-44E3-9099-C40C66FF867C}">
                  <a14:compatExt spid="_x0000_s27662"/>
                </a:ext>
                <a:ext uri="{FF2B5EF4-FFF2-40B4-BE49-F238E27FC236}">
                  <a16:creationId xmlns:a16="http://schemas.microsoft.com/office/drawing/2014/main" id="{00000000-0008-0000-1000-00000E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101</xdr:row>
          <xdr:rowOff>203200</xdr:rowOff>
        </xdr:from>
        <xdr:to>
          <xdr:col>2</xdr:col>
          <xdr:colOff>546100</xdr:colOff>
          <xdr:row>103</xdr:row>
          <xdr:rowOff>76200</xdr:rowOff>
        </xdr:to>
        <xdr:sp macro="" textlink="">
          <xdr:nvSpPr>
            <xdr:cNvPr id="27663" name="Object 15" hidden="1">
              <a:extLst>
                <a:ext uri="{63B3BB69-23CF-44E3-9099-C40C66FF867C}">
                  <a14:compatExt spid="_x0000_s27663"/>
                </a:ext>
                <a:ext uri="{FF2B5EF4-FFF2-40B4-BE49-F238E27FC236}">
                  <a16:creationId xmlns:a16="http://schemas.microsoft.com/office/drawing/2014/main" id="{00000000-0008-0000-1000-00000F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104</xdr:row>
          <xdr:rowOff>76200</xdr:rowOff>
        </xdr:from>
        <xdr:to>
          <xdr:col>3</xdr:col>
          <xdr:colOff>457200</xdr:colOff>
          <xdr:row>107</xdr:row>
          <xdr:rowOff>88900</xdr:rowOff>
        </xdr:to>
        <xdr:sp macro="" textlink="">
          <xdr:nvSpPr>
            <xdr:cNvPr id="27664" name="Object 16" hidden="1">
              <a:extLst>
                <a:ext uri="{63B3BB69-23CF-44E3-9099-C40C66FF867C}">
                  <a14:compatExt spid="_x0000_s27664"/>
                </a:ext>
                <a:ext uri="{FF2B5EF4-FFF2-40B4-BE49-F238E27FC236}">
                  <a16:creationId xmlns:a16="http://schemas.microsoft.com/office/drawing/2014/main" id="{00000000-0008-0000-1000-000010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44</xdr:row>
          <xdr:rowOff>139700</xdr:rowOff>
        </xdr:from>
        <xdr:to>
          <xdr:col>6</xdr:col>
          <xdr:colOff>546100</xdr:colOff>
          <xdr:row>47</xdr:row>
          <xdr:rowOff>139700</xdr:rowOff>
        </xdr:to>
        <xdr:sp macro="" textlink="">
          <xdr:nvSpPr>
            <xdr:cNvPr id="27665" name="Object 17" hidden="1">
              <a:extLst>
                <a:ext uri="{63B3BB69-23CF-44E3-9099-C40C66FF867C}">
                  <a14:compatExt spid="_x0000_s27665"/>
                </a:ext>
                <a:ext uri="{FF2B5EF4-FFF2-40B4-BE49-F238E27FC236}">
                  <a16:creationId xmlns:a16="http://schemas.microsoft.com/office/drawing/2014/main" id="{00000000-0008-0000-1000-000011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62</xdr:row>
          <xdr:rowOff>139700</xdr:rowOff>
        </xdr:from>
        <xdr:to>
          <xdr:col>6</xdr:col>
          <xdr:colOff>546100</xdr:colOff>
          <xdr:row>65</xdr:row>
          <xdr:rowOff>139700</xdr:rowOff>
        </xdr:to>
        <xdr:sp macro="" textlink="">
          <xdr:nvSpPr>
            <xdr:cNvPr id="27666" name="Object 18" hidden="1">
              <a:extLst>
                <a:ext uri="{63B3BB69-23CF-44E3-9099-C40C66FF867C}">
                  <a14:compatExt spid="_x0000_s27666"/>
                </a:ext>
                <a:ext uri="{FF2B5EF4-FFF2-40B4-BE49-F238E27FC236}">
                  <a16:creationId xmlns:a16="http://schemas.microsoft.com/office/drawing/2014/main" id="{00000000-0008-0000-1000-000012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80</xdr:row>
          <xdr:rowOff>139700</xdr:rowOff>
        </xdr:from>
        <xdr:to>
          <xdr:col>6</xdr:col>
          <xdr:colOff>546100</xdr:colOff>
          <xdr:row>83</xdr:row>
          <xdr:rowOff>139700</xdr:rowOff>
        </xdr:to>
        <xdr:sp macro="" textlink="">
          <xdr:nvSpPr>
            <xdr:cNvPr id="27667" name="Object 19" hidden="1">
              <a:extLst>
                <a:ext uri="{63B3BB69-23CF-44E3-9099-C40C66FF867C}">
                  <a14:compatExt spid="_x0000_s27667"/>
                </a:ext>
                <a:ext uri="{FF2B5EF4-FFF2-40B4-BE49-F238E27FC236}">
                  <a16:creationId xmlns:a16="http://schemas.microsoft.com/office/drawing/2014/main" id="{00000000-0008-0000-1000-000013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98</xdr:row>
          <xdr:rowOff>139700</xdr:rowOff>
        </xdr:from>
        <xdr:to>
          <xdr:col>6</xdr:col>
          <xdr:colOff>546100</xdr:colOff>
          <xdr:row>101</xdr:row>
          <xdr:rowOff>139700</xdr:rowOff>
        </xdr:to>
        <xdr:sp macro="" textlink="">
          <xdr:nvSpPr>
            <xdr:cNvPr id="27668" name="Object 20" hidden="1">
              <a:extLst>
                <a:ext uri="{63B3BB69-23CF-44E3-9099-C40C66FF867C}">
                  <a14:compatExt spid="_x0000_s27668"/>
                </a:ext>
                <a:ext uri="{FF2B5EF4-FFF2-40B4-BE49-F238E27FC236}">
                  <a16:creationId xmlns:a16="http://schemas.microsoft.com/office/drawing/2014/main" id="{00000000-0008-0000-1000-000014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xdr:twoCellAnchor editAs="oneCell">
    <xdr:from>
      <xdr:col>0</xdr:col>
      <xdr:colOff>885825</xdr:colOff>
      <xdr:row>76</xdr:row>
      <xdr:rowOff>171450</xdr:rowOff>
    </xdr:from>
    <xdr:to>
      <xdr:col>11</xdr:col>
      <xdr:colOff>581025</xdr:colOff>
      <xdr:row>105</xdr:row>
      <xdr:rowOff>150159</xdr:rowOff>
    </xdr:to>
    <xdr:pic>
      <xdr:nvPicPr>
        <xdr:cNvPr id="2" name="Picture 6">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5825" y="17916525"/>
          <a:ext cx="6677025" cy="6153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533400</xdr:colOff>
      <xdr:row>0</xdr:row>
      <xdr:rowOff>114300</xdr:rowOff>
    </xdr:from>
    <xdr:to>
      <xdr:col>14</xdr:col>
      <xdr:colOff>352425</xdr:colOff>
      <xdr:row>35</xdr:row>
      <xdr:rowOff>19050</xdr:rowOff>
    </xdr:to>
    <xdr:pic>
      <xdr:nvPicPr>
        <xdr:cNvPr id="2" name="Picture 23">
          <a:extLst>
            <a:ext uri="{FF2B5EF4-FFF2-40B4-BE49-F238E27FC236}">
              <a16:creationId xmlns:a16="http://schemas.microsoft.com/office/drawing/2014/main" id="{00000000-0008-0000-1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 y="114300"/>
          <a:ext cx="8353425" cy="6572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12</xdr:col>
          <xdr:colOff>482600</xdr:colOff>
          <xdr:row>3</xdr:row>
          <xdr:rowOff>203200</xdr:rowOff>
        </xdr:from>
        <xdr:to>
          <xdr:col>14</xdr:col>
          <xdr:colOff>368300</xdr:colOff>
          <xdr:row>5</xdr:row>
          <xdr:rowOff>63500</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00000000-0008-0000-1600-000001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12700</xdr:colOff>
          <xdr:row>5</xdr:row>
          <xdr:rowOff>215900</xdr:rowOff>
        </xdr:from>
        <xdr:to>
          <xdr:col>17</xdr:col>
          <xdr:colOff>279400</xdr:colOff>
          <xdr:row>16</xdr:row>
          <xdr:rowOff>88900</xdr:rowOff>
        </xdr:to>
        <xdr:sp macro="" textlink="">
          <xdr:nvSpPr>
            <xdr:cNvPr id="26626" name="Object 2" hidden="1">
              <a:extLst>
                <a:ext uri="{63B3BB69-23CF-44E3-9099-C40C66FF867C}">
                  <a14:compatExt spid="_x0000_s26626"/>
                </a:ext>
                <a:ext uri="{FF2B5EF4-FFF2-40B4-BE49-F238E27FC236}">
                  <a16:creationId xmlns:a16="http://schemas.microsoft.com/office/drawing/2014/main" id="{00000000-0008-0000-1600-0000026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12</xdr:col>
          <xdr:colOff>228600</xdr:colOff>
          <xdr:row>15</xdr:row>
          <xdr:rowOff>190500</xdr:rowOff>
        </xdr:from>
        <xdr:to>
          <xdr:col>12</xdr:col>
          <xdr:colOff>685800</xdr:colOff>
          <xdr:row>17</xdr:row>
          <xdr:rowOff>25400</xdr:rowOff>
        </xdr:to>
        <xdr:sp macro="" textlink="">
          <xdr:nvSpPr>
            <xdr:cNvPr id="26627" name="Object 3" hidden="1">
              <a:extLst>
                <a:ext uri="{63B3BB69-23CF-44E3-9099-C40C66FF867C}">
                  <a14:compatExt spid="_x0000_s26627"/>
                </a:ext>
                <a:ext uri="{FF2B5EF4-FFF2-40B4-BE49-F238E27FC236}">
                  <a16:creationId xmlns:a16="http://schemas.microsoft.com/office/drawing/2014/main" id="{00000000-0008-0000-1600-000003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13</xdr:col>
          <xdr:colOff>203200</xdr:colOff>
          <xdr:row>15</xdr:row>
          <xdr:rowOff>203200</xdr:rowOff>
        </xdr:from>
        <xdr:to>
          <xdr:col>13</xdr:col>
          <xdr:colOff>660400</xdr:colOff>
          <xdr:row>17</xdr:row>
          <xdr:rowOff>38100</xdr:rowOff>
        </xdr:to>
        <xdr:sp macro="" textlink="">
          <xdr:nvSpPr>
            <xdr:cNvPr id="26628" name="Object 4" hidden="1">
              <a:extLst>
                <a:ext uri="{63B3BB69-23CF-44E3-9099-C40C66FF867C}">
                  <a14:compatExt spid="_x0000_s26628"/>
                </a:ext>
                <a:ext uri="{FF2B5EF4-FFF2-40B4-BE49-F238E27FC236}">
                  <a16:creationId xmlns:a16="http://schemas.microsoft.com/office/drawing/2014/main" id="{00000000-0008-0000-1600-000004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241300</xdr:colOff>
          <xdr:row>15</xdr:row>
          <xdr:rowOff>215900</xdr:rowOff>
        </xdr:from>
        <xdr:to>
          <xdr:col>14</xdr:col>
          <xdr:colOff>698500</xdr:colOff>
          <xdr:row>17</xdr:row>
          <xdr:rowOff>50800</xdr:rowOff>
        </xdr:to>
        <xdr:sp macro="" textlink="">
          <xdr:nvSpPr>
            <xdr:cNvPr id="26629" name="Object 5" hidden="1">
              <a:extLst>
                <a:ext uri="{63B3BB69-23CF-44E3-9099-C40C66FF867C}">
                  <a14:compatExt spid="_x0000_s26629"/>
                </a:ext>
                <a:ext uri="{FF2B5EF4-FFF2-40B4-BE49-F238E27FC236}">
                  <a16:creationId xmlns:a16="http://schemas.microsoft.com/office/drawing/2014/main" id="{00000000-0008-0000-1600-000005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15</xdr:col>
          <xdr:colOff>215900</xdr:colOff>
          <xdr:row>15</xdr:row>
          <xdr:rowOff>215900</xdr:rowOff>
        </xdr:from>
        <xdr:to>
          <xdr:col>15</xdr:col>
          <xdr:colOff>673100</xdr:colOff>
          <xdr:row>17</xdr:row>
          <xdr:rowOff>63500</xdr:rowOff>
        </xdr:to>
        <xdr:sp macro="" textlink="">
          <xdr:nvSpPr>
            <xdr:cNvPr id="26630" name="Object 6" hidden="1">
              <a:extLst>
                <a:ext uri="{63B3BB69-23CF-44E3-9099-C40C66FF867C}">
                  <a14:compatExt spid="_x0000_s26630"/>
                </a:ext>
                <a:ext uri="{FF2B5EF4-FFF2-40B4-BE49-F238E27FC236}">
                  <a16:creationId xmlns:a16="http://schemas.microsoft.com/office/drawing/2014/main" id="{00000000-0008-0000-1600-000006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16</xdr:col>
          <xdr:colOff>215900</xdr:colOff>
          <xdr:row>15</xdr:row>
          <xdr:rowOff>203200</xdr:rowOff>
        </xdr:from>
        <xdr:to>
          <xdr:col>16</xdr:col>
          <xdr:colOff>673100</xdr:colOff>
          <xdr:row>17</xdr:row>
          <xdr:rowOff>38100</xdr:rowOff>
        </xdr:to>
        <xdr:sp macro="" textlink="">
          <xdr:nvSpPr>
            <xdr:cNvPr id="26631" name="Object 7" hidden="1">
              <a:extLst>
                <a:ext uri="{63B3BB69-23CF-44E3-9099-C40C66FF867C}">
                  <a14:compatExt spid="_x0000_s26631"/>
                </a:ext>
                <a:ext uri="{FF2B5EF4-FFF2-40B4-BE49-F238E27FC236}">
                  <a16:creationId xmlns:a16="http://schemas.microsoft.com/office/drawing/2014/main" id="{00000000-0008-0000-1600-000007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17</xdr:col>
          <xdr:colOff>177800</xdr:colOff>
          <xdr:row>15</xdr:row>
          <xdr:rowOff>215900</xdr:rowOff>
        </xdr:from>
        <xdr:to>
          <xdr:col>17</xdr:col>
          <xdr:colOff>635000</xdr:colOff>
          <xdr:row>17</xdr:row>
          <xdr:rowOff>50800</xdr:rowOff>
        </xdr:to>
        <xdr:sp macro="" textlink="">
          <xdr:nvSpPr>
            <xdr:cNvPr id="26632" name="Object 8" hidden="1">
              <a:extLst>
                <a:ext uri="{63B3BB69-23CF-44E3-9099-C40C66FF867C}">
                  <a14:compatExt spid="_x0000_s26632"/>
                </a:ext>
                <a:ext uri="{FF2B5EF4-FFF2-40B4-BE49-F238E27FC236}">
                  <a16:creationId xmlns:a16="http://schemas.microsoft.com/office/drawing/2014/main" id="{00000000-0008-0000-1600-000008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18</xdr:col>
          <xdr:colOff>215900</xdr:colOff>
          <xdr:row>15</xdr:row>
          <xdr:rowOff>190500</xdr:rowOff>
        </xdr:from>
        <xdr:to>
          <xdr:col>18</xdr:col>
          <xdr:colOff>673100</xdr:colOff>
          <xdr:row>17</xdr:row>
          <xdr:rowOff>25400</xdr:rowOff>
        </xdr:to>
        <xdr:sp macro="" textlink="">
          <xdr:nvSpPr>
            <xdr:cNvPr id="26633" name="Object 9" hidden="1">
              <a:extLst>
                <a:ext uri="{63B3BB69-23CF-44E3-9099-C40C66FF867C}">
                  <a14:compatExt spid="_x0000_s26633"/>
                </a:ext>
                <a:ext uri="{FF2B5EF4-FFF2-40B4-BE49-F238E27FC236}">
                  <a16:creationId xmlns:a16="http://schemas.microsoft.com/office/drawing/2014/main" id="{00000000-0008-0000-1600-000009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19</xdr:col>
          <xdr:colOff>190500</xdr:colOff>
          <xdr:row>15</xdr:row>
          <xdr:rowOff>203200</xdr:rowOff>
        </xdr:from>
        <xdr:to>
          <xdr:col>19</xdr:col>
          <xdr:colOff>647700</xdr:colOff>
          <xdr:row>17</xdr:row>
          <xdr:rowOff>38100</xdr:rowOff>
        </xdr:to>
        <xdr:sp macro="" textlink="">
          <xdr:nvSpPr>
            <xdr:cNvPr id="26634" name="Object 10" hidden="1">
              <a:extLst>
                <a:ext uri="{63B3BB69-23CF-44E3-9099-C40C66FF867C}">
                  <a14:compatExt spid="_x0000_s26634"/>
                </a:ext>
                <a:ext uri="{FF2B5EF4-FFF2-40B4-BE49-F238E27FC236}">
                  <a16:creationId xmlns:a16="http://schemas.microsoft.com/office/drawing/2014/main" id="{00000000-0008-0000-1600-00000A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xdr:twoCellAnchor>
    <xdr:from>
      <xdr:col>0</xdr:col>
      <xdr:colOff>2276475</xdr:colOff>
      <xdr:row>0</xdr:row>
      <xdr:rowOff>9525</xdr:rowOff>
    </xdr:from>
    <xdr:to>
      <xdr:col>1</xdr:col>
      <xdr:colOff>133350</xdr:colOff>
      <xdr:row>1</xdr:row>
      <xdr:rowOff>47625</xdr:rowOff>
    </xdr:to>
    <xdr:pic>
      <xdr:nvPicPr>
        <xdr:cNvPr id="14" name="Picture 13">
          <a:extLst>
            <a:ext uri="{FF2B5EF4-FFF2-40B4-BE49-F238E27FC236}">
              <a16:creationId xmlns:a16="http://schemas.microsoft.com/office/drawing/2014/main" id="{00000000-0008-0000-1800-00000E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76475" y="95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xdr:row>
      <xdr:rowOff>0</xdr:rowOff>
    </xdr:from>
    <xdr:to>
      <xdr:col>0</xdr:col>
      <xdr:colOff>1438275</xdr:colOff>
      <xdr:row>4</xdr:row>
      <xdr:rowOff>38100</xdr:rowOff>
    </xdr:to>
    <xdr:pic>
      <xdr:nvPicPr>
        <xdr:cNvPr id="15" name="Picture 14">
          <a:extLst>
            <a:ext uri="{FF2B5EF4-FFF2-40B4-BE49-F238E27FC236}">
              <a16:creationId xmlns:a16="http://schemas.microsoft.com/office/drawing/2014/main" id="{00000000-0008-0000-1800-00000F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6286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xdr:row>
      <xdr:rowOff>0</xdr:rowOff>
    </xdr:from>
    <xdr:to>
      <xdr:col>0</xdr:col>
      <xdr:colOff>1085850</xdr:colOff>
      <xdr:row>6</xdr:row>
      <xdr:rowOff>38100</xdr:rowOff>
    </xdr:to>
    <xdr:pic>
      <xdr:nvPicPr>
        <xdr:cNvPr id="16" name="Picture 15">
          <a:extLst>
            <a:ext uri="{FF2B5EF4-FFF2-40B4-BE49-F238E27FC236}">
              <a16:creationId xmlns:a16="http://schemas.microsoft.com/office/drawing/2014/main" id="{00000000-0008-0000-1800-000010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xdr:row>
      <xdr:rowOff>0</xdr:rowOff>
    </xdr:from>
    <xdr:to>
      <xdr:col>0</xdr:col>
      <xdr:colOff>1257300</xdr:colOff>
      <xdr:row>8</xdr:row>
      <xdr:rowOff>38100</xdr:rowOff>
    </xdr:to>
    <xdr:pic>
      <xdr:nvPicPr>
        <xdr:cNvPr id="17" name="Picture 16">
          <a:extLst>
            <a:ext uri="{FF2B5EF4-FFF2-40B4-BE49-F238E27FC236}">
              <a16:creationId xmlns:a16="http://schemas.microsoft.com/office/drawing/2014/main" id="{00000000-0008-0000-1800-000011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2286000</xdr:colOff>
      <xdr:row>8</xdr:row>
      <xdr:rowOff>9525</xdr:rowOff>
    </xdr:from>
    <xdr:to>
      <xdr:col>1</xdr:col>
      <xdr:colOff>142875</xdr:colOff>
      <xdr:row>9</xdr:row>
      <xdr:rowOff>47625</xdr:rowOff>
    </xdr:to>
    <xdr:pic>
      <xdr:nvPicPr>
        <xdr:cNvPr id="18" name="Picture 17">
          <a:extLst>
            <a:ext uri="{FF2B5EF4-FFF2-40B4-BE49-F238E27FC236}">
              <a16:creationId xmlns:a16="http://schemas.microsoft.com/office/drawing/2014/main" id="{00000000-0008-0000-1800-000012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86000" y="16859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xdr:row>
      <xdr:rowOff>0</xdr:rowOff>
    </xdr:from>
    <xdr:to>
      <xdr:col>0</xdr:col>
      <xdr:colOff>1438275</xdr:colOff>
      <xdr:row>12</xdr:row>
      <xdr:rowOff>38100</xdr:rowOff>
    </xdr:to>
    <xdr:pic>
      <xdr:nvPicPr>
        <xdr:cNvPr id="19" name="Picture 18">
          <a:extLst>
            <a:ext uri="{FF2B5EF4-FFF2-40B4-BE49-F238E27FC236}">
              <a16:creationId xmlns:a16="http://schemas.microsoft.com/office/drawing/2014/main" id="{00000000-0008-0000-1800-00001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3050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xdr:row>
      <xdr:rowOff>0</xdr:rowOff>
    </xdr:from>
    <xdr:to>
      <xdr:col>0</xdr:col>
      <xdr:colOff>1085850</xdr:colOff>
      <xdr:row>14</xdr:row>
      <xdr:rowOff>38100</xdr:rowOff>
    </xdr:to>
    <xdr:pic>
      <xdr:nvPicPr>
        <xdr:cNvPr id="20" name="Picture 19">
          <a:extLst>
            <a:ext uri="{FF2B5EF4-FFF2-40B4-BE49-F238E27FC236}">
              <a16:creationId xmlns:a16="http://schemas.microsoft.com/office/drawing/2014/main" id="{00000000-0008-0000-1800-00001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7241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xdr:row>
      <xdr:rowOff>0</xdr:rowOff>
    </xdr:from>
    <xdr:to>
      <xdr:col>0</xdr:col>
      <xdr:colOff>1257300</xdr:colOff>
      <xdr:row>16</xdr:row>
      <xdr:rowOff>38100</xdr:rowOff>
    </xdr:to>
    <xdr:pic>
      <xdr:nvPicPr>
        <xdr:cNvPr id="21" name="Picture 20">
          <a:extLst>
            <a:ext uri="{FF2B5EF4-FFF2-40B4-BE49-F238E27FC236}">
              <a16:creationId xmlns:a16="http://schemas.microsoft.com/office/drawing/2014/main" id="{00000000-0008-0000-1800-00001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432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2314575</xdr:colOff>
      <xdr:row>16</xdr:row>
      <xdr:rowOff>38100</xdr:rowOff>
    </xdr:from>
    <xdr:to>
      <xdr:col>1</xdr:col>
      <xdr:colOff>171450</xdr:colOff>
      <xdr:row>17</xdr:row>
      <xdr:rowOff>76200</xdr:rowOff>
    </xdr:to>
    <xdr:pic>
      <xdr:nvPicPr>
        <xdr:cNvPr id="22" name="Picture 21">
          <a:extLst>
            <a:ext uri="{FF2B5EF4-FFF2-40B4-BE49-F238E27FC236}">
              <a16:creationId xmlns:a16="http://schemas.microsoft.com/office/drawing/2014/main" id="{00000000-0008-0000-18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14575" y="3390900"/>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xdr:row>
      <xdr:rowOff>0</xdr:rowOff>
    </xdr:from>
    <xdr:to>
      <xdr:col>0</xdr:col>
      <xdr:colOff>1438275</xdr:colOff>
      <xdr:row>20</xdr:row>
      <xdr:rowOff>38100</xdr:rowOff>
    </xdr:to>
    <xdr:pic>
      <xdr:nvPicPr>
        <xdr:cNvPr id="23" name="Picture 22">
          <a:extLst>
            <a:ext uri="{FF2B5EF4-FFF2-40B4-BE49-F238E27FC236}">
              <a16:creationId xmlns:a16="http://schemas.microsoft.com/office/drawing/2014/main" id="{00000000-0008-0000-1800-00001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814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xdr:row>
      <xdr:rowOff>0</xdr:rowOff>
    </xdr:from>
    <xdr:to>
      <xdr:col>0</xdr:col>
      <xdr:colOff>1085850</xdr:colOff>
      <xdr:row>22</xdr:row>
      <xdr:rowOff>38100</xdr:rowOff>
    </xdr:to>
    <xdr:pic>
      <xdr:nvPicPr>
        <xdr:cNvPr id="24" name="Picture 23">
          <a:extLst>
            <a:ext uri="{FF2B5EF4-FFF2-40B4-BE49-F238E27FC236}">
              <a16:creationId xmlns:a16="http://schemas.microsoft.com/office/drawing/2014/main" id="{00000000-0008-0000-1800-00001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4005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23</xdr:row>
      <xdr:rowOff>0</xdr:rowOff>
    </xdr:from>
    <xdr:to>
      <xdr:col>0</xdr:col>
      <xdr:colOff>1257300</xdr:colOff>
      <xdr:row>24</xdr:row>
      <xdr:rowOff>38100</xdr:rowOff>
    </xdr:to>
    <xdr:pic>
      <xdr:nvPicPr>
        <xdr:cNvPr id="25" name="Picture 24">
          <a:extLst>
            <a:ext uri="{FF2B5EF4-FFF2-40B4-BE49-F238E27FC236}">
              <a16:creationId xmlns:a16="http://schemas.microsoft.com/office/drawing/2014/main" id="{00000000-0008-0000-1800-000019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8196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123825</xdr:colOff>
      <xdr:row>2</xdr:row>
      <xdr:rowOff>38100</xdr:rowOff>
    </xdr:to>
    <xdr:pic>
      <xdr:nvPicPr>
        <xdr:cNvPr id="2" name="Picture 1">
          <a:extLst>
            <a:ext uri="{FF2B5EF4-FFF2-40B4-BE49-F238E27FC236}">
              <a16:creationId xmlns:a16="http://schemas.microsoft.com/office/drawing/2014/main" id="{00000000-0008-0000-19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09550"/>
          <a:ext cx="1238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xdr:row>
      <xdr:rowOff>0</xdr:rowOff>
    </xdr:from>
    <xdr:to>
      <xdr:col>0</xdr:col>
      <xdr:colOff>1038225</xdr:colOff>
      <xdr:row>5</xdr:row>
      <xdr:rowOff>38100</xdr:rowOff>
    </xdr:to>
    <xdr:pic>
      <xdr:nvPicPr>
        <xdr:cNvPr id="3" name="Picture 2">
          <a:extLst>
            <a:ext uri="{FF2B5EF4-FFF2-40B4-BE49-F238E27FC236}">
              <a16:creationId xmlns:a16="http://schemas.microsoft.com/office/drawing/2014/main" id="{00000000-0008-0000-19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382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xdr:row>
      <xdr:rowOff>0</xdr:rowOff>
    </xdr:from>
    <xdr:to>
      <xdr:col>0</xdr:col>
      <xdr:colOff>1095375</xdr:colOff>
      <xdr:row>7</xdr:row>
      <xdr:rowOff>38100</xdr:rowOff>
    </xdr:to>
    <xdr:pic>
      <xdr:nvPicPr>
        <xdr:cNvPr id="4" name="Picture 3">
          <a:extLst>
            <a:ext uri="{FF2B5EF4-FFF2-40B4-BE49-F238E27FC236}">
              <a16:creationId xmlns:a16="http://schemas.microsoft.com/office/drawing/2014/main" id="{00000000-0008-0000-19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0953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8</xdr:row>
      <xdr:rowOff>0</xdr:rowOff>
    </xdr:from>
    <xdr:to>
      <xdr:col>0</xdr:col>
      <xdr:colOff>1181100</xdr:colOff>
      <xdr:row>9</xdr:row>
      <xdr:rowOff>38100</xdr:rowOff>
    </xdr:to>
    <xdr:pic>
      <xdr:nvPicPr>
        <xdr:cNvPr id="5" name="Picture 4">
          <a:extLst>
            <a:ext uri="{FF2B5EF4-FFF2-40B4-BE49-F238E27FC236}">
              <a16:creationId xmlns:a16="http://schemas.microsoft.com/office/drawing/2014/main" id="{00000000-0008-0000-19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885950"/>
          <a:ext cx="1181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12</xdr:col>
      <xdr:colOff>194310</xdr:colOff>
      <xdr:row>11</xdr:row>
      <xdr:rowOff>114935</xdr:rowOff>
    </xdr:from>
    <xdr:to>
      <xdr:col>12</xdr:col>
      <xdr:colOff>194310</xdr:colOff>
      <xdr:row>11</xdr:row>
      <xdr:rowOff>114935</xdr:rowOff>
    </xdr:to>
    <xdr:cxnSp macro="">
      <xdr:nvCxnSpPr>
        <xdr:cNvPr id="2" name="Straight Connector 1">
          <a:extLst>
            <a:ext uri="{FF2B5EF4-FFF2-40B4-BE49-F238E27FC236}">
              <a16:creationId xmlns:a16="http://schemas.microsoft.com/office/drawing/2014/main" id="{00000000-0008-0000-1A00-000002000000}"/>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537210</xdr:colOff>
      <xdr:row>33</xdr:row>
      <xdr:rowOff>133985</xdr:rowOff>
    </xdr:from>
    <xdr:to>
      <xdr:col>10</xdr:col>
      <xdr:colOff>537210</xdr:colOff>
      <xdr:row>33</xdr:row>
      <xdr:rowOff>133985</xdr:rowOff>
    </xdr:to>
    <xdr:cxnSp macro="">
      <xdr:nvCxnSpPr>
        <xdr:cNvPr id="4" name="Straight Connector 3">
          <a:extLst>
            <a:ext uri="{FF2B5EF4-FFF2-40B4-BE49-F238E27FC236}">
              <a16:creationId xmlns:a16="http://schemas.microsoft.com/office/drawing/2014/main" id="{00000000-0008-0000-1A00-000004000000}"/>
            </a:ext>
          </a:extLst>
        </xdr:cNvPr>
        <xdr:cNvCxnSpPr>
          <a:cxnSpLocks noChangeShapeType="1"/>
        </xdr:cNvCxnSpPr>
      </xdr:nvCxnSpPr>
      <xdr:spPr bwMode="auto">
        <a:xfrm>
          <a:off x="9424035" y="73158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35</xdr:row>
      <xdr:rowOff>14605</xdr:rowOff>
    </xdr:from>
    <xdr:to>
      <xdr:col>10</xdr:col>
      <xdr:colOff>581025</xdr:colOff>
      <xdr:row>35</xdr:row>
      <xdr:rowOff>14605</xdr:rowOff>
    </xdr:to>
    <xdr:cxnSp macro="">
      <xdr:nvCxnSpPr>
        <xdr:cNvPr id="6" name="Straight Connector 5">
          <a:extLst>
            <a:ext uri="{FF2B5EF4-FFF2-40B4-BE49-F238E27FC236}">
              <a16:creationId xmlns:a16="http://schemas.microsoft.com/office/drawing/2014/main" id="{00000000-0008-0000-1A00-000006000000}"/>
            </a:ext>
          </a:extLst>
        </xdr:cNvPr>
        <xdr:cNvCxnSpPr>
          <a:cxnSpLocks noChangeShapeType="1"/>
        </xdr:cNvCxnSpPr>
      </xdr:nvCxnSpPr>
      <xdr:spPr bwMode="auto">
        <a:xfrm>
          <a:off x="946785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194310</xdr:colOff>
      <xdr:row>23</xdr:row>
      <xdr:rowOff>114935</xdr:rowOff>
    </xdr:from>
    <xdr:to>
      <xdr:col>12</xdr:col>
      <xdr:colOff>194310</xdr:colOff>
      <xdr:row>23</xdr:row>
      <xdr:rowOff>114935</xdr:rowOff>
    </xdr:to>
    <xdr:cxnSp macro="">
      <xdr:nvCxnSpPr>
        <xdr:cNvPr id="7" name="Straight Connector 6">
          <a:extLst>
            <a:ext uri="{FF2B5EF4-FFF2-40B4-BE49-F238E27FC236}">
              <a16:creationId xmlns:a16="http://schemas.microsoft.com/office/drawing/2014/main" id="{00000000-0008-0000-1A00-000007000000}"/>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44</xdr:row>
      <xdr:rowOff>14605</xdr:rowOff>
    </xdr:from>
    <xdr:to>
      <xdr:col>10</xdr:col>
      <xdr:colOff>581025</xdr:colOff>
      <xdr:row>44</xdr:row>
      <xdr:rowOff>14605</xdr:rowOff>
    </xdr:to>
    <xdr:cxnSp macro="">
      <xdr:nvCxnSpPr>
        <xdr:cNvPr id="8" name="Straight Connector 7">
          <a:extLst>
            <a:ext uri="{FF2B5EF4-FFF2-40B4-BE49-F238E27FC236}">
              <a16:creationId xmlns:a16="http://schemas.microsoft.com/office/drawing/2014/main" id="{00000000-0008-0000-1A00-000008000000}"/>
            </a:ext>
          </a:extLst>
        </xdr:cNvPr>
        <xdr:cNvCxnSpPr>
          <a:cxnSpLocks noChangeShapeType="1"/>
        </xdr:cNvCxnSpPr>
      </xdr:nvCxnSpPr>
      <xdr:spPr bwMode="auto">
        <a:xfrm>
          <a:off x="8382000" y="782510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28</xdr:row>
      <xdr:rowOff>14605</xdr:rowOff>
    </xdr:from>
    <xdr:to>
      <xdr:col>10</xdr:col>
      <xdr:colOff>581025</xdr:colOff>
      <xdr:row>28</xdr:row>
      <xdr:rowOff>14605</xdr:rowOff>
    </xdr:to>
    <xdr:cxnSp macro="">
      <xdr:nvCxnSpPr>
        <xdr:cNvPr id="9" name="Straight Connector 8">
          <a:extLst>
            <a:ext uri="{FF2B5EF4-FFF2-40B4-BE49-F238E27FC236}">
              <a16:creationId xmlns:a16="http://schemas.microsoft.com/office/drawing/2014/main" id="{00000000-0008-0000-1A00-000009000000}"/>
            </a:ext>
          </a:extLst>
        </xdr:cNvPr>
        <xdr:cNvCxnSpPr>
          <a:cxnSpLocks noChangeShapeType="1"/>
        </xdr:cNvCxnSpPr>
      </xdr:nvCxnSpPr>
      <xdr:spPr bwMode="auto">
        <a:xfrm>
          <a:off x="861060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16.xml><?xml version="1.0" encoding="utf-8"?>
<xdr:wsDr xmlns:xdr="http://schemas.openxmlformats.org/drawingml/2006/spreadsheetDrawing" xmlns:a="http://schemas.openxmlformats.org/drawingml/2006/main">
  <xdr:twoCellAnchor>
    <xdr:from>
      <xdr:col>10</xdr:col>
      <xdr:colOff>285115</xdr:colOff>
      <xdr:row>13</xdr:row>
      <xdr:rowOff>107950</xdr:rowOff>
    </xdr:from>
    <xdr:to>
      <xdr:col>10</xdr:col>
      <xdr:colOff>285115</xdr:colOff>
      <xdr:row>13</xdr:row>
      <xdr:rowOff>107950</xdr:rowOff>
    </xdr:to>
    <xdr:cxnSp macro="">
      <xdr:nvCxnSpPr>
        <xdr:cNvPr id="2" name="Straight Connector 1">
          <a:extLst>
            <a:ext uri="{FF2B5EF4-FFF2-40B4-BE49-F238E27FC236}">
              <a16:creationId xmlns:a16="http://schemas.microsoft.com/office/drawing/2014/main" id="{00000000-0008-0000-1B00-000002000000}"/>
            </a:ext>
          </a:extLst>
        </xdr:cNvPr>
        <xdr:cNvCxnSpPr>
          <a:cxnSpLocks noChangeShapeType="1"/>
        </xdr:cNvCxnSpPr>
      </xdr:nvCxnSpPr>
      <xdr:spPr bwMode="auto">
        <a:xfrm>
          <a:off x="5885815" y="3498850"/>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Worksheet%20in%20D%20%20LVTN%20TM%20Thanh%206.doc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mtha\Downloads\TINH%20TOAN%20lan%20dau.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LVTN/SAP/NOI%20LUC%20MONG.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00.%20SCT%20C&#7884;C%20THEO%20C&#416;%20L&#221;%20&#272;&#7844;T%20N&#7872;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DATA"/>
      <sheetName val="Tinh 1 phan tu"/>
      <sheetName val="Bang tinh cot"/>
      <sheetName val="THÔNG BÁO"/>
      <sheetName val="Noi luc"/>
      <sheetName val="Noi luc_ADD"/>
      <sheetName val="LƯU Ý"/>
      <sheetName val="stlx_003D7774017E"/>
      <sheetName val="Worksheet in D  LVTN TM Thanh 6"/>
    </sheetNames>
    <sheetDataSet>
      <sheetData sheetId="0" refreshError="1"/>
      <sheetData sheetId="1" refreshError="1">
        <row r="9">
          <cell r="J9" t="str">
            <v>B7,5</v>
          </cell>
          <cell r="K9" t="str">
            <v>B10</v>
          </cell>
          <cell r="L9" t="str">
            <v>B12,5</v>
          </cell>
          <cell r="M9" t="str">
            <v>B15</v>
          </cell>
          <cell r="N9" t="str">
            <v>B20</v>
          </cell>
          <cell r="O9" t="str">
            <v>B22,5</v>
          </cell>
          <cell r="P9" t="str">
            <v>B25</v>
          </cell>
          <cell r="Q9" t="str">
            <v>B30</v>
          </cell>
          <cell r="R9" t="str">
            <v>B35</v>
          </cell>
          <cell r="S9" t="str">
            <v>B40</v>
          </cell>
          <cell r="T9" t="str">
            <v>B45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men 1p"/>
      <sheetName val="thepsan 1p"/>
      <sheetName val="SĐD_1 Phương"/>
      <sheetName val="TH"/>
      <sheetName val="TinhMong"/>
      <sheetName val="TinhMongM2"/>
      <sheetName val="TinhMongM2 (2)"/>
      <sheetName val="Co Ly dat"/>
      <sheetName val="Suc khang than coc"/>
      <sheetName val="Bangtinhmong"/>
      <sheetName val="Bangtra"/>
      <sheetName val="Giatricotdienhinh"/>
      <sheetName val="Tầng theo"/>
      <sheetName val="Tinh cot"/>
      <sheetName val="Sheet2"/>
      <sheetName val="SĐĐH_2 Phương"/>
      <sheetName val="thepsan"/>
      <sheetName val="BANGTINHCOT"/>
      <sheetName val="momensan"/>
      <sheetName val="Thong so vat lieu"/>
      <sheetName val="Bảng tra_VL"/>
      <sheetName val="Bảng tra hệ số ĐH"/>
      <sheetName val="config"/>
      <sheetName val="Cotthep"/>
      <sheetName val="betong"/>
      <sheetName val="tinhtai_san"/>
      <sheetName val="hoattai_san"/>
      <sheetName val="tải sàn"/>
      <sheetName val="dam loai 1 T2"/>
      <sheetName val="dam loai 2 T2"/>
      <sheetName val="dam loai 3 T2"/>
      <sheetName val="TONG HOP T2"/>
      <sheetName val="dam loai 1 TD"/>
      <sheetName val="dam loai 2 TD"/>
      <sheetName val="dam loai 3 TD"/>
      <sheetName val="TONG HOP TD"/>
      <sheetName val="du lieu"/>
      <sheetName val="tra thep"/>
      <sheetName val="TINH TOAN"/>
      <sheetName val="Sheet1"/>
    </sheetNames>
    <sheetDataSet>
      <sheetData sheetId="0" refreshError="1"/>
      <sheetData sheetId="1" refreshError="1"/>
      <sheetData sheetId="2" refreshError="1"/>
      <sheetData sheetId="3">
        <row r="1">
          <cell r="A1" t="str">
            <v>Ngày thực hiện luận văn</v>
          </cell>
          <cell r="B1" t="str">
            <v>ngày 02 tháng 07 năm 2020</v>
          </cell>
        </row>
        <row r="2">
          <cell r="A2" t="str">
            <v>Tên công trình:</v>
          </cell>
          <cell r="B2" t="str">
            <v>Trụ Sở Làm Việc Xã Tân Ân -Huyện Ngọc Hiển-Tỉnh Cà Mau</v>
          </cell>
        </row>
        <row r="3">
          <cell r="A3" t="str">
            <v>Địa điểm:</v>
          </cell>
          <cell r="B3" t="str">
            <v>Xã Tân Ân -Huyện Ngọc Hiển-Tỉnh Cà Mau</v>
          </cell>
        </row>
        <row r="4">
          <cell r="A4" t="str">
            <v>Đặc điểm công trình:</v>
          </cell>
          <cell r="B4" t="str">
            <v>1 tầng trệt, 2 tầng lầu</v>
          </cell>
        </row>
        <row r="5">
          <cell r="A5" t="str">
            <v>Cấp công trình</v>
          </cell>
          <cell r="B5">
            <v>5000</v>
          </cell>
        </row>
        <row r="6">
          <cell r="A6" t="str">
            <v>Số tầng:</v>
          </cell>
          <cell r="B6">
            <v>4</v>
          </cell>
          <cell r="C6" t="str">
            <v>tầng</v>
          </cell>
        </row>
        <row r="7">
          <cell r="A7" t="str">
            <v>Diện tích xây dựng</v>
          </cell>
          <cell r="B7">
            <v>435.7</v>
          </cell>
          <cell r="C7" t="str">
            <v>m2</v>
          </cell>
        </row>
        <row r="8">
          <cell r="A8" t="str">
            <v xml:space="preserve">Tổng diện tích </v>
          </cell>
          <cell r="B8">
            <v>814.3</v>
          </cell>
          <cell r="C8" t="str">
            <v>m2</v>
          </cell>
        </row>
        <row r="9">
          <cell r="A9" t="str">
            <v>Trong đó:</v>
          </cell>
          <cell r="B9" t="str">
            <v>tầng trệt: S=435,7 m², lầu 1: S=378,6 m²</v>
          </cell>
        </row>
        <row r="10">
          <cell r="A10" t="str">
            <v>Chiều cao nèn từ tầng trệt:</v>
          </cell>
        </row>
        <row r="11">
          <cell r="A11" t="str">
            <v>Cao độ mỗi tầng:</v>
          </cell>
        </row>
        <row r="12">
          <cell r="A12" t="str">
            <v>Tầng trệt</v>
          </cell>
          <cell r="B12">
            <v>2.85</v>
          </cell>
          <cell r="C12" t="str">
            <v>m</v>
          </cell>
        </row>
        <row r="13">
          <cell r="A13" t="str">
            <v>Tầng 1</v>
          </cell>
          <cell r="B13">
            <v>3.6</v>
          </cell>
          <cell r="C13" t="str">
            <v>m</v>
          </cell>
        </row>
        <row r="14">
          <cell r="A14" t="str">
            <v>Tầng 2</v>
          </cell>
          <cell r="B14">
            <v>6.45</v>
          </cell>
          <cell r="C14" t="str">
            <v>m</v>
          </cell>
        </row>
        <row r="15">
          <cell r="A15" t="str">
            <v>Mái</v>
          </cell>
          <cell r="B15">
            <v>13.35</v>
          </cell>
          <cell r="C15" t="str">
            <v>m</v>
          </cell>
        </row>
        <row r="16">
          <cell r="A16" t="str">
            <v>Chiều cao công trình</v>
          </cell>
          <cell r="B16">
            <v>13.35</v>
          </cell>
          <cell r="C16" t="str">
            <v>m</v>
          </cell>
        </row>
        <row r="17">
          <cell r="A17" t="str">
            <v>Sàn lầu 1</v>
          </cell>
          <cell r="B17">
            <v>3.6</v>
          </cell>
          <cell r="C17" t="str">
            <v>m</v>
          </cell>
        </row>
        <row r="18">
          <cell r="A18" t="str">
            <v>Trần lầu 2</v>
          </cell>
          <cell r="B18">
            <v>3.6</v>
          </cell>
          <cell r="C18" t="str">
            <v>m</v>
          </cell>
        </row>
        <row r="19">
          <cell r="A19" t="str">
            <v>mái</v>
          </cell>
          <cell r="B19">
            <v>3.3</v>
          </cell>
          <cell r="C19" t="str">
            <v>m</v>
          </cell>
        </row>
        <row r="20">
          <cell r="A20" t="str">
            <v>BÊ TÔNG:</v>
          </cell>
        </row>
        <row r="21">
          <cell r="A21" t="str">
            <v>Cấp độ bền</v>
          </cell>
        </row>
        <row r="22">
          <cell r="A22" t="str">
            <v>Cường độ tính toán chịu nén</v>
          </cell>
          <cell r="C22" t="str">
            <v>Mpa</v>
          </cell>
          <cell r="D22">
            <v>850</v>
          </cell>
          <cell r="I22" t="str">
            <v>T/m2</v>
          </cell>
        </row>
        <row r="23">
          <cell r="A23" t="str">
            <v>Cường độ tính toán chịu kéo</v>
          </cell>
          <cell r="B23">
            <v>0.75</v>
          </cell>
          <cell r="C23" t="str">
            <v>Mpa</v>
          </cell>
          <cell r="D23">
            <v>75</v>
          </cell>
          <cell r="I23" t="str">
            <v>T/m2</v>
          </cell>
        </row>
        <row r="24">
          <cell r="A24" t="str">
            <v>Modul đàn hồi</v>
          </cell>
          <cell r="B24">
            <v>23000</v>
          </cell>
          <cell r="C24" t="str">
            <v>Mpa</v>
          </cell>
          <cell r="D24">
            <v>2300000</v>
          </cell>
          <cell r="I24" t="str">
            <v>T/m2</v>
          </cell>
        </row>
        <row r="25">
          <cell r="A25" t="str">
            <v>Cốt thép</v>
          </cell>
        </row>
        <row r="26">
          <cell r="A26" t="str">
            <v>Loại thép</v>
          </cell>
          <cell r="B26" t="str">
            <v>CI (AI)</v>
          </cell>
          <cell r="F26" t="str">
            <v xml:space="preserve">CB300-T </v>
          </cell>
        </row>
        <row r="27">
          <cell r="A27" t="str">
            <v>Cường độ tính toán chịu nén, kéo</v>
          </cell>
          <cell r="B27">
            <v>225</v>
          </cell>
          <cell r="C27" t="str">
            <v>Mpa</v>
          </cell>
          <cell r="D27">
            <v>2250</v>
          </cell>
          <cell r="F27">
            <v>260</v>
          </cell>
          <cell r="G27" t="str">
            <v>Mpa</v>
          </cell>
          <cell r="H27">
            <v>22500</v>
          </cell>
          <cell r="I27" t="str">
            <v>T/m2</v>
          </cell>
        </row>
        <row r="28">
          <cell r="A28" t="str">
            <v>Cường độ tính toán chịu kéo cho cốt đai</v>
          </cell>
          <cell r="B28">
            <v>175</v>
          </cell>
          <cell r="C28" t="str">
            <v>Mpa</v>
          </cell>
          <cell r="D28">
            <v>1750</v>
          </cell>
          <cell r="F28">
            <v>210</v>
          </cell>
          <cell r="G28" t="str">
            <v>Mpa</v>
          </cell>
          <cell r="H28">
            <v>17500</v>
          </cell>
          <cell r="I28" t="str">
            <v>T/m2</v>
          </cell>
        </row>
        <row r="29">
          <cell r="A29" t="str">
            <v>Modul đàn hồi</v>
          </cell>
          <cell r="B29">
            <v>210000</v>
          </cell>
          <cell r="C29" t="str">
            <v>Mpa</v>
          </cell>
          <cell r="F29">
            <v>200000</v>
          </cell>
          <cell r="G29" t="str">
            <v>Mpa</v>
          </cell>
          <cell r="H29">
            <v>21000000</v>
          </cell>
          <cell r="I29" t="str">
            <v>T/m2</v>
          </cell>
        </row>
        <row r="30">
          <cell r="A30" t="str">
            <v>Loại thép</v>
          </cell>
          <cell r="B30" t="str">
            <v>CII(AII)</v>
          </cell>
          <cell r="F30" t="str">
            <v xml:space="preserve">CB300-V </v>
          </cell>
        </row>
        <row r="31">
          <cell r="A31" t="str">
            <v>Cường độ tính toán chịu nén, kéo</v>
          </cell>
          <cell r="B31">
            <v>280</v>
          </cell>
          <cell r="C31" t="str">
            <v>Mpa</v>
          </cell>
          <cell r="D31">
            <v>2800</v>
          </cell>
          <cell r="F31">
            <v>260</v>
          </cell>
          <cell r="G31" t="str">
            <v>Mpa</v>
          </cell>
          <cell r="H31">
            <v>28000</v>
          </cell>
          <cell r="I31" t="str">
            <v>T/m2</v>
          </cell>
        </row>
        <row r="32">
          <cell r="A32" t="str">
            <v>Cường độ tính toán chịu kéo cho cốt đai</v>
          </cell>
          <cell r="B32">
            <v>225</v>
          </cell>
          <cell r="C32" t="str">
            <v>Mpa</v>
          </cell>
          <cell r="F32">
            <v>210</v>
          </cell>
          <cell r="G32" t="str">
            <v>Mpa</v>
          </cell>
          <cell r="H32">
            <v>22500</v>
          </cell>
          <cell r="I32" t="str">
            <v>T/m2</v>
          </cell>
        </row>
        <row r="33">
          <cell r="A33" t="str">
            <v>Modul đàn hồi</v>
          </cell>
          <cell r="B33">
            <v>210000</v>
          </cell>
          <cell r="C33" t="str">
            <v>Mpa</v>
          </cell>
          <cell r="F33">
            <v>200000</v>
          </cell>
          <cell r="G33" t="str">
            <v>Mpa</v>
          </cell>
          <cell r="H33">
            <v>21000000</v>
          </cell>
          <cell r="I33" t="str">
            <v>T/m2</v>
          </cell>
        </row>
        <row r="34">
          <cell r="A34" t="str">
            <v>Loại thép</v>
          </cell>
          <cell r="B34" t="str">
            <v>CIII(AIII)</v>
          </cell>
          <cell r="F34" t="str">
            <v xml:space="preserve">CB400-V </v>
          </cell>
        </row>
        <row r="35">
          <cell r="A35" t="str">
            <v>Cường độ tính toán chịu nén, kéo</v>
          </cell>
          <cell r="B35">
            <v>365</v>
          </cell>
          <cell r="C35" t="str">
            <v>Mpa</v>
          </cell>
          <cell r="F35">
            <v>350</v>
          </cell>
          <cell r="G35" t="str">
            <v>Mpa</v>
          </cell>
          <cell r="H35">
            <v>36500</v>
          </cell>
          <cell r="I35" t="str">
            <v>T/m2</v>
          </cell>
        </row>
        <row r="36">
          <cell r="A36" t="str">
            <v>Cường độ tính toán chịu kéo cho cốt đai</v>
          </cell>
          <cell r="B36">
            <v>290</v>
          </cell>
          <cell r="C36" t="str">
            <v>Mpa</v>
          </cell>
          <cell r="F36">
            <v>280</v>
          </cell>
          <cell r="G36" t="str">
            <v>Mpa</v>
          </cell>
          <cell r="H36">
            <v>29000</v>
          </cell>
          <cell r="I36" t="str">
            <v>T/m2</v>
          </cell>
        </row>
        <row r="37">
          <cell r="A37" t="str">
            <v>Modul đàn hồi</v>
          </cell>
          <cell r="B37">
            <v>210000</v>
          </cell>
          <cell r="C37" t="str">
            <v>Mpa</v>
          </cell>
          <cell r="F37">
            <v>200000</v>
          </cell>
          <cell r="G37" t="str">
            <v>Mpa</v>
          </cell>
          <cell r="H37">
            <v>21000000</v>
          </cell>
          <cell r="I37" t="str">
            <v>T/m2</v>
          </cell>
        </row>
        <row r="199">
          <cell r="B199">
            <v>30</v>
          </cell>
        </row>
        <row r="200">
          <cell r="B200">
            <v>30</v>
          </cell>
        </row>
      </sheetData>
      <sheetData sheetId="4">
        <row r="45">
          <cell r="B45">
            <v>0.54999999999999993</v>
          </cell>
        </row>
        <row r="46">
          <cell r="B46">
            <v>-1.5</v>
          </cell>
        </row>
        <row r="47">
          <cell r="B47">
            <v>10.4</v>
          </cell>
        </row>
        <row r="48">
          <cell r="B48">
            <v>-15.9</v>
          </cell>
        </row>
        <row r="49">
          <cell r="B49">
            <v>4</v>
          </cell>
        </row>
        <row r="50">
          <cell r="B50">
            <v>0.1</v>
          </cell>
        </row>
        <row r="51">
          <cell r="B51">
            <v>19.899999999999999</v>
          </cell>
        </row>
        <row r="52">
          <cell r="B52">
            <v>20</v>
          </cell>
        </row>
        <row r="53">
          <cell r="B53">
            <v>2</v>
          </cell>
        </row>
        <row r="54">
          <cell r="B54">
            <v>10</v>
          </cell>
        </row>
        <row r="131">
          <cell r="F131" t="str">
            <v>bc</v>
          </cell>
          <cell r="J131">
            <v>0</v>
          </cell>
        </row>
        <row r="132">
          <cell r="F132" t="str">
            <v>hc</v>
          </cell>
          <cell r="J132">
            <v>0</v>
          </cell>
        </row>
        <row r="133">
          <cell r="F133" t="str">
            <v>m</v>
          </cell>
        </row>
      </sheetData>
      <sheetData sheetId="5">
        <row r="131">
          <cell r="E131">
            <v>1.5</v>
          </cell>
        </row>
        <row r="132">
          <cell r="E132">
            <v>1.5</v>
          </cell>
        </row>
      </sheetData>
      <sheetData sheetId="6">
        <row r="43">
          <cell r="K43">
            <v>2.75</v>
          </cell>
        </row>
      </sheetData>
      <sheetData sheetId="7">
        <row r="11">
          <cell r="O11">
            <v>1.01</v>
          </cell>
          <cell r="V11">
            <v>9.67</v>
          </cell>
        </row>
        <row r="15">
          <cell r="V15">
            <v>9.0065326633165839</v>
          </cell>
          <cell r="W15">
            <v>2.251633165829146</v>
          </cell>
        </row>
        <row r="16">
          <cell r="M16">
            <v>0.87085427135678373</v>
          </cell>
          <cell r="N16">
            <v>37.548000000000002</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sap"/>
      <sheetName val="Solieu"/>
      <sheetName val="Locsolieu"/>
      <sheetName val="tinhtoan"/>
      <sheetName val="Program Control"/>
    </sheetNames>
    <sheetDataSet>
      <sheetData sheetId="0"/>
      <sheetData sheetId="1"/>
      <sheetData sheetId="2">
        <row r="4">
          <cell r="AD4" t="str">
            <v>C3</v>
          </cell>
        </row>
        <row r="5">
          <cell r="AF5">
            <v>29.074000000000002</v>
          </cell>
          <cell r="AG5">
            <v>0.14024</v>
          </cell>
          <cell r="AH5">
            <v>0.54979</v>
          </cell>
          <cell r="AI5">
            <v>-4.0899999999999999E-2</v>
          </cell>
          <cell r="AJ5">
            <v>0.62190000000000001</v>
          </cell>
        </row>
        <row r="6">
          <cell r="AF6">
            <v>-1.2934000000000001</v>
          </cell>
          <cell r="AG6">
            <v>0.83650000000000002</v>
          </cell>
          <cell r="AH6">
            <v>2.572E-2</v>
          </cell>
          <cell r="AI6">
            <v>-0.74529999999999996</v>
          </cell>
          <cell r="AJ6">
            <v>1.7299999999999999E-2</v>
          </cell>
        </row>
        <row r="7">
          <cell r="AF7">
            <v>24.658100000000001</v>
          </cell>
          <cell r="AG7">
            <v>0.72621999999999998</v>
          </cell>
          <cell r="AH7">
            <v>1.0924400000000001</v>
          </cell>
          <cell r="AI7">
            <v>0.75109999999999999</v>
          </cell>
          <cell r="AJ7">
            <v>1.0811999999999999</v>
          </cell>
        </row>
        <row r="8">
          <cell r="AF8">
            <v>24.658100000000001</v>
          </cell>
          <cell r="AG8">
            <v>0.72621999999999998</v>
          </cell>
          <cell r="AH8">
            <v>1.0924400000000001</v>
          </cell>
          <cell r="AI8">
            <v>1.0811999999999999</v>
          </cell>
          <cell r="AJ8">
            <v>0.75109999999999999</v>
          </cell>
        </row>
        <row r="9">
          <cell r="AF9">
            <v>24.658100000000001</v>
          </cell>
          <cell r="AG9">
            <v>0.72621999999999998</v>
          </cell>
          <cell r="AH9">
            <v>1.0924400000000001</v>
          </cell>
          <cell r="AI9">
            <v>1.0811999999999999</v>
          </cell>
          <cell r="AJ9">
            <v>0.75109999999999999</v>
          </cell>
        </row>
        <row r="15">
          <cell r="AD15" t="str">
            <v>C15</v>
          </cell>
        </row>
        <row r="16">
          <cell r="AF16">
            <v>44.633299999999998</v>
          </cell>
          <cell r="AG16">
            <v>0.36022999999999999</v>
          </cell>
          <cell r="AH16">
            <v>6.8099999999999994E-2</v>
          </cell>
          <cell r="AI16">
            <v>-0.28270000000000001</v>
          </cell>
          <cell r="AJ16">
            <v>7.2900000000000006E-2</v>
          </cell>
        </row>
        <row r="17">
          <cell r="AF17">
            <v>40.240699999999997</v>
          </cell>
          <cell r="AG17">
            <v>0.8599</v>
          </cell>
          <cell r="AH17">
            <v>0.64746000000000004</v>
          </cell>
          <cell r="AI17">
            <v>0.43430000000000002</v>
          </cell>
          <cell r="AJ17">
            <v>0.46560000000000001</v>
          </cell>
        </row>
        <row r="18">
          <cell r="AF18">
            <v>40.240699999999997</v>
          </cell>
          <cell r="AG18">
            <v>0</v>
          </cell>
          <cell r="AH18">
            <v>0.64746000000000004</v>
          </cell>
          <cell r="AI18">
            <v>0.43430000000000002</v>
          </cell>
          <cell r="AJ18">
            <v>0.46560000000000001</v>
          </cell>
        </row>
        <row r="19">
          <cell r="AF19">
            <v>40.240699999999997</v>
          </cell>
          <cell r="AG19">
            <v>0.8599</v>
          </cell>
          <cell r="AH19">
            <v>0.64746000000000004</v>
          </cell>
          <cell r="AI19">
            <v>0.46560000000000001</v>
          </cell>
          <cell r="AJ19">
            <v>0.43430000000000002</v>
          </cell>
        </row>
        <row r="20">
          <cell r="AF20">
            <v>-0.14030000000000001</v>
          </cell>
          <cell r="AG20">
            <v>-0.69389000000000001</v>
          </cell>
          <cell r="AH20">
            <v>9.8300000000000002E-3</v>
          </cell>
          <cell r="AI20">
            <v>0</v>
          </cell>
          <cell r="AJ20">
            <v>0.499</v>
          </cell>
        </row>
      </sheetData>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g don 4C"/>
      <sheetName val="Coc ep"/>
      <sheetName val="CSTT"/>
      <sheetName val="PIPE CAPACITY"/>
      <sheetName val="Sheet1"/>
      <sheetName val="Table"/>
      <sheetName val="Sheet2"/>
      <sheetName val="Tinh lun M1"/>
    </sheetNames>
    <sheetDataSet>
      <sheetData sheetId="0"/>
      <sheetData sheetId="1"/>
      <sheetData sheetId="2"/>
      <sheetData sheetId="3"/>
      <sheetData sheetId="4"/>
      <sheetData sheetId="5"/>
      <sheetData sheetId="6"/>
      <sheetData sheetId="7">
        <row r="4">
          <cell r="E4">
            <v>1</v>
          </cell>
        </row>
        <row r="5">
          <cell r="E5">
            <v>0.92</v>
          </cell>
        </row>
        <row r="6">
          <cell r="E6">
            <v>0.70599999999999996</v>
          </cell>
        </row>
        <row r="7">
          <cell r="E7">
            <v>0.49099999999999999</v>
          </cell>
        </row>
        <row r="8">
          <cell r="E8">
            <v>0.34100000000000003</v>
          </cell>
        </row>
        <row r="9">
          <cell r="E9">
            <v>0.246</v>
          </cell>
        </row>
        <row r="10">
          <cell r="E10">
            <v>0.18099999999999999</v>
          </cell>
        </row>
        <row r="11">
          <cell r="E11">
            <v>0.13800000000000001</v>
          </cell>
        </row>
        <row r="12">
          <cell r="E12">
            <v>0.11</v>
          </cell>
        </row>
        <row r="13">
          <cell r="E13">
            <v>8.7999999999999995E-2</v>
          </cell>
        </row>
        <row r="14">
          <cell r="E14">
            <v>7.4999999999999997E-2</v>
          </cell>
        </row>
        <row r="15">
          <cell r="E15">
            <v>6.3E-2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image" Target="../media/image3.emf"/><Relationship Id="rId13" Type="http://schemas.openxmlformats.org/officeDocument/2006/relationships/image" Target="../media/image5.emf"/><Relationship Id="rId18" Type="http://schemas.openxmlformats.org/officeDocument/2006/relationships/oleObject" Target="../embeddings/oleObject10.bin"/><Relationship Id="rId3" Type="http://schemas.openxmlformats.org/officeDocument/2006/relationships/oleObject" Target="../embeddings/oleObject1.bin"/><Relationship Id="rId7" Type="http://schemas.openxmlformats.org/officeDocument/2006/relationships/oleObject" Target="../embeddings/oleObject3.bin"/><Relationship Id="rId12" Type="http://schemas.openxmlformats.org/officeDocument/2006/relationships/oleObject" Target="../embeddings/oleObject6.bin"/><Relationship Id="rId17" Type="http://schemas.openxmlformats.org/officeDocument/2006/relationships/image" Target="../media/image6.emf"/><Relationship Id="rId2" Type="http://schemas.openxmlformats.org/officeDocument/2006/relationships/vmlDrawing" Target="../drawings/vmlDrawing1.vml"/><Relationship Id="rId16" Type="http://schemas.openxmlformats.org/officeDocument/2006/relationships/oleObject" Target="../embeddings/oleObject9.bin"/><Relationship Id="rId1" Type="http://schemas.openxmlformats.org/officeDocument/2006/relationships/drawing" Target="../drawings/drawing1.xml"/><Relationship Id="rId6" Type="http://schemas.openxmlformats.org/officeDocument/2006/relationships/image" Target="../media/image2.emf"/><Relationship Id="rId11" Type="http://schemas.openxmlformats.org/officeDocument/2006/relationships/oleObject" Target="../embeddings/oleObject5.bin"/><Relationship Id="rId5" Type="http://schemas.openxmlformats.org/officeDocument/2006/relationships/oleObject" Target="../embeddings/oleObject2.bin"/><Relationship Id="rId15" Type="http://schemas.openxmlformats.org/officeDocument/2006/relationships/oleObject" Target="../embeddings/oleObject8.bin"/><Relationship Id="rId10" Type="http://schemas.openxmlformats.org/officeDocument/2006/relationships/image" Target="../media/image4.emf"/><Relationship Id="rId4" Type="http://schemas.openxmlformats.org/officeDocument/2006/relationships/image" Target="../media/image1.emf"/><Relationship Id="rId9" Type="http://schemas.openxmlformats.org/officeDocument/2006/relationships/oleObject" Target="../embeddings/oleObject4.bin"/><Relationship Id="rId14" Type="http://schemas.openxmlformats.org/officeDocument/2006/relationships/oleObject" Target="../embeddings/oleObject7.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8" Type="http://schemas.openxmlformats.org/officeDocument/2006/relationships/oleObject" Target="../embeddings/oleObject13.bin"/><Relationship Id="rId13" Type="http://schemas.openxmlformats.org/officeDocument/2006/relationships/oleObject" Target="../embeddings/oleObject16.bin"/><Relationship Id="rId18" Type="http://schemas.openxmlformats.org/officeDocument/2006/relationships/oleObject" Target="../embeddings/oleObject19.bin"/><Relationship Id="rId26" Type="http://schemas.openxmlformats.org/officeDocument/2006/relationships/oleObject" Target="../embeddings/oleObject26.bin"/><Relationship Id="rId3" Type="http://schemas.openxmlformats.org/officeDocument/2006/relationships/vmlDrawing" Target="../drawings/vmlDrawing2.vml"/><Relationship Id="rId21" Type="http://schemas.openxmlformats.org/officeDocument/2006/relationships/oleObject" Target="../embeddings/oleObject21.bin"/><Relationship Id="rId7" Type="http://schemas.openxmlformats.org/officeDocument/2006/relationships/image" Target="../media/image2.emf"/><Relationship Id="rId12" Type="http://schemas.openxmlformats.org/officeDocument/2006/relationships/oleObject" Target="../embeddings/oleObject15.bin"/><Relationship Id="rId17" Type="http://schemas.openxmlformats.org/officeDocument/2006/relationships/image" Target="../media/image32.emf"/><Relationship Id="rId25" Type="http://schemas.openxmlformats.org/officeDocument/2006/relationships/oleObject" Target="../embeddings/oleObject25.bin"/><Relationship Id="rId2" Type="http://schemas.openxmlformats.org/officeDocument/2006/relationships/drawing" Target="../drawings/drawing10.xml"/><Relationship Id="rId16" Type="http://schemas.openxmlformats.org/officeDocument/2006/relationships/oleObject" Target="../embeddings/oleObject18.bin"/><Relationship Id="rId20" Type="http://schemas.openxmlformats.org/officeDocument/2006/relationships/image" Target="../media/image5.emf"/><Relationship Id="rId29" Type="http://schemas.openxmlformats.org/officeDocument/2006/relationships/oleObject" Target="../embeddings/oleObject28.bin"/><Relationship Id="rId1" Type="http://schemas.openxmlformats.org/officeDocument/2006/relationships/printerSettings" Target="../printerSettings/printerSettings9.bin"/><Relationship Id="rId6" Type="http://schemas.openxmlformats.org/officeDocument/2006/relationships/oleObject" Target="../embeddings/oleObject12.bin"/><Relationship Id="rId11" Type="http://schemas.openxmlformats.org/officeDocument/2006/relationships/image" Target="../media/image4.emf"/><Relationship Id="rId24" Type="http://schemas.openxmlformats.org/officeDocument/2006/relationships/oleObject" Target="../embeddings/oleObject24.bin"/><Relationship Id="rId5" Type="http://schemas.openxmlformats.org/officeDocument/2006/relationships/image" Target="../media/image1.emf"/><Relationship Id="rId15" Type="http://schemas.openxmlformats.org/officeDocument/2006/relationships/oleObject" Target="../embeddings/oleObject17.bin"/><Relationship Id="rId23" Type="http://schemas.openxmlformats.org/officeDocument/2006/relationships/oleObject" Target="../embeddings/oleObject23.bin"/><Relationship Id="rId28" Type="http://schemas.openxmlformats.org/officeDocument/2006/relationships/image" Target="../media/image6.emf"/><Relationship Id="rId10" Type="http://schemas.openxmlformats.org/officeDocument/2006/relationships/oleObject" Target="../embeddings/oleObject14.bin"/><Relationship Id="rId19" Type="http://schemas.openxmlformats.org/officeDocument/2006/relationships/oleObject" Target="../embeddings/oleObject20.bin"/><Relationship Id="rId31" Type="http://schemas.openxmlformats.org/officeDocument/2006/relationships/oleObject" Target="../embeddings/oleObject30.bin"/><Relationship Id="rId4" Type="http://schemas.openxmlformats.org/officeDocument/2006/relationships/oleObject" Target="../embeddings/oleObject11.bin"/><Relationship Id="rId9" Type="http://schemas.openxmlformats.org/officeDocument/2006/relationships/image" Target="../media/image3.emf"/><Relationship Id="rId14" Type="http://schemas.openxmlformats.org/officeDocument/2006/relationships/image" Target="../media/image31.emf"/><Relationship Id="rId22" Type="http://schemas.openxmlformats.org/officeDocument/2006/relationships/oleObject" Target="../embeddings/oleObject22.bin"/><Relationship Id="rId27" Type="http://schemas.openxmlformats.org/officeDocument/2006/relationships/oleObject" Target="../embeddings/oleObject27.bin"/><Relationship Id="rId30" Type="http://schemas.openxmlformats.org/officeDocument/2006/relationships/oleObject" Target="../embeddings/oleObject2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8" Type="http://schemas.openxmlformats.org/officeDocument/2006/relationships/image" Target="../media/image36.emf"/><Relationship Id="rId13" Type="http://schemas.openxmlformats.org/officeDocument/2006/relationships/oleObject" Target="../embeddings/oleObject37.bin"/><Relationship Id="rId3" Type="http://schemas.openxmlformats.org/officeDocument/2006/relationships/oleObject" Target="../embeddings/oleObject31.bin"/><Relationship Id="rId7" Type="http://schemas.openxmlformats.org/officeDocument/2006/relationships/oleObject" Target="../embeddings/oleObject33.bin"/><Relationship Id="rId12" Type="http://schemas.openxmlformats.org/officeDocument/2006/relationships/oleObject" Target="../embeddings/oleObject36.bin"/><Relationship Id="rId2" Type="http://schemas.openxmlformats.org/officeDocument/2006/relationships/vmlDrawing" Target="../drawings/vmlDrawing3.vml"/><Relationship Id="rId16" Type="http://schemas.openxmlformats.org/officeDocument/2006/relationships/oleObject" Target="../embeddings/oleObject40.bin"/><Relationship Id="rId1" Type="http://schemas.openxmlformats.org/officeDocument/2006/relationships/drawing" Target="../drawings/drawing12.xml"/><Relationship Id="rId6" Type="http://schemas.openxmlformats.org/officeDocument/2006/relationships/image" Target="../media/image35.emf"/><Relationship Id="rId11" Type="http://schemas.openxmlformats.org/officeDocument/2006/relationships/oleObject" Target="../embeddings/oleObject35.bin"/><Relationship Id="rId5" Type="http://schemas.openxmlformats.org/officeDocument/2006/relationships/oleObject" Target="../embeddings/oleObject32.bin"/><Relationship Id="rId15" Type="http://schemas.openxmlformats.org/officeDocument/2006/relationships/oleObject" Target="../embeddings/oleObject39.bin"/><Relationship Id="rId10" Type="http://schemas.openxmlformats.org/officeDocument/2006/relationships/image" Target="../media/image37.emf"/><Relationship Id="rId4" Type="http://schemas.openxmlformats.org/officeDocument/2006/relationships/image" Target="../media/image34.emf"/><Relationship Id="rId9" Type="http://schemas.openxmlformats.org/officeDocument/2006/relationships/oleObject" Target="../embeddings/oleObject34.bin"/><Relationship Id="rId14" Type="http://schemas.openxmlformats.org/officeDocument/2006/relationships/oleObject" Target="../embeddings/oleObject38.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5A370-DED4-4833-9B33-C4CCCFD65072}">
  <sheetPr codeName="Sheet1"/>
  <dimension ref="A1:H20"/>
  <sheetViews>
    <sheetView workbookViewId="0">
      <selection activeCell="L8" sqref="L8"/>
    </sheetView>
  </sheetViews>
  <sheetFormatPr defaultColWidth="8.83203125" defaultRowHeight="14"/>
  <sheetData>
    <row r="1" spans="1:8" ht="19.5">
      <c r="A1" s="28" t="s">
        <v>203</v>
      </c>
      <c r="B1" s="28" t="s">
        <v>204</v>
      </c>
      <c r="C1" s="28" t="s">
        <v>204</v>
      </c>
      <c r="D1" s="972" t="s">
        <v>205</v>
      </c>
      <c r="E1" s="28" t="s">
        <v>206</v>
      </c>
      <c r="F1" s="28" t="s">
        <v>207</v>
      </c>
      <c r="G1" s="28" t="s">
        <v>208</v>
      </c>
      <c r="H1" s="32" t="s">
        <v>209</v>
      </c>
    </row>
    <row r="2" spans="1:8" ht="19.5">
      <c r="A2" s="29" t="s">
        <v>210</v>
      </c>
      <c r="B2" s="29" t="s">
        <v>211</v>
      </c>
      <c r="C2" s="29" t="s">
        <v>212</v>
      </c>
      <c r="D2" s="973"/>
      <c r="E2" s="29" t="s">
        <v>213</v>
      </c>
      <c r="F2" s="29" t="s">
        <v>213</v>
      </c>
      <c r="G2" s="29" t="s">
        <v>214</v>
      </c>
      <c r="H2" s="33" t="s">
        <v>215</v>
      </c>
    </row>
    <row r="3" spans="1:8" ht="19.5">
      <c r="A3" s="29" t="s">
        <v>216</v>
      </c>
      <c r="B3" s="29" t="s">
        <v>217</v>
      </c>
      <c r="C3" s="29" t="s">
        <v>218</v>
      </c>
      <c r="D3" s="973"/>
      <c r="E3" s="29" t="s">
        <v>219</v>
      </c>
      <c r="F3" s="29" t="s">
        <v>220</v>
      </c>
      <c r="G3" s="29" t="s">
        <v>221</v>
      </c>
      <c r="H3" s="33" t="s">
        <v>222</v>
      </c>
    </row>
    <row r="4" spans="1:8" ht="35.5">
      <c r="A4" s="29" t="s">
        <v>223</v>
      </c>
      <c r="B4" s="29" t="s">
        <v>58</v>
      </c>
      <c r="C4" s="29" t="s">
        <v>58</v>
      </c>
      <c r="D4" s="973"/>
      <c r="E4" s="29" t="s">
        <v>224</v>
      </c>
      <c r="F4" s="29" t="s">
        <v>224</v>
      </c>
      <c r="G4" s="29" t="s">
        <v>225</v>
      </c>
      <c r="H4" s="34"/>
    </row>
    <row r="5" spans="1:8" ht="36" thickBot="1">
      <c r="A5" s="30"/>
      <c r="B5" s="30"/>
      <c r="C5" s="30"/>
      <c r="D5" s="974"/>
      <c r="E5" s="30"/>
      <c r="F5" s="30"/>
      <c r="G5" s="31" t="s">
        <v>224</v>
      </c>
      <c r="H5" s="35"/>
    </row>
    <row r="6" spans="1:8" ht="17" thickBot="1">
      <c r="A6" s="36">
        <v>1</v>
      </c>
      <c r="B6" s="36">
        <v>3</v>
      </c>
      <c r="C6" s="36">
        <v>2</v>
      </c>
      <c r="D6" s="36">
        <v>4</v>
      </c>
      <c r="E6" s="36">
        <v>5</v>
      </c>
      <c r="F6" s="36">
        <v>6</v>
      </c>
      <c r="G6" s="36">
        <v>7</v>
      </c>
      <c r="H6" s="37">
        <v>8</v>
      </c>
    </row>
    <row r="7" spans="1:8" ht="17" thickBot="1">
      <c r="A7" s="970" t="s">
        <v>199</v>
      </c>
      <c r="B7" s="970">
        <f>VLOOKUP('momen 1p'!A7:A8,'tải sàn'!$B$5:$F$20,4,0)</f>
        <v>2.2000000000000002</v>
      </c>
      <c r="C7" s="970">
        <f>VLOOKUP('momen 1p'!A7:A8,'tải sàn'!$B$5:$F$20,5,0)</f>
        <v>4</v>
      </c>
      <c r="D7" s="970">
        <f>ROUND(C7/B7,1)</f>
        <v>1.8</v>
      </c>
      <c r="E7" s="970">
        <f>VLOOKUP('momen 1p'!A7:A8,'tải sàn'!$B$5:$F$20,2,0)</f>
        <v>0.19500000000000001</v>
      </c>
      <c r="F7" s="970">
        <f>VLOOKUP('momen 1p'!A7:A8,'tải sàn'!$B$5:$F$20,3,0)</f>
        <v>0.62</v>
      </c>
      <c r="G7" s="970">
        <f>E7+F7</f>
        <v>0.81499999999999995</v>
      </c>
      <c r="H7" s="450">
        <f>G7*B7^2/24</f>
        <v>0.16435833333333336</v>
      </c>
    </row>
    <row r="8" spans="1:8" ht="17" thickBot="1">
      <c r="A8" s="971"/>
      <c r="B8" s="971"/>
      <c r="C8" s="971"/>
      <c r="D8" s="971"/>
      <c r="E8" s="971"/>
      <c r="F8" s="971"/>
      <c r="G8" s="971"/>
      <c r="H8" s="450">
        <f>G7*B7^2/12</f>
        <v>0.32871666666666671</v>
      </c>
    </row>
    <row r="9" spans="1:8" ht="17" thickBot="1">
      <c r="A9" s="970" t="s">
        <v>999</v>
      </c>
      <c r="B9" s="970">
        <f>VLOOKUP('momen 1p'!A9:A10,'tải sàn'!$B$5:$F$20,4,0)</f>
        <v>1.5999999999999999</v>
      </c>
      <c r="C9" s="970">
        <f>VLOOKUP('momen 1p'!A9:A10,'tải sàn'!$B$5:$F$20,5,0)</f>
        <v>4</v>
      </c>
      <c r="D9" s="970">
        <f>ROUND(C9/B9,1)</f>
        <v>2.5</v>
      </c>
      <c r="E9" s="970">
        <f>VLOOKUP('momen 1p'!A9:A10,'tải sàn'!$B$5:$F$20,2,0)</f>
        <v>0.19500000000000001</v>
      </c>
      <c r="F9" s="970">
        <f>VLOOKUP('momen 1p'!A9:A10,'tải sàn'!$B$5:$F$20,3,0)</f>
        <v>0.48</v>
      </c>
      <c r="G9" s="970">
        <f>E9+F9</f>
        <v>0.67500000000000004</v>
      </c>
      <c r="H9" s="450">
        <f>G9*B9^2/24</f>
        <v>7.1999999999999995E-2</v>
      </c>
    </row>
    <row r="10" spans="1:8" ht="17" thickBot="1">
      <c r="A10" s="971"/>
      <c r="B10" s="971"/>
      <c r="C10" s="971"/>
      <c r="D10" s="971"/>
      <c r="E10" s="971"/>
      <c r="F10" s="971"/>
      <c r="G10" s="971"/>
      <c r="H10" s="450">
        <f>G9*B9^2/12</f>
        <v>0.14399999999999999</v>
      </c>
    </row>
    <row r="11" spans="1:8" ht="17" thickBot="1">
      <c r="A11" s="970" t="s">
        <v>106</v>
      </c>
      <c r="B11" s="970">
        <f>VLOOKUP('momen 1p'!A11:A12,'tải sàn'!$B$5:$F$20,4,0)</f>
        <v>2</v>
      </c>
      <c r="C11" s="970">
        <f>VLOOKUP('momen 1p'!A11:A12,'tải sàn'!$B$5:$F$20,5,0)</f>
        <v>6</v>
      </c>
      <c r="D11" s="970">
        <f>ROUND(C11/B11,1)</f>
        <v>3</v>
      </c>
      <c r="E11" s="970">
        <f>VLOOKUP('momen 1p'!A11:A12,'tải sàn'!$B$5:$F$20,2,0)</f>
        <v>0.48</v>
      </c>
      <c r="F11" s="970">
        <f>VLOOKUP('momen 1p'!A11:A12,'tải sàn'!$B$5:$F$20,3,0)</f>
        <v>0.48</v>
      </c>
      <c r="G11" s="970">
        <f>E11+F11</f>
        <v>0.96</v>
      </c>
      <c r="H11" s="450">
        <f>G11*B11^2/24</f>
        <v>0.16</v>
      </c>
    </row>
    <row r="12" spans="1:8" ht="17" thickBot="1">
      <c r="A12" s="971"/>
      <c r="B12" s="971"/>
      <c r="C12" s="971"/>
      <c r="D12" s="971"/>
      <c r="E12" s="971"/>
      <c r="F12" s="971"/>
      <c r="G12" s="971"/>
      <c r="H12" s="450">
        <f>G11*B11^2/12</f>
        <v>0.32</v>
      </c>
    </row>
    <row r="13" spans="1:8" ht="17" thickBot="1">
      <c r="A13" s="970" t="s">
        <v>104</v>
      </c>
      <c r="B13" s="970">
        <f>VLOOKUP('momen 1p'!A13:A14,'tải sàn'!$B$5:$F$20,4,0)</f>
        <v>2</v>
      </c>
      <c r="C13" s="970">
        <f>VLOOKUP('momen 1p'!A13:A14,'tải sàn'!$B$5:$F$20,5,0)</f>
        <v>5.5</v>
      </c>
      <c r="D13" s="970">
        <f>ROUND(C13/B13,1)</f>
        <v>2.8</v>
      </c>
      <c r="E13" s="970">
        <f>VLOOKUP('momen 1p'!A13:A14,'tải sàn'!$B$5:$F$20,2,0)</f>
        <v>0.48</v>
      </c>
      <c r="F13" s="970">
        <f>VLOOKUP('momen 1p'!A13:A14,'tải sàn'!$B$5:$F$20,3,0)</f>
        <v>0.48</v>
      </c>
      <c r="G13" s="970">
        <f>E13+F13</f>
        <v>0.96</v>
      </c>
      <c r="H13" s="450">
        <f>G13*B13^2/24</f>
        <v>0.16</v>
      </c>
    </row>
    <row r="14" spans="1:8" ht="17" thickBot="1">
      <c r="A14" s="971"/>
      <c r="B14" s="971"/>
      <c r="C14" s="971"/>
      <c r="D14" s="971"/>
      <c r="E14" s="971"/>
      <c r="F14" s="971"/>
      <c r="G14" s="971"/>
      <c r="H14" s="450">
        <f>G13*B13^2/12</f>
        <v>0.32</v>
      </c>
    </row>
    <row r="15" spans="1:8" ht="17" thickBot="1">
      <c r="A15" s="970" t="s">
        <v>107</v>
      </c>
      <c r="B15" s="970">
        <f>VLOOKUP('momen 1p'!A15:A16,'tải sàn'!$B$5:$F$20,4,0)</f>
        <v>2</v>
      </c>
      <c r="C15" s="970">
        <f>VLOOKUP('momen 1p'!A15:A16,'tải sàn'!$B$5:$F$20,5,0)</f>
        <v>4</v>
      </c>
      <c r="D15" s="970">
        <f>ROUND(C15/B15,1)</f>
        <v>2</v>
      </c>
      <c r="E15" s="970">
        <f>VLOOKUP('momen 1p'!A15:A16,'tải sàn'!$B$5:$F$20,2,0)</f>
        <v>0.48</v>
      </c>
      <c r="F15" s="970">
        <f>VLOOKUP('momen 1p'!A15:A16,'tải sàn'!$B$5:$F$20,3,0)</f>
        <v>0.48</v>
      </c>
      <c r="G15" s="970">
        <f>E15+F15</f>
        <v>0.96</v>
      </c>
      <c r="H15" s="450">
        <f>G15*B15^2/24</f>
        <v>0.16</v>
      </c>
    </row>
    <row r="16" spans="1:8" ht="17" thickBot="1">
      <c r="A16" s="971"/>
      <c r="B16" s="971"/>
      <c r="C16" s="971"/>
      <c r="D16" s="971"/>
      <c r="E16" s="971"/>
      <c r="F16" s="971"/>
      <c r="G16" s="971"/>
      <c r="H16" s="450">
        <f>G15*B15^2/12</f>
        <v>0.32</v>
      </c>
    </row>
    <row r="17" spans="1:8" ht="17" thickBot="1">
      <c r="A17" s="970" t="s">
        <v>452</v>
      </c>
      <c r="B17" s="970">
        <f>VLOOKUP('momen 1p'!A17:A18,'tải sàn'!$B$5:$F$20,4,0)</f>
        <v>0.79999999999999993</v>
      </c>
      <c r="C17" s="970">
        <f>VLOOKUP('momen 1p'!A17:A18,'tải sàn'!$B$5:$F$20,5,0)</f>
        <v>4.3</v>
      </c>
      <c r="D17" s="970">
        <f>ROUND(C17/B17,1)</f>
        <v>5.4</v>
      </c>
      <c r="E17" s="970">
        <f>VLOOKUP('momen 1p'!A17:A18,'tải sàn'!$B$5:$F$20,2,0)</f>
        <v>0.48</v>
      </c>
      <c r="F17" s="970">
        <f>VLOOKUP('momen 1p'!A17:A18,'tải sàn'!$B$5:$F$20,3,0)</f>
        <v>0.48</v>
      </c>
      <c r="G17" s="970">
        <f>E17+F17</f>
        <v>0.96</v>
      </c>
      <c r="H17" s="450">
        <f>G17*B17^2/24</f>
        <v>2.5599999999999994E-2</v>
      </c>
    </row>
    <row r="18" spans="1:8" ht="17" thickBot="1">
      <c r="A18" s="971"/>
      <c r="B18" s="971"/>
      <c r="C18" s="971"/>
      <c r="D18" s="971"/>
      <c r="E18" s="971"/>
      <c r="F18" s="971"/>
      <c r="G18" s="971"/>
      <c r="H18" s="450">
        <f>G17*B17^2/12</f>
        <v>5.1199999999999989E-2</v>
      </c>
    </row>
    <row r="19" spans="1:8" ht="17" thickBot="1">
      <c r="A19" s="970" t="s">
        <v>453</v>
      </c>
      <c r="B19" s="970">
        <f>VLOOKUP('momen 1p'!A19:A20,'tải sàn'!$B$5:$F$20,4,0)</f>
        <v>0.79999999999999993</v>
      </c>
      <c r="C19" s="970">
        <f>VLOOKUP('momen 1p'!A19:A20,'tải sàn'!$B$5:$F$20,5,0)</f>
        <v>3.7</v>
      </c>
      <c r="D19" s="970">
        <f>ROUND(C19/B19,1)</f>
        <v>4.5999999999999996</v>
      </c>
      <c r="E19" s="970">
        <f>VLOOKUP('momen 1p'!A19:A20,'tải sàn'!$B$5:$F$20,2,0)</f>
        <v>0.48</v>
      </c>
      <c r="F19" s="970">
        <f>VLOOKUP('momen 1p'!A19:A20,'tải sàn'!$B$5:$F$20,3,0)</f>
        <v>0.48</v>
      </c>
      <c r="G19" s="970">
        <f>E19+F19</f>
        <v>0.96</v>
      </c>
      <c r="H19" s="450">
        <f>G19*B19^2/24</f>
        <v>2.5599999999999994E-2</v>
      </c>
    </row>
    <row r="20" spans="1:8" ht="17" thickBot="1">
      <c r="A20" s="971"/>
      <c r="B20" s="971"/>
      <c r="C20" s="971"/>
      <c r="D20" s="971"/>
      <c r="E20" s="971"/>
      <c r="F20" s="971"/>
      <c r="G20" s="971"/>
      <c r="H20" s="450">
        <f>G19*B19^2/12</f>
        <v>5.1199999999999989E-2</v>
      </c>
    </row>
  </sheetData>
  <mergeCells count="50">
    <mergeCell ref="F7:F8"/>
    <mergeCell ref="G7:G8"/>
    <mergeCell ref="A9:A10"/>
    <mergeCell ref="B9:B10"/>
    <mergeCell ref="C9:C10"/>
    <mergeCell ref="D9:D10"/>
    <mergeCell ref="E9:E10"/>
    <mergeCell ref="F9:F10"/>
    <mergeCell ref="G9:G10"/>
    <mergeCell ref="F17:F18"/>
    <mergeCell ref="G17:G18"/>
    <mergeCell ref="A19:A20"/>
    <mergeCell ref="B19:B20"/>
    <mergeCell ref="C19:C20"/>
    <mergeCell ref="D19:D20"/>
    <mergeCell ref="E19:E20"/>
    <mergeCell ref="F19:F20"/>
    <mergeCell ref="G19:G20"/>
    <mergeCell ref="A17:A18"/>
    <mergeCell ref="B17:B18"/>
    <mergeCell ref="C17:C18"/>
    <mergeCell ref="D17:D18"/>
    <mergeCell ref="E17:E18"/>
    <mergeCell ref="A15:A16"/>
    <mergeCell ref="B15:B16"/>
    <mergeCell ref="C15:C16"/>
    <mergeCell ref="D15:D16"/>
    <mergeCell ref="E15:E16"/>
    <mergeCell ref="F15:F16"/>
    <mergeCell ref="F11:F12"/>
    <mergeCell ref="G11:G12"/>
    <mergeCell ref="G13:G14"/>
    <mergeCell ref="G15:G16"/>
    <mergeCell ref="F13:F14"/>
    <mergeCell ref="A13:A14"/>
    <mergeCell ref="B13:B14"/>
    <mergeCell ref="C13:C14"/>
    <mergeCell ref="D13:D14"/>
    <mergeCell ref="E13:E14"/>
    <mergeCell ref="E11:E12"/>
    <mergeCell ref="D1:D5"/>
    <mergeCell ref="A11:A12"/>
    <mergeCell ref="C11:C12"/>
    <mergeCell ref="B11:B12"/>
    <mergeCell ref="D11:D12"/>
    <mergeCell ref="A7:A8"/>
    <mergeCell ref="B7:B8"/>
    <mergeCell ref="C7:C8"/>
    <mergeCell ref="D7:D8"/>
    <mergeCell ref="E7:E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94A10-5E90-4115-828C-7CE2ED022D58}">
  <sheetPr codeName="Sheet2"/>
  <dimension ref="A1:R60"/>
  <sheetViews>
    <sheetView showGridLines="0" topLeftCell="B1" workbookViewId="0">
      <selection activeCell="T13" sqref="T13"/>
    </sheetView>
  </sheetViews>
  <sheetFormatPr defaultColWidth="8.83203125" defaultRowHeight="14"/>
  <cols>
    <col min="2" max="2" width="10.08203125" bestFit="1" customWidth="1"/>
    <col min="6" max="6" width="5" bestFit="1" customWidth="1"/>
    <col min="7" max="7" width="8" bestFit="1" customWidth="1"/>
    <col min="8" max="8" width="9" bestFit="1" customWidth="1"/>
    <col min="9" max="10" width="6.83203125" customWidth="1"/>
    <col min="11" max="11" width="7.6640625" bestFit="1" customWidth="1"/>
    <col min="12" max="12" width="6.4140625" customWidth="1"/>
    <col min="13" max="13" width="9" bestFit="1" customWidth="1"/>
    <col min="14" max="15" width="6.83203125" customWidth="1"/>
    <col min="16" max="18" width="9.08203125" hidden="1" customWidth="1"/>
  </cols>
  <sheetData>
    <row r="1" spans="1:18">
      <c r="A1" s="60"/>
      <c r="B1" s="60"/>
      <c r="C1" s="60"/>
      <c r="D1" s="60"/>
      <c r="E1" s="60"/>
      <c r="F1" s="60"/>
      <c r="G1" s="60"/>
      <c r="H1" s="60"/>
      <c r="I1" s="61"/>
      <c r="J1" s="60"/>
      <c r="K1" s="60"/>
      <c r="L1" s="60"/>
      <c r="M1" s="60"/>
      <c r="N1" s="60"/>
      <c r="O1" s="62"/>
      <c r="P1" s="48"/>
      <c r="Q1" s="58"/>
      <c r="R1" s="48"/>
    </row>
    <row r="2" spans="1:18">
      <c r="A2" s="60"/>
      <c r="B2" s="221"/>
      <c r="C2" s="221"/>
      <c r="D2" s="221"/>
      <c r="E2" s="221"/>
      <c r="F2" s="221"/>
      <c r="G2" s="221"/>
      <c r="H2" s="221"/>
      <c r="I2" s="222"/>
      <c r="J2" s="221"/>
      <c r="K2" s="221"/>
      <c r="L2" s="221"/>
      <c r="M2" s="221"/>
      <c r="N2" s="221"/>
      <c r="O2" s="223"/>
      <c r="P2" s="48"/>
      <c r="Q2" s="58"/>
      <c r="R2" s="48"/>
    </row>
    <row r="3" spans="1:18" ht="17.5">
      <c r="A3" s="59"/>
      <c r="B3" s="213"/>
      <c r="C3" s="213"/>
      <c r="D3" s="214" t="s">
        <v>925</v>
      </c>
      <c r="E3" s="213"/>
      <c r="F3" s="213"/>
      <c r="G3" s="213"/>
      <c r="H3" s="213"/>
      <c r="I3" s="215"/>
      <c r="J3" s="213"/>
      <c r="K3" s="213"/>
      <c r="L3" s="213"/>
      <c r="M3" s="216"/>
      <c r="N3" s="213"/>
      <c r="O3" s="216"/>
      <c r="P3" s="40"/>
      <c r="Q3" s="39"/>
      <c r="R3" s="40"/>
    </row>
    <row r="4" spans="1:18" ht="17.5">
      <c r="A4" s="59"/>
      <c r="B4" s="217" t="s">
        <v>231</v>
      </c>
      <c r="C4" s="218" t="s">
        <v>232</v>
      </c>
      <c r="D4" s="219"/>
      <c r="E4" s="220"/>
      <c r="F4" s="221"/>
      <c r="G4" s="221"/>
      <c r="H4" s="221"/>
      <c r="I4" s="222"/>
      <c r="J4" s="221"/>
      <c r="K4" s="223"/>
      <c r="L4" s="221"/>
      <c r="M4" s="223"/>
      <c r="N4" s="221"/>
      <c r="O4" s="216"/>
      <c r="P4" s="41"/>
      <c r="Q4" s="52"/>
      <c r="R4" s="41"/>
    </row>
    <row r="5" spans="1:18" ht="17.5">
      <c r="A5" s="59"/>
      <c r="B5" s="221"/>
      <c r="C5" s="218" t="s">
        <v>233</v>
      </c>
      <c r="D5" s="218"/>
      <c r="E5" s="220"/>
      <c r="F5" s="221"/>
      <c r="G5" s="221"/>
      <c r="H5" s="221"/>
      <c r="I5" s="222"/>
      <c r="J5" s="221"/>
      <c r="K5" s="221"/>
      <c r="L5" s="221"/>
      <c r="M5" s="223"/>
      <c r="N5" s="221"/>
      <c r="O5" s="216"/>
      <c r="P5" s="41"/>
      <c r="Q5" s="52"/>
      <c r="R5" s="41"/>
    </row>
    <row r="6" spans="1:18" ht="17.5">
      <c r="A6" s="59"/>
      <c r="B6" s="223"/>
      <c r="C6" s="224" t="s">
        <v>234</v>
      </c>
      <c r="D6" s="218"/>
      <c r="E6" s="220"/>
      <c r="F6" s="225">
        <f>TH!C21</f>
        <v>15</v>
      </c>
      <c r="G6" s="226" t="s">
        <v>235</v>
      </c>
      <c r="H6" s="227">
        <f>IF(F6=12.5,7.5,IF(F6=15,8.5,IF(F6=20,11.5,IF(F6=25,14.5,"!!!"))))</f>
        <v>8.5</v>
      </c>
      <c r="I6" s="228" t="s">
        <v>236</v>
      </c>
      <c r="J6" s="223"/>
      <c r="K6" s="223"/>
      <c r="L6" s="223"/>
      <c r="M6" s="223"/>
      <c r="N6" s="221"/>
      <c r="O6" s="216"/>
      <c r="P6" s="42"/>
      <c r="Q6" s="52"/>
      <c r="R6" s="41"/>
    </row>
    <row r="7" spans="1:18" ht="15.5">
      <c r="A7" s="59"/>
      <c r="B7" s="223"/>
      <c r="C7" s="218" t="s">
        <v>237</v>
      </c>
      <c r="D7" s="218"/>
      <c r="E7" s="223"/>
      <c r="F7" s="229"/>
      <c r="G7" s="226"/>
      <c r="H7" s="228"/>
      <c r="I7" s="228"/>
      <c r="J7" s="223"/>
      <c r="K7" s="223"/>
      <c r="L7" s="223"/>
      <c r="M7" s="223"/>
      <c r="N7" s="223"/>
      <c r="O7" s="216"/>
      <c r="P7" s="42"/>
      <c r="Q7" s="52"/>
      <c r="R7" s="42"/>
    </row>
    <row r="8" spans="1:18" ht="17.5">
      <c r="A8" s="59"/>
      <c r="B8" s="979" t="s">
        <v>996</v>
      </c>
      <c r="C8" s="977" t="s">
        <v>238</v>
      </c>
      <c r="D8" s="64" t="s">
        <v>239</v>
      </c>
      <c r="E8" s="63" t="s">
        <v>240</v>
      </c>
      <c r="F8" s="64" t="s">
        <v>241</v>
      </c>
      <c r="G8" s="63" t="s">
        <v>242</v>
      </c>
      <c r="H8" s="63" t="s">
        <v>243</v>
      </c>
      <c r="I8" s="65" t="s">
        <v>244</v>
      </c>
      <c r="J8" s="65" t="s">
        <v>245</v>
      </c>
      <c r="K8" s="64" t="s">
        <v>246</v>
      </c>
      <c r="L8" s="609" t="s">
        <v>993</v>
      </c>
      <c r="M8" s="610"/>
      <c r="N8" s="66" t="s">
        <v>246</v>
      </c>
      <c r="O8" s="65" t="s">
        <v>247</v>
      </c>
      <c r="P8" s="47" t="s">
        <v>248</v>
      </c>
      <c r="Q8" s="53" t="s">
        <v>249</v>
      </c>
      <c r="R8" s="54" t="s">
        <v>247</v>
      </c>
    </row>
    <row r="9" spans="1:18" ht="18.5">
      <c r="A9" s="59"/>
      <c r="B9" s="980"/>
      <c r="C9" s="978"/>
      <c r="D9" s="68" t="s">
        <v>672</v>
      </c>
      <c r="E9" s="69" t="s">
        <v>6</v>
      </c>
      <c r="F9" s="68" t="s">
        <v>6</v>
      </c>
      <c r="G9" s="69" t="s">
        <v>731</v>
      </c>
      <c r="H9" s="194" t="s">
        <v>731</v>
      </c>
      <c r="I9" s="67"/>
      <c r="J9" s="67"/>
      <c r="K9" s="68" t="s">
        <v>997</v>
      </c>
      <c r="L9" s="70" t="s">
        <v>250</v>
      </c>
      <c r="M9" s="71" t="s">
        <v>998</v>
      </c>
      <c r="N9" s="72" t="s">
        <v>252</v>
      </c>
      <c r="O9" s="67"/>
      <c r="P9" s="46" t="s">
        <v>253</v>
      </c>
      <c r="Q9" s="55" t="s">
        <v>252</v>
      </c>
      <c r="R9" s="46"/>
    </row>
    <row r="10" spans="1:18" ht="15">
      <c r="A10" s="59"/>
      <c r="B10" s="73">
        <v>1</v>
      </c>
      <c r="C10" s="74">
        <v>2</v>
      </c>
      <c r="D10" s="74">
        <v>3</v>
      </c>
      <c r="E10" s="74">
        <v>4</v>
      </c>
      <c r="F10" s="74">
        <v>5</v>
      </c>
      <c r="G10" s="74">
        <v>6</v>
      </c>
      <c r="H10" s="74">
        <v>7</v>
      </c>
      <c r="I10" s="74">
        <v>8</v>
      </c>
      <c r="J10" s="74">
        <v>9</v>
      </c>
      <c r="K10" s="111">
        <v>11</v>
      </c>
      <c r="L10" s="111">
        <v>12</v>
      </c>
      <c r="M10" s="111">
        <v>13</v>
      </c>
      <c r="N10" s="111">
        <v>14</v>
      </c>
      <c r="O10" s="111">
        <v>15</v>
      </c>
      <c r="P10" s="111">
        <v>16</v>
      </c>
      <c r="Q10" s="111">
        <v>17</v>
      </c>
      <c r="R10" s="111">
        <v>18</v>
      </c>
    </row>
    <row r="11" spans="1:18" ht="17.5">
      <c r="A11" s="174"/>
      <c r="B11" s="975" t="str">
        <f>'momen 1p'!A7</f>
        <v>S1A</v>
      </c>
      <c r="C11" s="203" t="s">
        <v>254</v>
      </c>
      <c r="D11" s="449">
        <f>'momen 1p'!H7*1</f>
        <v>0.16435833333333336</v>
      </c>
      <c r="E11" s="448">
        <f>TH!$I$45/1000</f>
        <v>0.08</v>
      </c>
      <c r="F11" s="205">
        <v>1</v>
      </c>
      <c r="G11" s="205">
        <f>$H$6*100</f>
        <v>850</v>
      </c>
      <c r="H11" s="205">
        <f>'SĐD_1 Phương'!$C$10</f>
        <v>28000</v>
      </c>
      <c r="I11" s="207">
        <f t="shared" ref="I11:I12" si="0">+D11/(G11*F11*E11*E11)</f>
        <v>3.021292892156863E-2</v>
      </c>
      <c r="J11" s="208">
        <f t="shared" ref="J11:J14" si="1">0.5*(1+SQRT(1-2*I11))</f>
        <v>0.98465816359493596</v>
      </c>
      <c r="K11" s="430">
        <f t="shared" ref="K11:K14" si="2">+D11/(H11*10*J11*E11)*10000</f>
        <v>7.4517491110311168E-2</v>
      </c>
      <c r="L11" s="206">
        <v>10</v>
      </c>
      <c r="M11" s="206">
        <v>200</v>
      </c>
      <c r="N11" s="209">
        <f t="shared" ref="N11:N14" si="3">IF(L11=6,0.283*1000/M11,IF(L11=8,0.503*1000/M11,IF(L11=10,0.785*1000/M11,IF(L11=12,1.131*1000/M11,1.539*1000/M11))))</f>
        <v>3.9249999999999998</v>
      </c>
      <c r="O11" s="210">
        <f>N11/E11/100</f>
        <v>0.49062499999999998</v>
      </c>
      <c r="P11" s="109" t="str">
        <f t="shared" ref="P11:P14" si="4">"Ø"&amp;L11&amp;"a"&amp;M11</f>
        <v>Ø10a200</v>
      </c>
      <c r="Q11" s="110">
        <f>VLOOKUP(P11,'tra thep'!$E$11:$F$62,2,)</f>
        <v>3.93</v>
      </c>
      <c r="R11" s="78">
        <f>M11/E11/1000</f>
        <v>2.5</v>
      </c>
    </row>
    <row r="12" spans="1:18" ht="17.5">
      <c r="A12" s="174"/>
      <c r="B12" s="976"/>
      <c r="C12" s="203" t="s">
        <v>256</v>
      </c>
      <c r="D12" s="449">
        <f>'momen 1p'!H8*1</f>
        <v>0.32871666666666671</v>
      </c>
      <c r="E12" s="448">
        <f>TH!$I$45/1000</f>
        <v>0.08</v>
      </c>
      <c r="F12" s="205">
        <v>1</v>
      </c>
      <c r="G12" s="205">
        <f t="shared" ref="G12:G14" si="5">$H$6*100</f>
        <v>850</v>
      </c>
      <c r="H12" s="205">
        <f>'SĐD_1 Phương'!$C$10</f>
        <v>28000</v>
      </c>
      <c r="I12" s="207">
        <f t="shared" si="0"/>
        <v>6.0425857843137261E-2</v>
      </c>
      <c r="J12" s="208">
        <f t="shared" si="1"/>
        <v>0.96881453804082418</v>
      </c>
      <c r="K12" s="430">
        <f t="shared" si="2"/>
        <v>0.1514722438017112</v>
      </c>
      <c r="L12" s="206">
        <v>10</v>
      </c>
      <c r="M12" s="206">
        <v>200</v>
      </c>
      <c r="N12" s="209">
        <f t="shared" si="3"/>
        <v>3.9249999999999998</v>
      </c>
      <c r="O12" s="210">
        <f t="shared" ref="O12:O24" si="6">N12/E12/100</f>
        <v>0.49062499999999998</v>
      </c>
      <c r="P12" s="109" t="str">
        <f t="shared" si="4"/>
        <v>Ø10a200</v>
      </c>
      <c r="Q12" s="110">
        <f>VLOOKUP(P12,'tra thep'!$E$11:$F$62,2,)</f>
        <v>3.93</v>
      </c>
      <c r="R12" s="78">
        <f t="shared" ref="R12:R14" si="7">M12/E12/1000</f>
        <v>2.5</v>
      </c>
    </row>
    <row r="13" spans="1:18" ht="17.5">
      <c r="A13" s="174"/>
      <c r="B13" s="975" t="str">
        <f>'momen 1p'!A9</f>
        <v>S1C</v>
      </c>
      <c r="C13" s="203" t="s">
        <v>254</v>
      </c>
      <c r="D13" s="449">
        <f>'momen 1p'!H9*1</f>
        <v>7.1999999999999995E-2</v>
      </c>
      <c r="E13" s="448">
        <f>TH!$I$45/1000</f>
        <v>0.08</v>
      </c>
      <c r="F13" s="205">
        <v>1</v>
      </c>
      <c r="G13" s="205">
        <f t="shared" si="5"/>
        <v>850</v>
      </c>
      <c r="H13" s="205">
        <f>'SĐD_1 Phương'!$C$10</f>
        <v>28000</v>
      </c>
      <c r="I13" s="207">
        <f>+D13/(G13*F13*E13*E13)</f>
        <v>1.3235294117647057E-2</v>
      </c>
      <c r="J13" s="208">
        <f t="shared" si="1"/>
        <v>0.99333797030147242</v>
      </c>
      <c r="K13" s="430">
        <f t="shared" si="2"/>
        <v>3.2358429964276875E-2</v>
      </c>
      <c r="L13" s="206">
        <v>10</v>
      </c>
      <c r="M13" s="206">
        <v>200</v>
      </c>
      <c r="N13" s="209">
        <f t="shared" si="3"/>
        <v>3.9249999999999998</v>
      </c>
      <c r="O13" s="210">
        <f t="shared" si="6"/>
        <v>0.49062499999999998</v>
      </c>
      <c r="P13" s="109" t="str">
        <f t="shared" si="4"/>
        <v>Ø10a200</v>
      </c>
      <c r="Q13" s="110">
        <f>VLOOKUP(P13,'tra thep'!$E$11:$F$62,2,)</f>
        <v>3.93</v>
      </c>
      <c r="R13" s="78">
        <f t="shared" si="7"/>
        <v>2.5</v>
      </c>
    </row>
    <row r="14" spans="1:18" ht="17.5">
      <c r="A14" s="174"/>
      <c r="B14" s="976"/>
      <c r="C14" s="203" t="s">
        <v>256</v>
      </c>
      <c r="D14" s="449">
        <f>'momen 1p'!H10*1</f>
        <v>0.14399999999999999</v>
      </c>
      <c r="E14" s="448">
        <f>TH!$I$45/1000</f>
        <v>0.08</v>
      </c>
      <c r="F14" s="205">
        <v>1</v>
      </c>
      <c r="G14" s="205">
        <f t="shared" si="5"/>
        <v>850</v>
      </c>
      <c r="H14" s="205">
        <f>'SĐD_1 Phương'!$C$10</f>
        <v>28000</v>
      </c>
      <c r="I14" s="207">
        <f t="shared" ref="I14:I24" si="8">+D14/(G14*F14*E14*E14)</f>
        <v>2.6470588235294114E-2</v>
      </c>
      <c r="J14" s="208">
        <f t="shared" si="1"/>
        <v>0.98658473658999313</v>
      </c>
      <c r="K14" s="430">
        <f t="shared" si="2"/>
        <v>6.515985084860508E-2</v>
      </c>
      <c r="L14" s="206">
        <v>10</v>
      </c>
      <c r="M14" s="206">
        <v>200</v>
      </c>
      <c r="N14" s="209">
        <f t="shared" si="3"/>
        <v>3.9249999999999998</v>
      </c>
      <c r="O14" s="210">
        <f t="shared" si="6"/>
        <v>0.49062499999999998</v>
      </c>
      <c r="P14" s="109" t="str">
        <f t="shared" si="4"/>
        <v>Ø10a200</v>
      </c>
      <c r="Q14" s="110">
        <f>VLOOKUP(P14,'tra thep'!$E$11:$F$62,2,)</f>
        <v>3.93</v>
      </c>
      <c r="R14" s="78">
        <f t="shared" si="7"/>
        <v>2.5</v>
      </c>
    </row>
    <row r="15" spans="1:18" ht="17.5">
      <c r="A15" s="59"/>
      <c r="B15" s="975" t="str">
        <f>'momen 1p'!A11</f>
        <v>S4</v>
      </c>
      <c r="C15" s="203" t="s">
        <v>254</v>
      </c>
      <c r="D15" s="449">
        <f>'momen 1p'!H11*1</f>
        <v>0.16</v>
      </c>
      <c r="E15" s="448">
        <f>TH!$I$45/1000</f>
        <v>0.08</v>
      </c>
      <c r="F15" s="205">
        <v>1</v>
      </c>
      <c r="G15" s="205">
        <f>$H$6*100</f>
        <v>850</v>
      </c>
      <c r="H15" s="205">
        <f>'SĐD_1 Phương'!$C$10</f>
        <v>28000</v>
      </c>
      <c r="I15" s="207">
        <f t="shared" si="8"/>
        <v>2.9411764705882353E-2</v>
      </c>
      <c r="J15" s="208">
        <f t="shared" ref="J15:J24" si="9">0.5*(1+SQRT(1-2*I15))</f>
        <v>0.98507125007266594</v>
      </c>
      <c r="K15" s="430">
        <f t="shared" ref="K15:K21" si="10">+D15/(H15*10*J15*E15)*10000</f>
        <v>7.2511071075622546E-2</v>
      </c>
      <c r="L15" s="206">
        <v>10</v>
      </c>
      <c r="M15" s="206">
        <v>200</v>
      </c>
      <c r="N15" s="209">
        <f t="shared" ref="N15:N24" si="11">IF(L15=6,0.283*1000/M15,IF(L15=8,0.503*1000/M15,IF(L15=10,0.785*1000/M15,IF(L15=12,1.131*1000/M15,1.539*1000/M15))))</f>
        <v>3.9249999999999998</v>
      </c>
      <c r="O15" s="210">
        <f t="shared" si="6"/>
        <v>0.49062499999999998</v>
      </c>
      <c r="P15" s="49" t="str">
        <f t="shared" ref="P15:P20" si="12">"Ø"&amp;L15&amp;"a"&amp;M15</f>
        <v>Ø10a200</v>
      </c>
      <c r="Q15" s="56">
        <f>VLOOKUP(P15,'tra thep'!$E$11:$F$62,2,)</f>
        <v>3.93</v>
      </c>
      <c r="R15" s="45">
        <f>M15/E15/1000</f>
        <v>2.5</v>
      </c>
    </row>
    <row r="16" spans="1:18" ht="17.5">
      <c r="A16" s="59"/>
      <c r="B16" s="976"/>
      <c r="C16" s="203" t="s">
        <v>256</v>
      </c>
      <c r="D16" s="449">
        <f>'momen 1p'!H12*1</f>
        <v>0.32</v>
      </c>
      <c r="E16" s="448">
        <f>TH!$I$45/1000</f>
        <v>0.08</v>
      </c>
      <c r="F16" s="205">
        <v>1</v>
      </c>
      <c r="G16" s="205">
        <f t="shared" ref="G16:G24" si="13">$H$6*100</f>
        <v>850</v>
      </c>
      <c r="H16" s="205">
        <f>'SĐD_1 Phương'!$C$10</f>
        <v>28000</v>
      </c>
      <c r="I16" s="207">
        <f t="shared" si="8"/>
        <v>5.8823529411764705E-2</v>
      </c>
      <c r="J16" s="208">
        <f t="shared" si="9"/>
        <v>0.96966821831386207</v>
      </c>
      <c r="K16" s="430">
        <f t="shared" si="10"/>
        <v>0.14732579676124116</v>
      </c>
      <c r="L16" s="206">
        <v>10</v>
      </c>
      <c r="M16" s="206">
        <v>200</v>
      </c>
      <c r="N16" s="209">
        <f t="shared" si="11"/>
        <v>3.9249999999999998</v>
      </c>
      <c r="O16" s="210">
        <f t="shared" si="6"/>
        <v>0.49062499999999998</v>
      </c>
      <c r="P16" s="109" t="str">
        <f t="shared" si="12"/>
        <v>Ø10a200</v>
      </c>
      <c r="Q16" s="110">
        <f>VLOOKUP(P16,'tra thep'!$E$11:$F$62,2,)</f>
        <v>3.93</v>
      </c>
      <c r="R16" s="78">
        <f t="shared" ref="R16:R20" si="14">M16/E16/1000</f>
        <v>2.5</v>
      </c>
    </row>
    <row r="17" spans="1:18" ht="17.5">
      <c r="A17" s="59"/>
      <c r="B17" s="975" t="str">
        <f>'momen 1p'!A13</f>
        <v>S6</v>
      </c>
      <c r="C17" s="203" t="s">
        <v>254</v>
      </c>
      <c r="D17" s="449">
        <f>'momen 1p'!H13*1</f>
        <v>0.16</v>
      </c>
      <c r="E17" s="448">
        <f>TH!$I$45/1000</f>
        <v>0.08</v>
      </c>
      <c r="F17" s="205">
        <v>1</v>
      </c>
      <c r="G17" s="205">
        <f t="shared" si="13"/>
        <v>850</v>
      </c>
      <c r="H17" s="205">
        <f>'SĐD_1 Phương'!$C$10</f>
        <v>28000</v>
      </c>
      <c r="I17" s="207">
        <f t="shared" si="8"/>
        <v>2.9411764705882353E-2</v>
      </c>
      <c r="J17" s="208">
        <f t="shared" si="9"/>
        <v>0.98507125007266594</v>
      </c>
      <c r="K17" s="430">
        <f t="shared" si="10"/>
        <v>7.2511071075622546E-2</v>
      </c>
      <c r="L17" s="206">
        <v>10</v>
      </c>
      <c r="M17" s="206">
        <v>200</v>
      </c>
      <c r="N17" s="209">
        <f t="shared" si="11"/>
        <v>3.9249999999999998</v>
      </c>
      <c r="O17" s="210">
        <f t="shared" si="6"/>
        <v>0.49062499999999998</v>
      </c>
      <c r="P17" s="109" t="str">
        <f t="shared" si="12"/>
        <v>Ø10a200</v>
      </c>
      <c r="Q17" s="110">
        <f>VLOOKUP(P17,'tra thep'!$E$11:$F$62,2,)</f>
        <v>3.93</v>
      </c>
      <c r="R17" s="78">
        <f t="shared" si="14"/>
        <v>2.5</v>
      </c>
    </row>
    <row r="18" spans="1:18" ht="17.5">
      <c r="A18" s="59"/>
      <c r="B18" s="976"/>
      <c r="C18" s="203" t="s">
        <v>256</v>
      </c>
      <c r="D18" s="449">
        <f>'momen 1p'!H14*1</f>
        <v>0.32</v>
      </c>
      <c r="E18" s="448">
        <f>TH!$I$45/1000</f>
        <v>0.08</v>
      </c>
      <c r="F18" s="205">
        <v>1</v>
      </c>
      <c r="G18" s="205">
        <f t="shared" si="13"/>
        <v>850</v>
      </c>
      <c r="H18" s="205">
        <f>'SĐD_1 Phương'!$C$10</f>
        <v>28000</v>
      </c>
      <c r="I18" s="207">
        <f t="shared" si="8"/>
        <v>5.8823529411764705E-2</v>
      </c>
      <c r="J18" s="208">
        <f t="shared" si="9"/>
        <v>0.96966821831386207</v>
      </c>
      <c r="K18" s="430">
        <f t="shared" si="10"/>
        <v>0.14732579676124116</v>
      </c>
      <c r="L18" s="206">
        <v>10</v>
      </c>
      <c r="M18" s="206">
        <v>200</v>
      </c>
      <c r="N18" s="209">
        <f t="shared" si="11"/>
        <v>3.9249999999999998</v>
      </c>
      <c r="O18" s="210">
        <f t="shared" si="6"/>
        <v>0.49062499999999998</v>
      </c>
      <c r="P18" s="109" t="str">
        <f t="shared" si="12"/>
        <v>Ø10a200</v>
      </c>
      <c r="Q18" s="110">
        <f>VLOOKUP(P18,'tra thep'!$E$11:$F$62,2,)</f>
        <v>3.93</v>
      </c>
      <c r="R18" s="78">
        <f t="shared" si="14"/>
        <v>2.5</v>
      </c>
    </row>
    <row r="19" spans="1:18" ht="17.5">
      <c r="A19" s="59"/>
      <c r="B19" s="975" t="str">
        <f>'momen 1p'!A15</f>
        <v>S7</v>
      </c>
      <c r="C19" s="203" t="s">
        <v>254</v>
      </c>
      <c r="D19" s="449">
        <f>'momen 1p'!H15*1</f>
        <v>0.16</v>
      </c>
      <c r="E19" s="448">
        <f>TH!$I$45/1000</f>
        <v>0.08</v>
      </c>
      <c r="F19" s="205">
        <v>1</v>
      </c>
      <c r="G19" s="205">
        <f t="shared" si="13"/>
        <v>850</v>
      </c>
      <c r="H19" s="205">
        <f>'SĐD_1 Phương'!$C$10</f>
        <v>28000</v>
      </c>
      <c r="I19" s="207">
        <f t="shared" si="8"/>
        <v>2.9411764705882353E-2</v>
      </c>
      <c r="J19" s="208">
        <f t="shared" si="9"/>
        <v>0.98507125007266594</v>
      </c>
      <c r="K19" s="430">
        <f t="shared" si="10"/>
        <v>7.2511071075622546E-2</v>
      </c>
      <c r="L19" s="206">
        <v>10</v>
      </c>
      <c r="M19" s="206">
        <v>200</v>
      </c>
      <c r="N19" s="209">
        <f t="shared" si="11"/>
        <v>3.9249999999999998</v>
      </c>
      <c r="O19" s="210">
        <f t="shared" si="6"/>
        <v>0.49062499999999998</v>
      </c>
      <c r="P19" s="109" t="str">
        <f t="shared" si="12"/>
        <v>Ø10a200</v>
      </c>
      <c r="Q19" s="110">
        <f>VLOOKUP(P19,'tra thep'!$E$11:$F$62,2,)</f>
        <v>3.93</v>
      </c>
      <c r="R19" s="78">
        <f t="shared" si="14"/>
        <v>2.5</v>
      </c>
    </row>
    <row r="20" spans="1:18" ht="17.5">
      <c r="A20" s="59"/>
      <c r="B20" s="976"/>
      <c r="C20" s="203" t="s">
        <v>256</v>
      </c>
      <c r="D20" s="449">
        <f>'momen 1p'!H16*1</f>
        <v>0.32</v>
      </c>
      <c r="E20" s="448">
        <f>TH!$I$45/1000</f>
        <v>0.08</v>
      </c>
      <c r="F20" s="205">
        <v>1</v>
      </c>
      <c r="G20" s="205">
        <f t="shared" si="13"/>
        <v>850</v>
      </c>
      <c r="H20" s="205">
        <f>'SĐD_1 Phương'!$C$10</f>
        <v>28000</v>
      </c>
      <c r="I20" s="207">
        <f t="shared" si="8"/>
        <v>5.8823529411764705E-2</v>
      </c>
      <c r="J20" s="208">
        <f t="shared" si="9"/>
        <v>0.96966821831386207</v>
      </c>
      <c r="K20" s="430">
        <f t="shared" si="10"/>
        <v>0.14732579676124116</v>
      </c>
      <c r="L20" s="206">
        <v>10</v>
      </c>
      <c r="M20" s="206">
        <v>200</v>
      </c>
      <c r="N20" s="209">
        <f t="shared" si="11"/>
        <v>3.9249999999999998</v>
      </c>
      <c r="O20" s="210">
        <f t="shared" si="6"/>
        <v>0.49062499999999998</v>
      </c>
      <c r="P20" s="109" t="str">
        <f t="shared" si="12"/>
        <v>Ø10a200</v>
      </c>
      <c r="Q20" s="110">
        <f>VLOOKUP(P20,'tra thep'!$E$11:$F$62,2,)</f>
        <v>3.93</v>
      </c>
      <c r="R20" s="78">
        <f t="shared" si="14"/>
        <v>2.5</v>
      </c>
    </row>
    <row r="21" spans="1:18" ht="17.5">
      <c r="A21" s="40"/>
      <c r="B21" s="975" t="s">
        <v>452</v>
      </c>
      <c r="C21" s="203" t="s">
        <v>254</v>
      </c>
      <c r="D21" s="449">
        <f>'momen 1p'!H17*1</f>
        <v>2.5599999999999994E-2</v>
      </c>
      <c r="E21" s="448">
        <f>TH!$I$45/1000</f>
        <v>0.08</v>
      </c>
      <c r="F21" s="205">
        <v>1</v>
      </c>
      <c r="G21" s="205">
        <f t="shared" si="13"/>
        <v>850</v>
      </c>
      <c r="H21" s="205">
        <f>'SĐD_1 Phương'!$C$10</f>
        <v>28000</v>
      </c>
      <c r="I21" s="207">
        <f t="shared" si="8"/>
        <v>4.7058823529411752E-3</v>
      </c>
      <c r="J21" s="208">
        <f t="shared" si="9"/>
        <v>0.99764149628374987</v>
      </c>
      <c r="K21" s="430">
        <f t="shared" si="10"/>
        <v>1.1455589478929315E-2</v>
      </c>
      <c r="L21" s="206">
        <v>10</v>
      </c>
      <c r="M21" s="206">
        <v>200</v>
      </c>
      <c r="N21" s="209">
        <f t="shared" si="11"/>
        <v>3.9249999999999998</v>
      </c>
      <c r="O21" s="210">
        <f t="shared" si="6"/>
        <v>0.49062499999999998</v>
      </c>
      <c r="P21" s="41"/>
      <c r="Q21" s="57"/>
      <c r="R21" s="41"/>
    </row>
    <row r="22" spans="1:18" ht="17.5">
      <c r="A22" s="40"/>
      <c r="B22" s="976"/>
      <c r="C22" s="203" t="s">
        <v>256</v>
      </c>
      <c r="D22" s="449">
        <f>'momen 1p'!H18*1</f>
        <v>5.1199999999999989E-2</v>
      </c>
      <c r="E22" s="448">
        <f>TH!$I$45/1000</f>
        <v>0.08</v>
      </c>
      <c r="F22" s="205">
        <v>1</v>
      </c>
      <c r="G22" s="205">
        <f t="shared" si="13"/>
        <v>850</v>
      </c>
      <c r="H22" s="205">
        <f>'SĐD_1 Phương'!$C$10</f>
        <v>28000</v>
      </c>
      <c r="I22" s="207">
        <f t="shared" si="8"/>
        <v>9.4117647058823504E-3</v>
      </c>
      <c r="J22" s="208">
        <f t="shared" si="9"/>
        <v>0.99527176140686524</v>
      </c>
      <c r="K22" s="430">
        <f>+D22/(H22*10*J22*E22)*10000</f>
        <v>2.2965730309511812E-2</v>
      </c>
      <c r="L22" s="206">
        <v>10</v>
      </c>
      <c r="M22" s="206">
        <v>200</v>
      </c>
      <c r="N22" s="209">
        <f t="shared" si="11"/>
        <v>3.9249999999999998</v>
      </c>
      <c r="O22" s="210">
        <f t="shared" si="6"/>
        <v>0.49062499999999998</v>
      </c>
      <c r="P22" s="41"/>
      <c r="Q22" s="57"/>
      <c r="R22" s="41"/>
    </row>
    <row r="23" spans="1:18" ht="17.5">
      <c r="A23" s="40"/>
      <c r="B23" s="975" t="s">
        <v>453</v>
      </c>
      <c r="C23" s="203" t="s">
        <v>254</v>
      </c>
      <c r="D23" s="449">
        <f>'momen 1p'!H19*1</f>
        <v>2.5599999999999994E-2</v>
      </c>
      <c r="E23" s="448">
        <f>TH!$I$45/1000</f>
        <v>0.08</v>
      </c>
      <c r="F23" s="205">
        <v>1</v>
      </c>
      <c r="G23" s="205">
        <f t="shared" si="13"/>
        <v>850</v>
      </c>
      <c r="H23" s="205">
        <f>'SĐD_1 Phương'!$C$10</f>
        <v>28000</v>
      </c>
      <c r="I23" s="207">
        <f t="shared" si="8"/>
        <v>4.7058823529411752E-3</v>
      </c>
      <c r="J23" s="208">
        <f t="shared" si="9"/>
        <v>0.99764149628374987</v>
      </c>
      <c r="K23" s="430">
        <f t="shared" ref="K23:K24" si="15">+D23/(H23*10*J23*E23)*10000</f>
        <v>1.1455589478929315E-2</v>
      </c>
      <c r="L23" s="206">
        <v>10</v>
      </c>
      <c r="M23" s="206">
        <v>200</v>
      </c>
      <c r="N23" s="209">
        <f t="shared" si="11"/>
        <v>3.9249999999999998</v>
      </c>
      <c r="O23" s="210">
        <f t="shared" si="6"/>
        <v>0.49062499999999998</v>
      </c>
      <c r="P23" s="41"/>
      <c r="Q23" s="57"/>
      <c r="R23" s="41"/>
    </row>
    <row r="24" spans="1:18" ht="17.5">
      <c r="A24" s="40"/>
      <c r="B24" s="976"/>
      <c r="C24" s="203" t="s">
        <v>256</v>
      </c>
      <c r="D24" s="449">
        <f>'momen 1p'!H20*1</f>
        <v>5.1199999999999989E-2</v>
      </c>
      <c r="E24" s="448">
        <f>TH!$I$45/1000</f>
        <v>0.08</v>
      </c>
      <c r="F24" s="205">
        <v>1</v>
      </c>
      <c r="G24" s="205">
        <f t="shared" si="13"/>
        <v>850</v>
      </c>
      <c r="H24" s="205">
        <f>'SĐD_1 Phương'!$C$10</f>
        <v>28000</v>
      </c>
      <c r="I24" s="207">
        <f t="shared" si="8"/>
        <v>9.4117647058823504E-3</v>
      </c>
      <c r="J24" s="208">
        <f t="shared" si="9"/>
        <v>0.99527176140686524</v>
      </c>
      <c r="K24" s="430">
        <f t="shared" si="15"/>
        <v>2.2965730309511812E-2</v>
      </c>
      <c r="L24" s="206">
        <v>10</v>
      </c>
      <c r="M24" s="206">
        <v>200</v>
      </c>
      <c r="N24" s="209">
        <f t="shared" si="11"/>
        <v>3.9249999999999998</v>
      </c>
      <c r="O24" s="210">
        <f t="shared" si="6"/>
        <v>0.49062499999999998</v>
      </c>
      <c r="P24" s="41"/>
      <c r="Q24" s="57"/>
      <c r="R24" s="41"/>
    </row>
    <row r="25" spans="1:18">
      <c r="A25" s="40"/>
      <c r="B25" s="41"/>
      <c r="C25" s="41"/>
      <c r="D25" s="41"/>
      <c r="E25" s="41"/>
      <c r="F25" s="41"/>
      <c r="G25" s="41"/>
      <c r="H25" s="41"/>
      <c r="I25" s="44"/>
      <c r="J25" s="41"/>
      <c r="K25" s="41"/>
      <c r="L25" s="41"/>
      <c r="M25" s="50"/>
      <c r="N25" s="41"/>
      <c r="O25" s="42"/>
      <c r="P25" s="41"/>
      <c r="Q25" s="57"/>
      <c r="R25" s="41"/>
    </row>
    <row r="26" spans="1:18">
      <c r="A26" s="40"/>
      <c r="B26" s="41"/>
      <c r="C26" s="41"/>
      <c r="D26" s="41"/>
      <c r="E26" s="41"/>
      <c r="F26" s="41"/>
      <c r="G26" s="41"/>
      <c r="H26" s="41"/>
      <c r="I26" s="44"/>
      <c r="J26" s="41"/>
      <c r="K26" s="41"/>
      <c r="L26" s="41"/>
      <c r="M26" s="41"/>
      <c r="N26" s="41"/>
      <c r="O26" s="42"/>
      <c r="P26" s="41"/>
      <c r="Q26" s="57"/>
      <c r="R26" s="41"/>
    </row>
    <row r="27" spans="1:18">
      <c r="A27" s="40"/>
      <c r="B27" s="41"/>
      <c r="C27" s="41"/>
      <c r="D27" s="41"/>
      <c r="E27" s="41"/>
      <c r="F27" s="41"/>
      <c r="G27" s="41"/>
      <c r="H27" s="41"/>
      <c r="I27" s="44"/>
      <c r="J27" s="41"/>
      <c r="K27" s="41"/>
      <c r="L27" s="41"/>
      <c r="M27" s="41"/>
      <c r="N27" s="41"/>
      <c r="O27" s="42"/>
      <c r="P27" s="41"/>
      <c r="Q27" s="57"/>
      <c r="R27" s="41"/>
    </row>
    <row r="28" spans="1:18">
      <c r="A28" s="40"/>
      <c r="B28" s="41"/>
      <c r="C28" s="41"/>
      <c r="D28" s="41"/>
      <c r="E28" s="41"/>
      <c r="F28" s="41"/>
      <c r="G28" s="41"/>
      <c r="H28" s="41"/>
      <c r="I28" s="44"/>
      <c r="J28" s="41"/>
      <c r="K28" s="41"/>
      <c r="L28" s="41"/>
      <c r="M28" s="41"/>
      <c r="N28" s="41"/>
      <c r="O28" s="42"/>
      <c r="P28" s="41"/>
      <c r="Q28" s="57"/>
      <c r="R28" s="41"/>
    </row>
    <row r="29" spans="1:18">
      <c r="A29" s="40"/>
      <c r="B29" s="41"/>
      <c r="C29" s="41"/>
      <c r="D29" s="41"/>
      <c r="E29" s="41"/>
      <c r="F29" s="41"/>
      <c r="G29" s="41"/>
      <c r="H29" s="41"/>
      <c r="I29" s="44"/>
      <c r="J29" s="41"/>
      <c r="K29" s="41"/>
      <c r="L29" s="41"/>
      <c r="M29" s="41"/>
      <c r="N29" s="41"/>
      <c r="O29" s="42"/>
      <c r="P29" s="41"/>
      <c r="Q29" s="57"/>
      <c r="R29" s="41"/>
    </row>
    <row r="30" spans="1:18">
      <c r="A30" s="40"/>
      <c r="B30" s="41"/>
      <c r="C30" s="41"/>
      <c r="D30" s="41"/>
      <c r="E30" s="41"/>
      <c r="F30" s="41"/>
      <c r="G30" s="41"/>
      <c r="H30" s="41"/>
      <c r="I30" s="44"/>
      <c r="J30" s="41"/>
      <c r="K30" s="41"/>
      <c r="L30" s="41"/>
      <c r="M30" s="41"/>
      <c r="N30" s="41"/>
      <c r="O30" s="42"/>
      <c r="P30" s="41"/>
      <c r="Q30" s="57"/>
      <c r="R30" s="41"/>
    </row>
    <row r="31" spans="1:18">
      <c r="A31" s="40"/>
      <c r="B31" s="41"/>
      <c r="C31" s="41"/>
      <c r="D31" s="41"/>
      <c r="E31" s="41"/>
      <c r="F31" s="41"/>
      <c r="G31" s="41"/>
      <c r="H31" s="41"/>
      <c r="I31" s="44"/>
      <c r="J31" s="41"/>
      <c r="K31" s="41"/>
      <c r="L31" s="41"/>
      <c r="M31" s="41"/>
      <c r="N31" s="41"/>
      <c r="O31" s="42"/>
      <c r="P31" s="41"/>
      <c r="Q31" s="57"/>
      <c r="R31" s="41"/>
    </row>
    <row r="32" spans="1:18">
      <c r="A32" s="40"/>
      <c r="B32" s="41"/>
      <c r="C32" s="41"/>
      <c r="D32" s="41"/>
      <c r="E32" s="41"/>
      <c r="F32" s="41"/>
      <c r="G32" s="41"/>
      <c r="H32" s="41"/>
      <c r="I32" s="44"/>
      <c r="J32" s="41"/>
      <c r="K32" s="41"/>
      <c r="L32" s="41"/>
      <c r="M32" s="41"/>
      <c r="N32" s="41"/>
      <c r="O32" s="42"/>
      <c r="P32" s="41"/>
      <c r="Q32" s="57"/>
      <c r="R32" s="41"/>
    </row>
    <row r="33" spans="1:18">
      <c r="A33" s="40"/>
      <c r="B33" s="41"/>
      <c r="C33" s="41"/>
      <c r="D33" s="41"/>
      <c r="E33" s="41"/>
      <c r="F33" s="41"/>
      <c r="G33" s="41"/>
      <c r="H33" s="41"/>
      <c r="I33" s="44"/>
      <c r="J33" s="41"/>
      <c r="K33" s="41"/>
      <c r="L33" s="41"/>
      <c r="M33" s="41"/>
      <c r="N33" s="41"/>
      <c r="O33" s="42"/>
      <c r="P33" s="41"/>
      <c r="Q33" s="57"/>
      <c r="R33" s="41"/>
    </row>
    <row r="34" spans="1:18">
      <c r="A34" s="40"/>
      <c r="B34" s="41"/>
      <c r="C34" s="41"/>
      <c r="D34" s="41"/>
      <c r="E34" s="41"/>
      <c r="F34" s="41"/>
      <c r="G34" s="41"/>
      <c r="H34" s="41"/>
      <c r="I34" s="44"/>
      <c r="J34" s="41"/>
      <c r="K34" s="41"/>
      <c r="L34" s="41"/>
      <c r="M34" s="41"/>
      <c r="N34" s="41"/>
      <c r="O34" s="42"/>
      <c r="P34" s="41"/>
      <c r="Q34" s="57"/>
      <c r="R34" s="41"/>
    </row>
    <row r="35" spans="1:18">
      <c r="A35" s="40"/>
      <c r="B35" s="41"/>
      <c r="C35" s="41"/>
      <c r="D35" s="41"/>
      <c r="E35" s="41"/>
      <c r="F35" s="41"/>
      <c r="G35" s="41"/>
      <c r="H35" s="41"/>
      <c r="I35" s="44"/>
      <c r="J35" s="41"/>
      <c r="K35" s="41"/>
      <c r="L35" s="41"/>
      <c r="M35" s="41"/>
      <c r="N35" s="41"/>
      <c r="O35" s="42"/>
      <c r="P35" s="41"/>
      <c r="Q35" s="57"/>
      <c r="R35" s="41"/>
    </row>
    <row r="36" spans="1:18">
      <c r="A36" s="40"/>
      <c r="B36" s="41"/>
      <c r="C36" s="41"/>
      <c r="D36" s="41"/>
      <c r="E36" s="41"/>
      <c r="F36" s="41"/>
      <c r="G36" s="41"/>
      <c r="H36" s="41"/>
      <c r="I36" s="44"/>
      <c r="J36" s="41"/>
      <c r="K36" s="41"/>
      <c r="L36" s="41"/>
      <c r="M36" s="41"/>
      <c r="N36" s="41"/>
      <c r="O36" s="42"/>
      <c r="P36" s="41"/>
      <c r="Q36" s="57"/>
      <c r="R36" s="41"/>
    </row>
    <row r="37" spans="1:18">
      <c r="A37" s="40"/>
      <c r="B37" s="41"/>
      <c r="C37" s="41"/>
      <c r="D37" s="41"/>
      <c r="E37" s="41"/>
      <c r="F37" s="41"/>
      <c r="G37" s="41"/>
      <c r="H37" s="41"/>
      <c r="I37" s="44"/>
      <c r="J37" s="41"/>
      <c r="K37" s="41"/>
      <c r="L37" s="41"/>
      <c r="M37" s="41"/>
      <c r="N37" s="41"/>
      <c r="O37" s="42"/>
      <c r="P37" s="41"/>
      <c r="Q37" s="57"/>
      <c r="R37" s="41"/>
    </row>
    <row r="38" spans="1:18">
      <c r="A38" s="40"/>
      <c r="B38" s="41"/>
      <c r="C38" s="41"/>
      <c r="D38" s="41"/>
      <c r="E38" s="41"/>
      <c r="F38" s="41"/>
      <c r="G38" s="41"/>
      <c r="H38" s="41"/>
      <c r="I38" s="44"/>
      <c r="J38" s="41"/>
      <c r="K38" s="41"/>
      <c r="L38" s="41"/>
      <c r="M38" s="41"/>
      <c r="N38" s="41"/>
      <c r="O38" s="42"/>
      <c r="P38" s="41"/>
      <c r="Q38" s="57"/>
      <c r="R38" s="41"/>
    </row>
    <row r="39" spans="1:18">
      <c r="A39" s="40"/>
      <c r="B39" s="41"/>
      <c r="C39" s="41"/>
      <c r="D39" s="41"/>
      <c r="E39" s="41"/>
      <c r="F39" s="41"/>
      <c r="G39" s="41"/>
      <c r="H39" s="41"/>
      <c r="I39" s="44"/>
      <c r="J39" s="41"/>
      <c r="K39" s="41"/>
      <c r="L39" s="41"/>
      <c r="M39" s="41"/>
      <c r="N39" s="41"/>
      <c r="O39" s="42"/>
      <c r="P39" s="41"/>
      <c r="Q39" s="57"/>
      <c r="R39" s="41"/>
    </row>
    <row r="40" spans="1:18">
      <c r="A40" s="40"/>
      <c r="B40" s="41"/>
      <c r="C40" s="41"/>
      <c r="D40" s="41"/>
      <c r="E40" s="41"/>
      <c r="F40" s="41"/>
      <c r="G40" s="41"/>
      <c r="H40" s="41"/>
      <c r="I40" s="44"/>
      <c r="J40" s="41"/>
      <c r="K40" s="41"/>
      <c r="L40" s="41"/>
      <c r="M40" s="41"/>
      <c r="N40" s="41"/>
      <c r="O40" s="42"/>
      <c r="P40" s="41"/>
      <c r="Q40" s="57"/>
      <c r="R40" s="41"/>
    </row>
    <row r="41" spans="1:18">
      <c r="A41" s="40"/>
      <c r="B41" s="41"/>
      <c r="C41" s="41"/>
      <c r="D41" s="41"/>
      <c r="E41" s="41"/>
      <c r="F41" s="41"/>
      <c r="G41" s="41"/>
      <c r="H41" s="41"/>
      <c r="I41" s="44"/>
      <c r="J41" s="41"/>
      <c r="K41" s="41"/>
      <c r="L41" s="41"/>
      <c r="M41" s="41"/>
      <c r="N41" s="41"/>
      <c r="O41" s="42"/>
      <c r="P41" s="41"/>
      <c r="Q41" s="57"/>
      <c r="R41" s="41"/>
    </row>
    <row r="42" spans="1:18">
      <c r="A42" s="40"/>
      <c r="B42" s="41"/>
      <c r="C42" s="41"/>
      <c r="D42" s="41"/>
      <c r="E42" s="41"/>
      <c r="F42" s="41"/>
      <c r="G42" s="41"/>
      <c r="H42" s="41"/>
      <c r="I42" s="44"/>
      <c r="J42" s="41"/>
      <c r="K42" s="41"/>
      <c r="L42" s="41"/>
      <c r="M42" s="41"/>
      <c r="N42" s="41"/>
      <c r="O42" s="42"/>
      <c r="P42" s="41"/>
      <c r="Q42" s="57"/>
      <c r="R42" s="41"/>
    </row>
    <row r="43" spans="1:18">
      <c r="A43" s="40"/>
      <c r="B43" s="41"/>
      <c r="C43" s="41"/>
      <c r="D43" s="41"/>
      <c r="E43" s="41"/>
      <c r="F43" s="41"/>
      <c r="G43" s="41"/>
      <c r="H43" s="41"/>
      <c r="I43" s="44"/>
      <c r="J43" s="41"/>
      <c r="K43" s="41"/>
      <c r="L43" s="41"/>
      <c r="M43" s="41"/>
      <c r="N43" s="41"/>
      <c r="O43" s="42"/>
      <c r="P43" s="41"/>
      <c r="Q43" s="57"/>
      <c r="R43" s="41"/>
    </row>
    <row r="44" spans="1:18">
      <c r="A44" s="40"/>
      <c r="B44" s="41"/>
      <c r="C44" s="41"/>
      <c r="D44" s="41"/>
      <c r="E44" s="41"/>
      <c r="F44" s="41"/>
      <c r="G44" s="41"/>
      <c r="H44" s="41"/>
      <c r="I44" s="44"/>
      <c r="J44" s="41"/>
      <c r="K44" s="41"/>
      <c r="L44" s="41"/>
      <c r="M44" s="41"/>
      <c r="N44" s="41"/>
      <c r="O44" s="42"/>
      <c r="P44" s="41"/>
      <c r="Q44" s="57"/>
      <c r="R44" s="41"/>
    </row>
    <row r="45" spans="1:18">
      <c r="A45" s="40"/>
      <c r="B45" s="41"/>
      <c r="C45" s="41"/>
      <c r="D45" s="41"/>
      <c r="E45" s="41"/>
      <c r="F45" s="41"/>
      <c r="G45" s="41"/>
      <c r="H45" s="41"/>
      <c r="I45" s="44"/>
      <c r="J45" s="41"/>
      <c r="K45" s="41"/>
      <c r="L45" s="41"/>
      <c r="M45" s="41"/>
      <c r="N45" s="41"/>
      <c r="O45" s="42"/>
      <c r="P45" s="41"/>
      <c r="Q45" s="57"/>
      <c r="R45" s="41"/>
    </row>
    <row r="46" spans="1:18">
      <c r="A46" s="40"/>
      <c r="B46" s="40"/>
      <c r="C46" s="40"/>
      <c r="D46" s="40"/>
      <c r="E46" s="40"/>
      <c r="F46" s="40"/>
      <c r="G46" s="40"/>
      <c r="H46" s="40"/>
      <c r="I46" s="43"/>
      <c r="J46" s="40"/>
      <c r="K46" s="40"/>
      <c r="L46" s="40"/>
      <c r="M46" s="40"/>
      <c r="N46" s="40"/>
      <c r="O46" s="39"/>
      <c r="P46" s="40"/>
      <c r="Q46" s="51"/>
      <c r="R46" s="40"/>
    </row>
    <row r="47" spans="1:18">
      <c r="A47" s="40"/>
      <c r="B47" s="40"/>
      <c r="C47" s="40"/>
      <c r="D47" s="40"/>
      <c r="E47" s="40"/>
      <c r="F47" s="40"/>
      <c r="G47" s="40"/>
      <c r="H47" s="40"/>
      <c r="I47" s="43"/>
      <c r="J47" s="40"/>
      <c r="K47" s="40"/>
      <c r="L47" s="40"/>
      <c r="M47" s="40"/>
      <c r="N47" s="40"/>
      <c r="O47" s="39"/>
      <c r="P47" s="40"/>
      <c r="Q47" s="51"/>
      <c r="R47" s="40"/>
    </row>
    <row r="48" spans="1:18">
      <c r="A48" s="40"/>
      <c r="B48" s="40"/>
      <c r="C48" s="40"/>
      <c r="D48" s="40"/>
      <c r="E48" s="40"/>
      <c r="F48" s="40"/>
      <c r="G48" s="40"/>
      <c r="H48" s="40"/>
      <c r="I48" s="43"/>
      <c r="J48" s="40"/>
      <c r="K48" s="40"/>
      <c r="L48" s="40"/>
      <c r="M48" s="40"/>
      <c r="N48" s="40"/>
      <c r="O48" s="39"/>
      <c r="P48" s="40"/>
      <c r="Q48" s="51"/>
      <c r="R48" s="40"/>
    </row>
    <row r="49" spans="1:18">
      <c r="A49" s="40"/>
      <c r="B49" s="40"/>
      <c r="C49" s="40"/>
      <c r="D49" s="40"/>
      <c r="E49" s="40"/>
      <c r="F49" s="40"/>
      <c r="G49" s="40"/>
      <c r="H49" s="40"/>
      <c r="I49" s="43"/>
      <c r="J49" s="40"/>
      <c r="K49" s="40"/>
      <c r="L49" s="40"/>
      <c r="M49" s="40"/>
      <c r="N49" s="40"/>
      <c r="O49" s="39"/>
      <c r="P49" s="40"/>
      <c r="Q49" s="51"/>
      <c r="R49" s="40"/>
    </row>
    <row r="50" spans="1:18">
      <c r="A50" s="40"/>
      <c r="B50" s="40"/>
      <c r="C50" s="40"/>
      <c r="D50" s="40"/>
      <c r="E50" s="40"/>
      <c r="F50" s="40"/>
      <c r="G50" s="40"/>
      <c r="H50" s="40"/>
      <c r="I50" s="43"/>
      <c r="J50" s="40"/>
      <c r="K50" s="40"/>
      <c r="L50" s="40"/>
      <c r="M50" s="40"/>
      <c r="N50" s="40"/>
      <c r="O50" s="39"/>
      <c r="P50" s="40"/>
      <c r="Q50" s="51"/>
      <c r="R50" s="40"/>
    </row>
    <row r="51" spans="1:18">
      <c r="A51" s="40"/>
      <c r="B51" s="40"/>
      <c r="C51" s="40"/>
      <c r="D51" s="40"/>
      <c r="E51" s="40"/>
      <c r="F51" s="40"/>
      <c r="G51" s="40"/>
      <c r="H51" s="40"/>
      <c r="I51" s="43"/>
      <c r="J51" s="40"/>
      <c r="K51" s="40"/>
      <c r="L51" s="40"/>
      <c r="M51" s="40"/>
      <c r="N51" s="40"/>
      <c r="O51" s="39"/>
      <c r="P51" s="40"/>
      <c r="Q51" s="51"/>
      <c r="R51" s="40"/>
    </row>
    <row r="52" spans="1:18">
      <c r="A52" s="40"/>
      <c r="B52" s="40"/>
      <c r="C52" s="40"/>
      <c r="D52" s="40"/>
      <c r="E52" s="40"/>
      <c r="F52" s="40"/>
      <c r="G52" s="40"/>
      <c r="H52" s="40"/>
      <c r="I52" s="43"/>
      <c r="J52" s="40"/>
      <c r="K52" s="40"/>
      <c r="L52" s="40"/>
      <c r="M52" s="40"/>
      <c r="N52" s="40"/>
      <c r="O52" s="39"/>
      <c r="P52" s="40"/>
      <c r="Q52" s="51"/>
      <c r="R52" s="40"/>
    </row>
    <row r="53" spans="1:18">
      <c r="A53" s="40"/>
      <c r="B53" s="40"/>
      <c r="C53" s="40"/>
      <c r="D53" s="40"/>
      <c r="E53" s="40"/>
      <c r="F53" s="40"/>
      <c r="G53" s="40"/>
      <c r="H53" s="40"/>
      <c r="I53" s="43"/>
      <c r="J53" s="40"/>
      <c r="K53" s="40"/>
      <c r="L53" s="40"/>
      <c r="M53" s="40"/>
      <c r="N53" s="40"/>
      <c r="O53" s="39"/>
      <c r="P53" s="40"/>
      <c r="Q53" s="51"/>
      <c r="R53" s="40"/>
    </row>
    <row r="54" spans="1:18">
      <c r="A54" s="40"/>
      <c r="B54" s="40"/>
      <c r="C54" s="40"/>
      <c r="D54" s="40"/>
      <c r="E54" s="40"/>
      <c r="F54" s="40"/>
      <c r="G54" s="40"/>
      <c r="H54" s="40"/>
      <c r="I54" s="43"/>
      <c r="J54" s="40"/>
      <c r="K54" s="40"/>
      <c r="L54" s="40"/>
      <c r="M54" s="40"/>
      <c r="N54" s="40"/>
      <c r="O54" s="39"/>
      <c r="P54" s="40"/>
      <c r="Q54" s="51"/>
      <c r="R54" s="40"/>
    </row>
    <row r="55" spans="1:18">
      <c r="A55" s="40"/>
      <c r="B55" s="40"/>
      <c r="C55" s="40"/>
      <c r="D55" s="40"/>
      <c r="E55" s="40"/>
      <c r="F55" s="40"/>
      <c r="G55" s="40"/>
      <c r="H55" s="40"/>
      <c r="I55" s="43"/>
      <c r="J55" s="40"/>
      <c r="K55" s="40"/>
      <c r="L55" s="40"/>
      <c r="M55" s="40"/>
      <c r="N55" s="40"/>
      <c r="O55" s="39"/>
      <c r="P55" s="40"/>
      <c r="Q55" s="51"/>
      <c r="R55" s="40"/>
    </row>
    <row r="56" spans="1:18">
      <c r="A56" s="40"/>
      <c r="B56" s="40"/>
      <c r="C56" s="40"/>
      <c r="D56" s="40"/>
      <c r="E56" s="40"/>
      <c r="F56" s="40"/>
      <c r="G56" s="40"/>
      <c r="H56" s="40"/>
      <c r="I56" s="43"/>
      <c r="J56" s="40"/>
      <c r="K56" s="40"/>
      <c r="L56" s="40"/>
      <c r="M56" s="40"/>
      <c r="N56" s="40"/>
      <c r="O56" s="39"/>
      <c r="P56" s="40"/>
      <c r="Q56" s="51"/>
      <c r="R56" s="40"/>
    </row>
    <row r="57" spans="1:18">
      <c r="A57" s="40"/>
      <c r="B57" s="40"/>
      <c r="C57" s="40"/>
      <c r="D57" s="40"/>
      <c r="E57" s="40"/>
      <c r="F57" s="40"/>
      <c r="G57" s="40"/>
      <c r="H57" s="40"/>
      <c r="I57" s="43"/>
      <c r="J57" s="40"/>
      <c r="K57" s="40"/>
      <c r="L57" s="40"/>
      <c r="M57" s="40"/>
      <c r="N57" s="40"/>
      <c r="O57" s="39"/>
      <c r="P57" s="40"/>
      <c r="Q57" s="51"/>
      <c r="R57" s="40"/>
    </row>
    <row r="58" spans="1:18">
      <c r="A58" s="40"/>
      <c r="B58" s="40"/>
      <c r="C58" s="40"/>
      <c r="D58" s="40"/>
      <c r="E58" s="40"/>
      <c r="F58" s="40"/>
      <c r="G58" s="40"/>
      <c r="H58" s="40"/>
      <c r="I58" s="43"/>
      <c r="J58" s="40"/>
      <c r="K58" s="40"/>
      <c r="L58" s="40"/>
      <c r="M58" s="40"/>
      <c r="N58" s="40"/>
      <c r="O58" s="39"/>
      <c r="P58" s="40"/>
      <c r="Q58" s="51"/>
      <c r="R58" s="40"/>
    </row>
    <row r="59" spans="1:18">
      <c r="A59" s="40"/>
      <c r="B59" s="40"/>
      <c r="C59" s="40"/>
      <c r="D59" s="40"/>
      <c r="E59" s="40"/>
      <c r="F59" s="40"/>
      <c r="G59" s="40"/>
      <c r="H59" s="40"/>
      <c r="I59" s="43"/>
      <c r="J59" s="40"/>
      <c r="K59" s="40"/>
      <c r="L59" s="40"/>
      <c r="M59" s="40"/>
      <c r="N59" s="40"/>
      <c r="O59" s="39"/>
      <c r="P59" s="40"/>
      <c r="Q59" s="51"/>
      <c r="R59" s="40"/>
    </row>
    <row r="60" spans="1:18">
      <c r="A60" s="40"/>
      <c r="B60" s="40"/>
      <c r="C60" s="40"/>
      <c r="D60" s="40"/>
      <c r="E60" s="40"/>
      <c r="F60" s="40"/>
      <c r="G60" s="40"/>
      <c r="H60" s="40"/>
      <c r="I60" s="43"/>
      <c r="J60" s="40"/>
      <c r="K60" s="40"/>
      <c r="L60" s="40"/>
      <c r="M60" s="40"/>
      <c r="N60" s="40"/>
      <c r="O60" s="39"/>
      <c r="P60" s="40"/>
      <c r="Q60" s="51"/>
      <c r="R60" s="40"/>
    </row>
  </sheetData>
  <mergeCells count="9">
    <mergeCell ref="B21:B22"/>
    <mergeCell ref="B23:B24"/>
    <mergeCell ref="C8:C9"/>
    <mergeCell ref="B8:B9"/>
    <mergeCell ref="B15:B16"/>
    <mergeCell ref="B17:B18"/>
    <mergeCell ref="B19:B20"/>
    <mergeCell ref="B11:B12"/>
    <mergeCell ref="B13:B14"/>
  </mergeCells>
  <conditionalFormatting sqref="N15:N20">
    <cfRule type="cellIs" dxfId="17" priority="12" operator="lessThan">
      <formula>$K$15</formula>
    </cfRule>
  </conditionalFormatting>
  <conditionalFormatting sqref="N16">
    <cfRule type="cellIs" dxfId="16" priority="10" operator="lessThan">
      <formula>$K$16</formula>
    </cfRule>
  </conditionalFormatting>
  <conditionalFormatting sqref="N17">
    <cfRule type="cellIs" dxfId="15" priority="9" operator="lessThan">
      <formula>$K$17</formula>
    </cfRule>
  </conditionalFormatting>
  <conditionalFormatting sqref="N21:N22">
    <cfRule type="cellIs" dxfId="14" priority="8" operator="lessThan">
      <formula>$K$15</formula>
    </cfRule>
  </conditionalFormatting>
  <conditionalFormatting sqref="N23:N24">
    <cfRule type="cellIs" dxfId="13" priority="7" operator="lessThan">
      <formula>$K$15</formula>
    </cfRule>
  </conditionalFormatting>
  <conditionalFormatting sqref="N11:N14">
    <cfRule type="cellIs" dxfId="12" priority="3" operator="lessThan">
      <formula>$K$15</formula>
    </cfRule>
  </conditionalFormatting>
  <conditionalFormatting sqref="N12">
    <cfRule type="cellIs" dxfId="11" priority="2" operator="lessThan">
      <formula>$K$16</formula>
    </cfRule>
  </conditionalFormatting>
  <conditionalFormatting sqref="N13">
    <cfRule type="cellIs" dxfId="10" priority="1" operator="lessThan">
      <formula>$K$17</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A30DF-C570-4266-AF9A-B9730CD2FB55}">
  <sheetPr codeName="Sheet3"/>
  <dimension ref="A1:I65"/>
  <sheetViews>
    <sheetView workbookViewId="0">
      <selection activeCell="C10" sqref="C10"/>
    </sheetView>
  </sheetViews>
  <sheetFormatPr defaultColWidth="8.83203125" defaultRowHeight="14"/>
  <cols>
    <col min="1" max="1" width="16" style="434" customWidth="1"/>
    <col min="2" max="2" width="13" style="434" customWidth="1"/>
    <col min="3" max="3" width="13.33203125" style="434" customWidth="1"/>
    <col min="4" max="4" width="17.4140625" style="434" bestFit="1" customWidth="1"/>
    <col min="5" max="7" width="9.08203125" style="434"/>
    <col min="8" max="8" width="21.83203125" style="434" customWidth="1"/>
    <col min="9" max="256" width="9.08203125" style="434"/>
    <col min="257" max="257" width="16" style="434" customWidth="1"/>
    <col min="258" max="258" width="13" style="434" customWidth="1"/>
    <col min="259" max="259" width="13.33203125" style="434" customWidth="1"/>
    <col min="260" max="260" width="17.4140625" style="434" bestFit="1" customWidth="1"/>
    <col min="261" max="263" width="9.08203125" style="434"/>
    <col min="264" max="264" width="21.83203125" style="434" customWidth="1"/>
    <col min="265" max="512" width="9.08203125" style="434"/>
    <col min="513" max="513" width="16" style="434" customWidth="1"/>
    <col min="514" max="514" width="13" style="434" customWidth="1"/>
    <col min="515" max="515" width="13.33203125" style="434" customWidth="1"/>
    <col min="516" max="516" width="17.4140625" style="434" bestFit="1" customWidth="1"/>
    <col min="517" max="519" width="9.08203125" style="434"/>
    <col min="520" max="520" width="21.83203125" style="434" customWidth="1"/>
    <col min="521" max="768" width="9.08203125" style="434"/>
    <col min="769" max="769" width="16" style="434" customWidth="1"/>
    <col min="770" max="770" width="13" style="434" customWidth="1"/>
    <col min="771" max="771" width="13.33203125" style="434" customWidth="1"/>
    <col min="772" max="772" width="17.4140625" style="434" bestFit="1" customWidth="1"/>
    <col min="773" max="775" width="9.08203125" style="434"/>
    <col min="776" max="776" width="21.83203125" style="434" customWidth="1"/>
    <col min="777" max="1024" width="9.08203125" style="434"/>
    <col min="1025" max="1025" width="16" style="434" customWidth="1"/>
    <col min="1026" max="1026" width="13" style="434" customWidth="1"/>
    <col min="1027" max="1027" width="13.33203125" style="434" customWidth="1"/>
    <col min="1028" max="1028" width="17.4140625" style="434" bestFit="1" customWidth="1"/>
    <col min="1029" max="1031" width="9.08203125" style="434"/>
    <col min="1032" max="1032" width="21.83203125" style="434" customWidth="1"/>
    <col min="1033" max="1280" width="9.08203125" style="434"/>
    <col min="1281" max="1281" width="16" style="434" customWidth="1"/>
    <col min="1282" max="1282" width="13" style="434" customWidth="1"/>
    <col min="1283" max="1283" width="13.33203125" style="434" customWidth="1"/>
    <col min="1284" max="1284" width="17.4140625" style="434" bestFit="1" customWidth="1"/>
    <col min="1285" max="1287" width="9.08203125" style="434"/>
    <col min="1288" max="1288" width="21.83203125" style="434" customWidth="1"/>
    <col min="1289" max="1536" width="9.08203125" style="434"/>
    <col min="1537" max="1537" width="16" style="434" customWidth="1"/>
    <col min="1538" max="1538" width="13" style="434" customWidth="1"/>
    <col min="1539" max="1539" width="13.33203125" style="434" customWidth="1"/>
    <col min="1540" max="1540" width="17.4140625" style="434" bestFit="1" customWidth="1"/>
    <col min="1541" max="1543" width="9.08203125" style="434"/>
    <col min="1544" max="1544" width="21.83203125" style="434" customWidth="1"/>
    <col min="1545" max="1792" width="9.08203125" style="434"/>
    <col min="1793" max="1793" width="16" style="434" customWidth="1"/>
    <col min="1794" max="1794" width="13" style="434" customWidth="1"/>
    <col min="1795" max="1795" width="13.33203125" style="434" customWidth="1"/>
    <col min="1796" max="1796" width="17.4140625" style="434" bestFit="1" customWidth="1"/>
    <col min="1797" max="1799" width="9.08203125" style="434"/>
    <col min="1800" max="1800" width="21.83203125" style="434" customWidth="1"/>
    <col min="1801" max="2048" width="9.08203125" style="434"/>
    <col min="2049" max="2049" width="16" style="434" customWidth="1"/>
    <col min="2050" max="2050" width="13" style="434" customWidth="1"/>
    <col min="2051" max="2051" width="13.33203125" style="434" customWidth="1"/>
    <col min="2052" max="2052" width="17.4140625" style="434" bestFit="1" customWidth="1"/>
    <col min="2053" max="2055" width="9.08203125" style="434"/>
    <col min="2056" max="2056" width="21.83203125" style="434" customWidth="1"/>
    <col min="2057" max="2304" width="9.08203125" style="434"/>
    <col min="2305" max="2305" width="16" style="434" customWidth="1"/>
    <col min="2306" max="2306" width="13" style="434" customWidth="1"/>
    <col min="2307" max="2307" width="13.33203125" style="434" customWidth="1"/>
    <col min="2308" max="2308" width="17.4140625" style="434" bestFit="1" customWidth="1"/>
    <col min="2309" max="2311" width="9.08203125" style="434"/>
    <col min="2312" max="2312" width="21.83203125" style="434" customWidth="1"/>
    <col min="2313" max="2560" width="9.08203125" style="434"/>
    <col min="2561" max="2561" width="16" style="434" customWidth="1"/>
    <col min="2562" max="2562" width="13" style="434" customWidth="1"/>
    <col min="2563" max="2563" width="13.33203125" style="434" customWidth="1"/>
    <col min="2564" max="2564" width="17.4140625" style="434" bestFit="1" customWidth="1"/>
    <col min="2565" max="2567" width="9.08203125" style="434"/>
    <col min="2568" max="2568" width="21.83203125" style="434" customWidth="1"/>
    <col min="2569" max="2816" width="9.08203125" style="434"/>
    <col min="2817" max="2817" width="16" style="434" customWidth="1"/>
    <col min="2818" max="2818" width="13" style="434" customWidth="1"/>
    <col min="2819" max="2819" width="13.33203125" style="434" customWidth="1"/>
    <col min="2820" max="2820" width="17.4140625" style="434" bestFit="1" customWidth="1"/>
    <col min="2821" max="2823" width="9.08203125" style="434"/>
    <col min="2824" max="2824" width="21.83203125" style="434" customWidth="1"/>
    <col min="2825" max="3072" width="9.08203125" style="434"/>
    <col min="3073" max="3073" width="16" style="434" customWidth="1"/>
    <col min="3074" max="3074" width="13" style="434" customWidth="1"/>
    <col min="3075" max="3075" width="13.33203125" style="434" customWidth="1"/>
    <col min="3076" max="3076" width="17.4140625" style="434" bestFit="1" customWidth="1"/>
    <col min="3077" max="3079" width="9.08203125" style="434"/>
    <col min="3080" max="3080" width="21.83203125" style="434" customWidth="1"/>
    <col min="3081" max="3328" width="9.08203125" style="434"/>
    <col min="3329" max="3329" width="16" style="434" customWidth="1"/>
    <col min="3330" max="3330" width="13" style="434" customWidth="1"/>
    <col min="3331" max="3331" width="13.33203125" style="434" customWidth="1"/>
    <col min="3332" max="3332" width="17.4140625" style="434" bestFit="1" customWidth="1"/>
    <col min="3333" max="3335" width="9.08203125" style="434"/>
    <col min="3336" max="3336" width="21.83203125" style="434" customWidth="1"/>
    <col min="3337" max="3584" width="9.08203125" style="434"/>
    <col min="3585" max="3585" width="16" style="434" customWidth="1"/>
    <col min="3586" max="3586" width="13" style="434" customWidth="1"/>
    <col min="3587" max="3587" width="13.33203125" style="434" customWidth="1"/>
    <col min="3588" max="3588" width="17.4140625" style="434" bestFit="1" customWidth="1"/>
    <col min="3589" max="3591" width="9.08203125" style="434"/>
    <col min="3592" max="3592" width="21.83203125" style="434" customWidth="1"/>
    <col min="3593" max="3840" width="9.08203125" style="434"/>
    <col min="3841" max="3841" width="16" style="434" customWidth="1"/>
    <col min="3842" max="3842" width="13" style="434" customWidth="1"/>
    <col min="3843" max="3843" width="13.33203125" style="434" customWidth="1"/>
    <col min="3844" max="3844" width="17.4140625" style="434" bestFit="1" customWidth="1"/>
    <col min="3845" max="3847" width="9.08203125" style="434"/>
    <col min="3848" max="3848" width="21.83203125" style="434" customWidth="1"/>
    <col min="3849" max="4096" width="9.08203125" style="434"/>
    <col min="4097" max="4097" width="16" style="434" customWidth="1"/>
    <col min="4098" max="4098" width="13" style="434" customWidth="1"/>
    <col min="4099" max="4099" width="13.33203125" style="434" customWidth="1"/>
    <col min="4100" max="4100" width="17.4140625" style="434" bestFit="1" customWidth="1"/>
    <col min="4101" max="4103" width="9.08203125" style="434"/>
    <col min="4104" max="4104" width="21.83203125" style="434" customWidth="1"/>
    <col min="4105" max="4352" width="9.08203125" style="434"/>
    <col min="4353" max="4353" width="16" style="434" customWidth="1"/>
    <col min="4354" max="4354" width="13" style="434" customWidth="1"/>
    <col min="4355" max="4355" width="13.33203125" style="434" customWidth="1"/>
    <col min="4356" max="4356" width="17.4140625" style="434" bestFit="1" customWidth="1"/>
    <col min="4357" max="4359" width="9.08203125" style="434"/>
    <col min="4360" max="4360" width="21.83203125" style="434" customWidth="1"/>
    <col min="4361" max="4608" width="9.08203125" style="434"/>
    <col min="4609" max="4609" width="16" style="434" customWidth="1"/>
    <col min="4610" max="4610" width="13" style="434" customWidth="1"/>
    <col min="4611" max="4611" width="13.33203125" style="434" customWidth="1"/>
    <col min="4612" max="4612" width="17.4140625" style="434" bestFit="1" customWidth="1"/>
    <col min="4613" max="4615" width="9.08203125" style="434"/>
    <col min="4616" max="4616" width="21.83203125" style="434" customWidth="1"/>
    <col min="4617" max="4864" width="9.08203125" style="434"/>
    <col min="4865" max="4865" width="16" style="434" customWidth="1"/>
    <col min="4866" max="4866" width="13" style="434" customWidth="1"/>
    <col min="4867" max="4867" width="13.33203125" style="434" customWidth="1"/>
    <col min="4868" max="4868" width="17.4140625" style="434" bestFit="1" customWidth="1"/>
    <col min="4869" max="4871" width="9.08203125" style="434"/>
    <col min="4872" max="4872" width="21.83203125" style="434" customWidth="1"/>
    <col min="4873" max="5120" width="9.08203125" style="434"/>
    <col min="5121" max="5121" width="16" style="434" customWidth="1"/>
    <col min="5122" max="5122" width="13" style="434" customWidth="1"/>
    <col min="5123" max="5123" width="13.33203125" style="434" customWidth="1"/>
    <col min="5124" max="5124" width="17.4140625" style="434" bestFit="1" customWidth="1"/>
    <col min="5125" max="5127" width="9.08203125" style="434"/>
    <col min="5128" max="5128" width="21.83203125" style="434" customWidth="1"/>
    <col min="5129" max="5376" width="9.08203125" style="434"/>
    <col min="5377" max="5377" width="16" style="434" customWidth="1"/>
    <col min="5378" max="5378" width="13" style="434" customWidth="1"/>
    <col min="5379" max="5379" width="13.33203125" style="434" customWidth="1"/>
    <col min="5380" max="5380" width="17.4140625" style="434" bestFit="1" customWidth="1"/>
    <col min="5381" max="5383" width="9.08203125" style="434"/>
    <col min="5384" max="5384" width="21.83203125" style="434" customWidth="1"/>
    <col min="5385" max="5632" width="9.08203125" style="434"/>
    <col min="5633" max="5633" width="16" style="434" customWidth="1"/>
    <col min="5634" max="5634" width="13" style="434" customWidth="1"/>
    <col min="5635" max="5635" width="13.33203125" style="434" customWidth="1"/>
    <col min="5636" max="5636" width="17.4140625" style="434" bestFit="1" customWidth="1"/>
    <col min="5637" max="5639" width="9.08203125" style="434"/>
    <col min="5640" max="5640" width="21.83203125" style="434" customWidth="1"/>
    <col min="5641" max="5888" width="9.08203125" style="434"/>
    <col min="5889" max="5889" width="16" style="434" customWidth="1"/>
    <col min="5890" max="5890" width="13" style="434" customWidth="1"/>
    <col min="5891" max="5891" width="13.33203125" style="434" customWidth="1"/>
    <col min="5892" max="5892" width="17.4140625" style="434" bestFit="1" customWidth="1"/>
    <col min="5893" max="5895" width="9.08203125" style="434"/>
    <col min="5896" max="5896" width="21.83203125" style="434" customWidth="1"/>
    <col min="5897" max="6144" width="9.08203125" style="434"/>
    <col min="6145" max="6145" width="16" style="434" customWidth="1"/>
    <col min="6146" max="6146" width="13" style="434" customWidth="1"/>
    <col min="6147" max="6147" width="13.33203125" style="434" customWidth="1"/>
    <col min="6148" max="6148" width="17.4140625" style="434" bestFit="1" customWidth="1"/>
    <col min="6149" max="6151" width="9.08203125" style="434"/>
    <col min="6152" max="6152" width="21.83203125" style="434" customWidth="1"/>
    <col min="6153" max="6400" width="9.08203125" style="434"/>
    <col min="6401" max="6401" width="16" style="434" customWidth="1"/>
    <col min="6402" max="6402" width="13" style="434" customWidth="1"/>
    <col min="6403" max="6403" width="13.33203125" style="434" customWidth="1"/>
    <col min="6404" max="6404" width="17.4140625" style="434" bestFit="1" customWidth="1"/>
    <col min="6405" max="6407" width="9.08203125" style="434"/>
    <col min="6408" max="6408" width="21.83203125" style="434" customWidth="1"/>
    <col min="6409" max="6656" width="9.08203125" style="434"/>
    <col min="6657" max="6657" width="16" style="434" customWidth="1"/>
    <col min="6658" max="6658" width="13" style="434" customWidth="1"/>
    <col min="6659" max="6659" width="13.33203125" style="434" customWidth="1"/>
    <col min="6660" max="6660" width="17.4140625" style="434" bestFit="1" customWidth="1"/>
    <col min="6661" max="6663" width="9.08203125" style="434"/>
    <col min="6664" max="6664" width="21.83203125" style="434" customWidth="1"/>
    <col min="6665" max="6912" width="9.08203125" style="434"/>
    <col min="6913" max="6913" width="16" style="434" customWidth="1"/>
    <col min="6914" max="6914" width="13" style="434" customWidth="1"/>
    <col min="6915" max="6915" width="13.33203125" style="434" customWidth="1"/>
    <col min="6916" max="6916" width="17.4140625" style="434" bestFit="1" customWidth="1"/>
    <col min="6917" max="6919" width="9.08203125" style="434"/>
    <col min="6920" max="6920" width="21.83203125" style="434" customWidth="1"/>
    <col min="6921" max="7168" width="9.08203125" style="434"/>
    <col min="7169" max="7169" width="16" style="434" customWidth="1"/>
    <col min="7170" max="7170" width="13" style="434" customWidth="1"/>
    <col min="7171" max="7171" width="13.33203125" style="434" customWidth="1"/>
    <col min="7172" max="7172" width="17.4140625" style="434" bestFit="1" customWidth="1"/>
    <col min="7173" max="7175" width="9.08203125" style="434"/>
    <col min="7176" max="7176" width="21.83203125" style="434" customWidth="1"/>
    <col min="7177" max="7424" width="9.08203125" style="434"/>
    <col min="7425" max="7425" width="16" style="434" customWidth="1"/>
    <col min="7426" max="7426" width="13" style="434" customWidth="1"/>
    <col min="7427" max="7427" width="13.33203125" style="434" customWidth="1"/>
    <col min="7428" max="7428" width="17.4140625" style="434" bestFit="1" customWidth="1"/>
    <col min="7429" max="7431" width="9.08203125" style="434"/>
    <col min="7432" max="7432" width="21.83203125" style="434" customWidth="1"/>
    <col min="7433" max="7680" width="9.08203125" style="434"/>
    <col min="7681" max="7681" width="16" style="434" customWidth="1"/>
    <col min="7682" max="7682" width="13" style="434" customWidth="1"/>
    <col min="7683" max="7683" width="13.33203125" style="434" customWidth="1"/>
    <col min="7684" max="7684" width="17.4140625" style="434" bestFit="1" customWidth="1"/>
    <col min="7685" max="7687" width="9.08203125" style="434"/>
    <col min="7688" max="7688" width="21.83203125" style="434" customWidth="1"/>
    <col min="7689" max="7936" width="9.08203125" style="434"/>
    <col min="7937" max="7937" width="16" style="434" customWidth="1"/>
    <col min="7938" max="7938" width="13" style="434" customWidth="1"/>
    <col min="7939" max="7939" width="13.33203125" style="434" customWidth="1"/>
    <col min="7940" max="7940" width="17.4140625" style="434" bestFit="1" customWidth="1"/>
    <col min="7941" max="7943" width="9.08203125" style="434"/>
    <col min="7944" max="7944" width="21.83203125" style="434" customWidth="1"/>
    <col min="7945" max="8192" width="9.08203125" style="434"/>
    <col min="8193" max="8193" width="16" style="434" customWidth="1"/>
    <col min="8194" max="8194" width="13" style="434" customWidth="1"/>
    <col min="8195" max="8195" width="13.33203125" style="434" customWidth="1"/>
    <col min="8196" max="8196" width="17.4140625" style="434" bestFit="1" customWidth="1"/>
    <col min="8197" max="8199" width="9.08203125" style="434"/>
    <col min="8200" max="8200" width="21.83203125" style="434" customWidth="1"/>
    <col min="8201" max="8448" width="9.08203125" style="434"/>
    <col min="8449" max="8449" width="16" style="434" customWidth="1"/>
    <col min="8450" max="8450" width="13" style="434" customWidth="1"/>
    <col min="8451" max="8451" width="13.33203125" style="434" customWidth="1"/>
    <col min="8452" max="8452" width="17.4140625" style="434" bestFit="1" customWidth="1"/>
    <col min="8453" max="8455" width="9.08203125" style="434"/>
    <col min="8456" max="8456" width="21.83203125" style="434" customWidth="1"/>
    <col min="8457" max="8704" width="9.08203125" style="434"/>
    <col min="8705" max="8705" width="16" style="434" customWidth="1"/>
    <col min="8706" max="8706" width="13" style="434" customWidth="1"/>
    <col min="8707" max="8707" width="13.33203125" style="434" customWidth="1"/>
    <col min="8708" max="8708" width="17.4140625" style="434" bestFit="1" customWidth="1"/>
    <col min="8709" max="8711" width="9.08203125" style="434"/>
    <col min="8712" max="8712" width="21.83203125" style="434" customWidth="1"/>
    <col min="8713" max="8960" width="9.08203125" style="434"/>
    <col min="8961" max="8961" width="16" style="434" customWidth="1"/>
    <col min="8962" max="8962" width="13" style="434" customWidth="1"/>
    <col min="8963" max="8963" width="13.33203125" style="434" customWidth="1"/>
    <col min="8964" max="8964" width="17.4140625" style="434" bestFit="1" customWidth="1"/>
    <col min="8965" max="8967" width="9.08203125" style="434"/>
    <col min="8968" max="8968" width="21.83203125" style="434" customWidth="1"/>
    <col min="8969" max="9216" width="9.08203125" style="434"/>
    <col min="9217" max="9217" width="16" style="434" customWidth="1"/>
    <col min="9218" max="9218" width="13" style="434" customWidth="1"/>
    <col min="9219" max="9219" width="13.33203125" style="434" customWidth="1"/>
    <col min="9220" max="9220" width="17.4140625" style="434" bestFit="1" customWidth="1"/>
    <col min="9221" max="9223" width="9.08203125" style="434"/>
    <col min="9224" max="9224" width="21.83203125" style="434" customWidth="1"/>
    <col min="9225" max="9472" width="9.08203125" style="434"/>
    <col min="9473" max="9473" width="16" style="434" customWidth="1"/>
    <col min="9474" max="9474" width="13" style="434" customWidth="1"/>
    <col min="9475" max="9475" width="13.33203125" style="434" customWidth="1"/>
    <col min="9476" max="9476" width="17.4140625" style="434" bestFit="1" customWidth="1"/>
    <col min="9477" max="9479" width="9.08203125" style="434"/>
    <col min="9480" max="9480" width="21.83203125" style="434" customWidth="1"/>
    <col min="9481" max="9728" width="9.08203125" style="434"/>
    <col min="9729" max="9729" width="16" style="434" customWidth="1"/>
    <col min="9730" max="9730" width="13" style="434" customWidth="1"/>
    <col min="9731" max="9731" width="13.33203125" style="434" customWidth="1"/>
    <col min="9732" max="9732" width="17.4140625" style="434" bestFit="1" customWidth="1"/>
    <col min="9733" max="9735" width="9.08203125" style="434"/>
    <col min="9736" max="9736" width="21.83203125" style="434" customWidth="1"/>
    <col min="9737" max="9984" width="9.08203125" style="434"/>
    <col min="9985" max="9985" width="16" style="434" customWidth="1"/>
    <col min="9986" max="9986" width="13" style="434" customWidth="1"/>
    <col min="9987" max="9987" width="13.33203125" style="434" customWidth="1"/>
    <col min="9988" max="9988" width="17.4140625" style="434" bestFit="1" customWidth="1"/>
    <col min="9989" max="9991" width="9.08203125" style="434"/>
    <col min="9992" max="9992" width="21.83203125" style="434" customWidth="1"/>
    <col min="9993" max="10240" width="9.08203125" style="434"/>
    <col min="10241" max="10241" width="16" style="434" customWidth="1"/>
    <col min="10242" max="10242" width="13" style="434" customWidth="1"/>
    <col min="10243" max="10243" width="13.33203125" style="434" customWidth="1"/>
    <col min="10244" max="10244" width="17.4140625" style="434" bestFit="1" customWidth="1"/>
    <col min="10245" max="10247" width="9.08203125" style="434"/>
    <col min="10248" max="10248" width="21.83203125" style="434" customWidth="1"/>
    <col min="10249" max="10496" width="9.08203125" style="434"/>
    <col min="10497" max="10497" width="16" style="434" customWidth="1"/>
    <col min="10498" max="10498" width="13" style="434" customWidth="1"/>
    <col min="10499" max="10499" width="13.33203125" style="434" customWidth="1"/>
    <col min="10500" max="10500" width="17.4140625" style="434" bestFit="1" customWidth="1"/>
    <col min="10501" max="10503" width="9.08203125" style="434"/>
    <col min="10504" max="10504" width="21.83203125" style="434" customWidth="1"/>
    <col min="10505" max="10752" width="9.08203125" style="434"/>
    <col min="10753" max="10753" width="16" style="434" customWidth="1"/>
    <col min="10754" max="10754" width="13" style="434" customWidth="1"/>
    <col min="10755" max="10755" width="13.33203125" style="434" customWidth="1"/>
    <col min="10756" max="10756" width="17.4140625" style="434" bestFit="1" customWidth="1"/>
    <col min="10757" max="10759" width="9.08203125" style="434"/>
    <col min="10760" max="10760" width="21.83203125" style="434" customWidth="1"/>
    <col min="10761" max="11008" width="9.08203125" style="434"/>
    <col min="11009" max="11009" width="16" style="434" customWidth="1"/>
    <col min="11010" max="11010" width="13" style="434" customWidth="1"/>
    <col min="11011" max="11011" width="13.33203125" style="434" customWidth="1"/>
    <col min="11012" max="11012" width="17.4140625" style="434" bestFit="1" customWidth="1"/>
    <col min="11013" max="11015" width="9.08203125" style="434"/>
    <col min="11016" max="11016" width="21.83203125" style="434" customWidth="1"/>
    <col min="11017" max="11264" width="9.08203125" style="434"/>
    <col min="11265" max="11265" width="16" style="434" customWidth="1"/>
    <col min="11266" max="11266" width="13" style="434" customWidth="1"/>
    <col min="11267" max="11267" width="13.33203125" style="434" customWidth="1"/>
    <col min="11268" max="11268" width="17.4140625" style="434" bestFit="1" customWidth="1"/>
    <col min="11269" max="11271" width="9.08203125" style="434"/>
    <col min="11272" max="11272" width="21.83203125" style="434" customWidth="1"/>
    <col min="11273" max="11520" width="9.08203125" style="434"/>
    <col min="11521" max="11521" width="16" style="434" customWidth="1"/>
    <col min="11522" max="11522" width="13" style="434" customWidth="1"/>
    <col min="11523" max="11523" width="13.33203125" style="434" customWidth="1"/>
    <col min="11524" max="11524" width="17.4140625" style="434" bestFit="1" customWidth="1"/>
    <col min="11525" max="11527" width="9.08203125" style="434"/>
    <col min="11528" max="11528" width="21.83203125" style="434" customWidth="1"/>
    <col min="11529" max="11776" width="9.08203125" style="434"/>
    <col min="11777" max="11777" width="16" style="434" customWidth="1"/>
    <col min="11778" max="11778" width="13" style="434" customWidth="1"/>
    <col min="11779" max="11779" width="13.33203125" style="434" customWidth="1"/>
    <col min="11780" max="11780" width="17.4140625" style="434" bestFit="1" customWidth="1"/>
    <col min="11781" max="11783" width="9.08203125" style="434"/>
    <col min="11784" max="11784" width="21.83203125" style="434" customWidth="1"/>
    <col min="11785" max="12032" width="9.08203125" style="434"/>
    <col min="12033" max="12033" width="16" style="434" customWidth="1"/>
    <col min="12034" max="12034" width="13" style="434" customWidth="1"/>
    <col min="12035" max="12035" width="13.33203125" style="434" customWidth="1"/>
    <col min="12036" max="12036" width="17.4140625" style="434" bestFit="1" customWidth="1"/>
    <col min="12037" max="12039" width="9.08203125" style="434"/>
    <col min="12040" max="12040" width="21.83203125" style="434" customWidth="1"/>
    <col min="12041" max="12288" width="9.08203125" style="434"/>
    <col min="12289" max="12289" width="16" style="434" customWidth="1"/>
    <col min="12290" max="12290" width="13" style="434" customWidth="1"/>
    <col min="12291" max="12291" width="13.33203125" style="434" customWidth="1"/>
    <col min="12292" max="12292" width="17.4140625" style="434" bestFit="1" customWidth="1"/>
    <col min="12293" max="12295" width="9.08203125" style="434"/>
    <col min="12296" max="12296" width="21.83203125" style="434" customWidth="1"/>
    <col min="12297" max="12544" width="9.08203125" style="434"/>
    <col min="12545" max="12545" width="16" style="434" customWidth="1"/>
    <col min="12546" max="12546" width="13" style="434" customWidth="1"/>
    <col min="12547" max="12547" width="13.33203125" style="434" customWidth="1"/>
    <col min="12548" max="12548" width="17.4140625" style="434" bestFit="1" customWidth="1"/>
    <col min="12549" max="12551" width="9.08203125" style="434"/>
    <col min="12552" max="12552" width="21.83203125" style="434" customWidth="1"/>
    <col min="12553" max="12800" width="9.08203125" style="434"/>
    <col min="12801" max="12801" width="16" style="434" customWidth="1"/>
    <col min="12802" max="12802" width="13" style="434" customWidth="1"/>
    <col min="12803" max="12803" width="13.33203125" style="434" customWidth="1"/>
    <col min="12804" max="12804" width="17.4140625" style="434" bestFit="1" customWidth="1"/>
    <col min="12805" max="12807" width="9.08203125" style="434"/>
    <col min="12808" max="12808" width="21.83203125" style="434" customWidth="1"/>
    <col min="12809" max="13056" width="9.08203125" style="434"/>
    <col min="13057" max="13057" width="16" style="434" customWidth="1"/>
    <col min="13058" max="13058" width="13" style="434" customWidth="1"/>
    <col min="13059" max="13059" width="13.33203125" style="434" customWidth="1"/>
    <col min="13060" max="13060" width="17.4140625" style="434" bestFit="1" customWidth="1"/>
    <col min="13061" max="13063" width="9.08203125" style="434"/>
    <col min="13064" max="13064" width="21.83203125" style="434" customWidth="1"/>
    <col min="13065" max="13312" width="9.08203125" style="434"/>
    <col min="13313" max="13313" width="16" style="434" customWidth="1"/>
    <col min="13314" max="13314" width="13" style="434" customWidth="1"/>
    <col min="13315" max="13315" width="13.33203125" style="434" customWidth="1"/>
    <col min="13316" max="13316" width="17.4140625" style="434" bestFit="1" customWidth="1"/>
    <col min="13317" max="13319" width="9.08203125" style="434"/>
    <col min="13320" max="13320" width="21.83203125" style="434" customWidth="1"/>
    <col min="13321" max="13568" width="9.08203125" style="434"/>
    <col min="13569" max="13569" width="16" style="434" customWidth="1"/>
    <col min="13570" max="13570" width="13" style="434" customWidth="1"/>
    <col min="13571" max="13571" width="13.33203125" style="434" customWidth="1"/>
    <col min="13572" max="13572" width="17.4140625" style="434" bestFit="1" customWidth="1"/>
    <col min="13573" max="13575" width="9.08203125" style="434"/>
    <col min="13576" max="13576" width="21.83203125" style="434" customWidth="1"/>
    <col min="13577" max="13824" width="9.08203125" style="434"/>
    <col min="13825" max="13825" width="16" style="434" customWidth="1"/>
    <col min="13826" max="13826" width="13" style="434" customWidth="1"/>
    <col min="13827" max="13827" width="13.33203125" style="434" customWidth="1"/>
    <col min="13828" max="13828" width="17.4140625" style="434" bestFit="1" customWidth="1"/>
    <col min="13829" max="13831" width="9.08203125" style="434"/>
    <col min="13832" max="13832" width="21.83203125" style="434" customWidth="1"/>
    <col min="13833" max="14080" width="9.08203125" style="434"/>
    <col min="14081" max="14081" width="16" style="434" customWidth="1"/>
    <col min="14082" max="14082" width="13" style="434" customWidth="1"/>
    <col min="14083" max="14083" width="13.33203125" style="434" customWidth="1"/>
    <col min="14084" max="14084" width="17.4140625" style="434" bestFit="1" customWidth="1"/>
    <col min="14085" max="14087" width="9.08203125" style="434"/>
    <col min="14088" max="14088" width="21.83203125" style="434" customWidth="1"/>
    <col min="14089" max="14336" width="9.08203125" style="434"/>
    <col min="14337" max="14337" width="16" style="434" customWidth="1"/>
    <col min="14338" max="14338" width="13" style="434" customWidth="1"/>
    <col min="14339" max="14339" width="13.33203125" style="434" customWidth="1"/>
    <col min="14340" max="14340" width="17.4140625" style="434" bestFit="1" customWidth="1"/>
    <col min="14341" max="14343" width="9.08203125" style="434"/>
    <col min="14344" max="14344" width="21.83203125" style="434" customWidth="1"/>
    <col min="14345" max="14592" width="9.08203125" style="434"/>
    <col min="14593" max="14593" width="16" style="434" customWidth="1"/>
    <col min="14594" max="14594" width="13" style="434" customWidth="1"/>
    <col min="14595" max="14595" width="13.33203125" style="434" customWidth="1"/>
    <col min="14596" max="14596" width="17.4140625" style="434" bestFit="1" customWidth="1"/>
    <col min="14597" max="14599" width="9.08203125" style="434"/>
    <col min="14600" max="14600" width="21.83203125" style="434" customWidth="1"/>
    <col min="14601" max="14848" width="9.08203125" style="434"/>
    <col min="14849" max="14849" width="16" style="434" customWidth="1"/>
    <col min="14850" max="14850" width="13" style="434" customWidth="1"/>
    <col min="14851" max="14851" width="13.33203125" style="434" customWidth="1"/>
    <col min="14852" max="14852" width="17.4140625" style="434" bestFit="1" customWidth="1"/>
    <col min="14853" max="14855" width="9.08203125" style="434"/>
    <col min="14856" max="14856" width="21.83203125" style="434" customWidth="1"/>
    <col min="14857" max="15104" width="9.08203125" style="434"/>
    <col min="15105" max="15105" width="16" style="434" customWidth="1"/>
    <col min="15106" max="15106" width="13" style="434" customWidth="1"/>
    <col min="15107" max="15107" width="13.33203125" style="434" customWidth="1"/>
    <col min="15108" max="15108" width="17.4140625" style="434" bestFit="1" customWidth="1"/>
    <col min="15109" max="15111" width="9.08203125" style="434"/>
    <col min="15112" max="15112" width="21.83203125" style="434" customWidth="1"/>
    <col min="15113" max="15360" width="9.08203125" style="434"/>
    <col min="15361" max="15361" width="16" style="434" customWidth="1"/>
    <col min="15362" max="15362" width="13" style="434" customWidth="1"/>
    <col min="15363" max="15363" width="13.33203125" style="434" customWidth="1"/>
    <col min="15364" max="15364" width="17.4140625" style="434" bestFit="1" customWidth="1"/>
    <col min="15365" max="15367" width="9.08203125" style="434"/>
    <col min="15368" max="15368" width="21.83203125" style="434" customWidth="1"/>
    <col min="15369" max="15616" width="9.08203125" style="434"/>
    <col min="15617" max="15617" width="16" style="434" customWidth="1"/>
    <col min="15618" max="15618" width="13" style="434" customWidth="1"/>
    <col min="15619" max="15619" width="13.33203125" style="434" customWidth="1"/>
    <col min="15620" max="15620" width="17.4140625" style="434" bestFit="1" customWidth="1"/>
    <col min="15621" max="15623" width="9.08203125" style="434"/>
    <col min="15624" max="15624" width="21.83203125" style="434" customWidth="1"/>
    <col min="15625" max="15872" width="9.08203125" style="434"/>
    <col min="15873" max="15873" width="16" style="434" customWidth="1"/>
    <col min="15874" max="15874" width="13" style="434" customWidth="1"/>
    <col min="15875" max="15875" width="13.33203125" style="434" customWidth="1"/>
    <col min="15876" max="15876" width="17.4140625" style="434" bestFit="1" customWidth="1"/>
    <col min="15877" max="15879" width="9.08203125" style="434"/>
    <col min="15880" max="15880" width="21.83203125" style="434" customWidth="1"/>
    <col min="15881" max="16128" width="9.08203125" style="434"/>
    <col min="16129" max="16129" width="16" style="434" customWidth="1"/>
    <col min="16130" max="16130" width="13" style="434" customWidth="1"/>
    <col min="16131" max="16131" width="13.33203125" style="434" customWidth="1"/>
    <col min="16132" max="16132" width="17.4140625" style="434" bestFit="1" customWidth="1"/>
    <col min="16133" max="16135" width="9.08203125" style="434"/>
    <col min="16136" max="16136" width="21.83203125" style="434" customWidth="1"/>
    <col min="16137" max="16384" width="9.08203125" style="434"/>
  </cols>
  <sheetData>
    <row r="1" spans="1:8" ht="17.5">
      <c r="A1" s="981" t="s">
        <v>902</v>
      </c>
      <c r="B1" s="981"/>
      <c r="C1" s="981"/>
      <c r="D1" s="981" t="s">
        <v>903</v>
      </c>
      <c r="E1" s="981"/>
      <c r="F1" s="981"/>
      <c r="G1" s="981"/>
    </row>
    <row r="3" spans="1:8" ht="18" customHeight="1">
      <c r="C3" s="982" t="s">
        <v>825</v>
      </c>
      <c r="D3" s="982"/>
      <c r="E3" s="982"/>
      <c r="F3" s="982"/>
      <c r="G3" s="982"/>
      <c r="H3" s="982"/>
    </row>
    <row r="4" spans="1:8" ht="18" customHeight="1">
      <c r="C4" s="982"/>
      <c r="D4" s="982"/>
      <c r="E4" s="982"/>
      <c r="F4" s="982"/>
      <c r="G4" s="982"/>
      <c r="H4" s="982"/>
    </row>
    <row r="5" spans="1:8" ht="18">
      <c r="D5" s="983" t="s">
        <v>886</v>
      </c>
      <c r="E5" s="983"/>
      <c r="F5" s="983"/>
      <c r="G5" s="983"/>
    </row>
    <row r="6" spans="1:8" ht="20.5">
      <c r="A6" s="410" t="s">
        <v>827</v>
      </c>
      <c r="B6" s="411"/>
    </row>
    <row r="7" spans="1:8" ht="15">
      <c r="A7" s="435" t="s">
        <v>828</v>
      </c>
      <c r="C7" s="412" t="s">
        <v>829</v>
      </c>
    </row>
    <row r="8" spans="1:8" ht="17.5">
      <c r="A8" s="435" t="s">
        <v>830</v>
      </c>
      <c r="C8" s="413" t="s">
        <v>380</v>
      </c>
      <c r="D8" s="436"/>
    </row>
    <row r="9" spans="1:8">
      <c r="B9" s="437" t="s">
        <v>831</v>
      </c>
      <c r="C9" s="437" t="s">
        <v>832</v>
      </c>
      <c r="D9" s="437" t="s">
        <v>833</v>
      </c>
      <c r="E9" s="437" t="s">
        <v>834</v>
      </c>
      <c r="F9" s="437" t="s">
        <v>835</v>
      </c>
    </row>
    <row r="10" spans="1:8" ht="17.5">
      <c r="B10" s="414">
        <v>1450</v>
      </c>
      <c r="C10" s="414">
        <v>28000</v>
      </c>
      <c r="D10" s="415">
        <v>100</v>
      </c>
      <c r="E10" s="415">
        <v>20</v>
      </c>
      <c r="F10" s="415">
        <f>D10-E10</f>
        <v>80</v>
      </c>
    </row>
    <row r="11" spans="1:8" ht="17.5">
      <c r="A11" s="435" t="s">
        <v>836</v>
      </c>
      <c r="C11" s="438" t="s">
        <v>837</v>
      </c>
      <c r="D11" s="413">
        <f>TH!D67</f>
        <v>4</v>
      </c>
      <c r="E11" s="438" t="s">
        <v>838</v>
      </c>
    </row>
    <row r="12" spans="1:8" ht="17.5">
      <c r="A12" s="435"/>
      <c r="C12" s="436" t="s">
        <v>839</v>
      </c>
      <c r="D12" s="413">
        <f>TH!D66</f>
        <v>1.5999999999999999</v>
      </c>
      <c r="E12" s="438" t="s">
        <v>838</v>
      </c>
    </row>
    <row r="13" spans="1:8" ht="20.5">
      <c r="A13" s="410" t="s">
        <v>840</v>
      </c>
    </row>
    <row r="14" spans="1:8" ht="17.5">
      <c r="A14" s="435" t="s">
        <v>887</v>
      </c>
      <c r="B14" s="436" t="s">
        <v>842</v>
      </c>
      <c r="C14" s="413">
        <f>TH!B69</f>
        <v>0.48</v>
      </c>
      <c r="D14" s="434" t="s">
        <v>843</v>
      </c>
    </row>
    <row r="15" spans="1:8" ht="17.5">
      <c r="A15" s="435" t="s">
        <v>888</v>
      </c>
      <c r="B15" s="436" t="s">
        <v>842</v>
      </c>
      <c r="C15" s="413">
        <f>TH!B70</f>
        <v>0.19500000000000001</v>
      </c>
      <c r="D15" s="434" t="s">
        <v>843</v>
      </c>
    </row>
    <row r="16" spans="1:8" ht="18">
      <c r="A16" s="435" t="s">
        <v>845</v>
      </c>
      <c r="B16" s="436" t="s">
        <v>842</v>
      </c>
      <c r="C16" s="416">
        <f>SUM(C14:C15)</f>
        <v>0.67500000000000004</v>
      </c>
      <c r="D16" s="434" t="s">
        <v>731</v>
      </c>
    </row>
    <row r="18" spans="1:6" ht="20.5">
      <c r="A18" s="410" t="s">
        <v>846</v>
      </c>
    </row>
    <row r="19" spans="1:6" ht="17.5">
      <c r="A19" s="435" t="s">
        <v>847</v>
      </c>
      <c r="B19" s="436" t="s">
        <v>842</v>
      </c>
      <c r="C19" s="417">
        <f>D11/D12</f>
        <v>2.5</v>
      </c>
      <c r="D19" s="418" t="s">
        <v>889</v>
      </c>
    </row>
    <row r="20" spans="1:6" ht="17.5">
      <c r="A20" s="435" t="s">
        <v>849</v>
      </c>
      <c r="B20" s="436"/>
      <c r="C20" s="419" t="s">
        <v>890</v>
      </c>
      <c r="D20" s="418"/>
    </row>
    <row r="21" spans="1:6" ht="20.5">
      <c r="A21" s="410" t="s">
        <v>891</v>
      </c>
    </row>
    <row r="22" spans="1:6" ht="18" thickBot="1">
      <c r="B22" s="436"/>
      <c r="C22" s="436"/>
      <c r="D22" s="417"/>
      <c r="E22" s="436"/>
    </row>
    <row r="23" spans="1:6">
      <c r="A23" s="439" t="s">
        <v>892</v>
      </c>
      <c r="B23" s="440" t="s">
        <v>893</v>
      </c>
      <c r="C23" s="441" t="s">
        <v>894</v>
      </c>
      <c r="D23" s="436"/>
      <c r="E23" s="436"/>
      <c r="F23" s="436"/>
    </row>
    <row r="24" spans="1:6" ht="17.5">
      <c r="A24" s="442" t="s">
        <v>895</v>
      </c>
      <c r="B24" s="414">
        <f>C16*(D12^2)/12</f>
        <v>0.14399999999999999</v>
      </c>
      <c r="C24" s="443" t="s">
        <v>861</v>
      </c>
      <c r="D24" s="436"/>
      <c r="E24" s="436"/>
      <c r="F24" s="436"/>
    </row>
    <row r="25" spans="1:6" ht="18" thickBot="1">
      <c r="A25" s="420" t="s">
        <v>896</v>
      </c>
      <c r="B25" s="421">
        <f>C16*(D12^2)/24</f>
        <v>7.1999999999999995E-2</v>
      </c>
      <c r="C25" s="444" t="s">
        <v>861</v>
      </c>
      <c r="D25" s="422"/>
      <c r="E25" s="422"/>
      <c r="F25" s="422"/>
    </row>
    <row r="26" spans="1:6" ht="17.5">
      <c r="B26" s="436"/>
      <c r="C26" s="436"/>
      <c r="D26" s="417"/>
      <c r="E26" s="436"/>
    </row>
    <row r="27" spans="1:6" ht="20.5">
      <c r="A27" s="410" t="s">
        <v>868</v>
      </c>
    </row>
    <row r="28" spans="1:6" ht="17.5">
      <c r="A28" s="423" t="s">
        <v>897</v>
      </c>
      <c r="C28" s="417">
        <f>B24</f>
        <v>0.14399999999999999</v>
      </c>
      <c r="D28" s="436" t="s">
        <v>861</v>
      </c>
    </row>
    <row r="29" spans="1:6" ht="17.5">
      <c r="A29" s="423"/>
      <c r="C29" s="417"/>
      <c r="D29" s="436"/>
    </row>
    <row r="31" spans="1:6" ht="17.5">
      <c r="C31" s="424">
        <f>C28/(B10*1*((F10*0.001)^2))</f>
        <v>1.5517241379310341E-2</v>
      </c>
      <c r="D31" s="425" t="s">
        <v>870</v>
      </c>
      <c r="E31" s="426" t="str">
        <f>IF(C31&lt;0.255,"Kh«ng cÇn KT ®iÒu kiÖn h¹n chÕ","CÇn KT ®iÒu kiÖn h¹n chÕ")</f>
        <v>Kh«ng cÇn KT ®iÒu kiÖn h¹n chÕ</v>
      </c>
    </row>
    <row r="32" spans="1:6" ht="17.5">
      <c r="C32" s="424"/>
      <c r="D32" s="424"/>
    </row>
    <row r="33" spans="1:9" ht="17.5">
      <c r="C33" s="424">
        <f>1-SQRT(1-(2*C31))</f>
        <v>1.5639538968890032E-2</v>
      </c>
      <c r="D33" s="445"/>
    </row>
    <row r="34" spans="1:9" ht="17.5">
      <c r="C34" s="424">
        <f>1-(0.5*C33)</f>
        <v>0.99218023051555493</v>
      </c>
      <c r="D34" s="445"/>
    </row>
    <row r="37" spans="1:9">
      <c r="C37" s="984" t="s">
        <v>842</v>
      </c>
      <c r="D37" s="985">
        <f>10000*C28/(C10*C34*F10*0.001)</f>
        <v>0.64792375728258822</v>
      </c>
      <c r="E37" s="986" t="s">
        <v>871</v>
      </c>
      <c r="H37" s="985">
        <f>D37/(F10*0.1)</f>
        <v>8.0990469660323527E-2</v>
      </c>
      <c r="I37" s="986" t="s">
        <v>872</v>
      </c>
    </row>
    <row r="38" spans="1:9">
      <c r="C38" s="984"/>
      <c r="D38" s="985"/>
      <c r="E38" s="986"/>
      <c r="H38" s="985"/>
      <c r="I38" s="986"/>
    </row>
    <row r="40" spans="1:9" ht="17.5">
      <c r="A40" s="427" t="s">
        <v>873</v>
      </c>
      <c r="D40" s="413">
        <v>10</v>
      </c>
      <c r="E40" s="434">
        <v>150</v>
      </c>
      <c r="F40" s="436" t="s">
        <v>158</v>
      </c>
    </row>
    <row r="41" spans="1:9" ht="17.5">
      <c r="C41" s="434" t="s">
        <v>874</v>
      </c>
      <c r="D41" s="428">
        <f>ROUND(1000*(0.25*PI()*D40^2)/100/E40,2)</f>
        <v>5.24</v>
      </c>
      <c r="E41" s="438" t="s">
        <v>875</v>
      </c>
    </row>
    <row r="43" spans="1:9" ht="17.5">
      <c r="D43" s="434" t="s">
        <v>876</v>
      </c>
      <c r="E43" s="417">
        <f>D41/(F10*0.1)</f>
        <v>0.65500000000000003</v>
      </c>
      <c r="F43" s="438" t="s">
        <v>872</v>
      </c>
      <c r="G43" s="446" t="s">
        <v>870</v>
      </c>
      <c r="H43" s="429" t="str">
        <f>IF(AND(E43&gt;0.4,E43&lt;0.8),"Hîp Lý","Kh«ng Hîp Lý")</f>
        <v>Hîp Lý</v>
      </c>
    </row>
    <row r="45" spans="1:9">
      <c r="A45" s="435" t="s">
        <v>877</v>
      </c>
      <c r="B45" s="434" t="s">
        <v>878</v>
      </c>
    </row>
    <row r="46" spans="1:9" ht="17.5">
      <c r="A46" s="423" t="s">
        <v>898</v>
      </c>
      <c r="C46" s="417">
        <f>B25</f>
        <v>7.1999999999999995E-2</v>
      </c>
      <c r="D46" s="436" t="s">
        <v>861</v>
      </c>
    </row>
    <row r="47" spans="1:9" ht="17.5">
      <c r="A47" s="423"/>
      <c r="C47" s="417"/>
      <c r="D47" s="436"/>
    </row>
    <row r="49" spans="1:9" ht="17.5">
      <c r="C49" s="424">
        <f>C46/(B10*1*((F10*0.001)^2))</f>
        <v>7.7586206896551706E-3</v>
      </c>
      <c r="D49" s="425" t="s">
        <v>870</v>
      </c>
      <c r="E49" s="426" t="str">
        <f>IF(C49&lt;0.255,"Kh«ng cÇn KT ®iÒu kiÖn h¹n chÕ","CÇn KT ®iÒu kiÖn h¹n chÕ")</f>
        <v>Kh«ng cÇn KT ®iÒu kiÖn h¹n chÕ</v>
      </c>
    </row>
    <row r="50" spans="1:9" ht="17.5">
      <c r="C50" s="424"/>
      <c r="D50" s="424"/>
    </row>
    <row r="51" spans="1:9" ht="17.5">
      <c r="C51" s="424">
        <f>1-SQRT(1-(2*C49))</f>
        <v>7.7889545965084128E-3</v>
      </c>
      <c r="D51" s="445"/>
    </row>
    <row r="52" spans="1:9" ht="17.5">
      <c r="C52" s="424">
        <f>1-(0.5*C51)</f>
        <v>0.99610552270174579</v>
      </c>
      <c r="D52" s="445"/>
    </row>
    <row r="55" spans="1:9">
      <c r="C55" s="984" t="s">
        <v>842</v>
      </c>
      <c r="D55" s="985">
        <f>10000*C46/(C10*C52*F10*0.001)</f>
        <v>0.32268526185534829</v>
      </c>
      <c r="E55" s="986" t="s">
        <v>880</v>
      </c>
      <c r="H55" s="985">
        <f>D55/(F10*0.1)</f>
        <v>4.0335657731918537E-2</v>
      </c>
      <c r="I55" s="986" t="s">
        <v>872</v>
      </c>
    </row>
    <row r="56" spans="1:9">
      <c r="C56" s="984"/>
      <c r="D56" s="985"/>
      <c r="E56" s="986"/>
      <c r="H56" s="985"/>
      <c r="I56" s="986"/>
    </row>
    <row r="58" spans="1:9" ht="17.5">
      <c r="A58" s="427" t="s">
        <v>873</v>
      </c>
      <c r="D58" s="413">
        <v>10</v>
      </c>
      <c r="E58" s="434">
        <v>150</v>
      </c>
      <c r="F58" s="436" t="s">
        <v>158</v>
      </c>
    </row>
    <row r="59" spans="1:9" ht="17.5">
      <c r="C59" s="434" t="s">
        <v>874</v>
      </c>
      <c r="D59" s="428">
        <f>ROUND(1000*(0.25*PI()*D58^2)/100/E58,2)</f>
        <v>5.24</v>
      </c>
      <c r="E59" s="438" t="s">
        <v>875</v>
      </c>
    </row>
    <row r="61" spans="1:9" ht="17.5">
      <c r="D61" s="434" t="s">
        <v>876</v>
      </c>
      <c r="E61" s="417">
        <f>D59/(F10*0.1)</f>
        <v>0.65500000000000003</v>
      </c>
      <c r="F61" s="438" t="s">
        <v>872</v>
      </c>
      <c r="G61" s="446" t="s">
        <v>870</v>
      </c>
      <c r="H61" s="429" t="str">
        <f>IF(AND(E61&gt;0.4,E61&lt;0.8),"Hîp Lý","Kh«ng Hîp Lý")</f>
        <v>Hîp Lý</v>
      </c>
    </row>
    <row r="63" spans="1:9">
      <c r="A63" s="435" t="s">
        <v>877</v>
      </c>
      <c r="B63" s="434" t="s">
        <v>878</v>
      </c>
    </row>
    <row r="64" spans="1:9" ht="20.5">
      <c r="A64" s="410" t="s">
        <v>884</v>
      </c>
    </row>
    <row r="65" spans="1:1" ht="17.5">
      <c r="A65" s="427" t="s">
        <v>885</v>
      </c>
    </row>
  </sheetData>
  <mergeCells count="14">
    <mergeCell ref="I37:I38"/>
    <mergeCell ref="C55:C56"/>
    <mergeCell ref="D55:D56"/>
    <mergeCell ref="E55:E56"/>
    <mergeCell ref="H55:H56"/>
    <mergeCell ref="I55:I56"/>
    <mergeCell ref="A1:C1"/>
    <mergeCell ref="D1:G1"/>
    <mergeCell ref="C3:H4"/>
    <mergeCell ref="D5:G5"/>
    <mergeCell ref="C37:C38"/>
    <mergeCell ref="D37:D38"/>
    <mergeCell ref="E37:E38"/>
    <mergeCell ref="H37:H38"/>
  </mergeCells>
  <dataValidations count="2">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xr:uid="{AFC0B2A4-6F01-4666-8F4D-2780A49A3894}">
      <formula1>"B12,5(M150),B15(M200),B20(M250),B22,5(M300),B25(M350),B30(M400),B35(M450),B40(M500),B45(M600),B50(M700),B55(M750),B60(M800)"</formula1>
    </dataValidation>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xr:uid="{1839EA80-79B8-4818-AFE0-1740574AC9C6}">
      <formula1>"AI,AII,AIII1,AIII2,AIV,AV,AVI"</formula1>
    </dataValidation>
  </dataValidations>
  <pageMargins left="0.7" right="0.7" top="0.75" bottom="0.75" header="0.3" footer="0.3"/>
  <drawing r:id="rId1"/>
  <legacyDrawing r:id="rId2"/>
  <oleObjects>
    <mc:AlternateContent xmlns:mc="http://schemas.openxmlformats.org/markup-compatibility/2006">
      <mc:Choice Requires="x14">
        <oleObject progId="Equation.DSMT4" shapeId="28673" r:id="rId3">
          <objectPr defaultSize="0" autoPict="0" r:id="rId4">
            <anchor moveWithCells="1">
              <from>
                <xdr:col>0</xdr:col>
                <xdr:colOff>0</xdr:colOff>
                <xdr:row>29</xdr:row>
                <xdr:rowOff>25400</xdr:rowOff>
              </from>
              <to>
                <xdr:col>1</xdr:col>
                <xdr:colOff>723900</xdr:colOff>
                <xdr:row>34</xdr:row>
                <xdr:rowOff>177800</xdr:rowOff>
              </to>
            </anchor>
          </objectPr>
        </oleObject>
      </mc:Choice>
      <mc:Fallback>
        <oleObject progId="Equation.DSMT4" shapeId="28673" r:id="rId3"/>
      </mc:Fallback>
    </mc:AlternateContent>
    <mc:AlternateContent xmlns:mc="http://schemas.openxmlformats.org/markup-compatibility/2006">
      <mc:Choice Requires="x14">
        <oleObject progId="Equation.DSMT4" shapeId="28674" r:id="rId5">
          <objectPr defaultSize="0" autoPict="0" r:id="rId6">
            <anchor moveWithCells="1">
              <from>
                <xdr:col>0</xdr:col>
                <xdr:colOff>1054100</xdr:colOff>
                <xdr:row>34</xdr:row>
                <xdr:rowOff>165100</xdr:rowOff>
              </from>
              <to>
                <xdr:col>2</xdr:col>
                <xdr:colOff>406400</xdr:colOff>
                <xdr:row>38</xdr:row>
                <xdr:rowOff>165100</xdr:rowOff>
              </to>
            </anchor>
          </objectPr>
        </oleObject>
      </mc:Choice>
      <mc:Fallback>
        <oleObject progId="Equation.DSMT4" shapeId="28674" r:id="rId5"/>
      </mc:Fallback>
    </mc:AlternateContent>
    <mc:AlternateContent xmlns:mc="http://schemas.openxmlformats.org/markup-compatibility/2006">
      <mc:Choice Requires="x14">
        <oleObject progId="Equation.DSMT4" shapeId="28675" r:id="rId7">
          <objectPr defaultSize="0" autoPict="0" r:id="rId8">
            <anchor moveWithCells="1">
              <from>
                <xdr:col>2</xdr:col>
                <xdr:colOff>330200</xdr:colOff>
                <xdr:row>38</xdr:row>
                <xdr:rowOff>203200</xdr:rowOff>
              </from>
              <to>
                <xdr:col>2</xdr:col>
                <xdr:colOff>546100</xdr:colOff>
                <xdr:row>40</xdr:row>
                <xdr:rowOff>63500</xdr:rowOff>
              </to>
            </anchor>
          </objectPr>
        </oleObject>
      </mc:Choice>
      <mc:Fallback>
        <oleObject progId="Equation.DSMT4" shapeId="28675" r:id="rId7"/>
      </mc:Fallback>
    </mc:AlternateContent>
    <mc:AlternateContent xmlns:mc="http://schemas.openxmlformats.org/markup-compatibility/2006">
      <mc:Choice Requires="x14">
        <oleObject progId="Equation.DSMT4" shapeId="28676" r:id="rId9">
          <objectPr defaultSize="0" autoPict="0" r:id="rId10">
            <anchor moveWithCells="1">
              <from>
                <xdr:col>0</xdr:col>
                <xdr:colOff>495300</xdr:colOff>
                <xdr:row>47</xdr:row>
                <xdr:rowOff>88900</xdr:rowOff>
              </from>
              <to>
                <xdr:col>1</xdr:col>
                <xdr:colOff>812800</xdr:colOff>
                <xdr:row>53</xdr:row>
                <xdr:rowOff>50800</xdr:rowOff>
              </to>
            </anchor>
          </objectPr>
        </oleObject>
      </mc:Choice>
      <mc:Fallback>
        <oleObject progId="Equation.DSMT4" shapeId="28676" r:id="rId9"/>
      </mc:Fallback>
    </mc:AlternateContent>
    <mc:AlternateContent xmlns:mc="http://schemas.openxmlformats.org/markup-compatibility/2006">
      <mc:Choice Requires="x14">
        <oleObject progId="Equation.DSMT4" shapeId="28677" r:id="rId11">
          <objectPr defaultSize="0" autoPict="0" r:id="rId6">
            <anchor moveWithCells="1">
              <from>
                <xdr:col>1</xdr:col>
                <xdr:colOff>177800</xdr:colOff>
                <xdr:row>53</xdr:row>
                <xdr:rowOff>152400</xdr:rowOff>
              </from>
              <to>
                <xdr:col>2</xdr:col>
                <xdr:colOff>698500</xdr:colOff>
                <xdr:row>57</xdr:row>
                <xdr:rowOff>152400</xdr:rowOff>
              </to>
            </anchor>
          </objectPr>
        </oleObject>
      </mc:Choice>
      <mc:Fallback>
        <oleObject progId="Equation.DSMT4" shapeId="28677" r:id="rId11"/>
      </mc:Fallback>
    </mc:AlternateContent>
    <mc:AlternateContent xmlns:mc="http://schemas.openxmlformats.org/markup-compatibility/2006">
      <mc:Choice Requires="x14">
        <oleObject progId="Equation.DSMT4" shapeId="28678" r:id="rId12">
          <objectPr defaultSize="0" autoPict="0" r:id="rId13">
            <anchor moveWithCells="1">
              <from>
                <xdr:col>2</xdr:col>
                <xdr:colOff>0</xdr:colOff>
                <xdr:row>41</xdr:row>
                <xdr:rowOff>38100</xdr:rowOff>
              </from>
              <to>
                <xdr:col>3</xdr:col>
                <xdr:colOff>304800</xdr:colOff>
                <xdr:row>44</xdr:row>
                <xdr:rowOff>38100</xdr:rowOff>
              </to>
            </anchor>
          </objectPr>
        </oleObject>
      </mc:Choice>
      <mc:Fallback>
        <oleObject progId="Equation.DSMT4" shapeId="28678" r:id="rId12"/>
      </mc:Fallback>
    </mc:AlternateContent>
    <mc:AlternateContent xmlns:mc="http://schemas.openxmlformats.org/markup-compatibility/2006">
      <mc:Choice Requires="x14">
        <oleObject progId="Equation.DSMT4" shapeId="28679" r:id="rId14">
          <objectPr defaultSize="0" autoPict="0" r:id="rId8">
            <anchor moveWithCells="1">
              <from>
                <xdr:col>2</xdr:col>
                <xdr:colOff>330200</xdr:colOff>
                <xdr:row>56</xdr:row>
                <xdr:rowOff>203200</xdr:rowOff>
              </from>
              <to>
                <xdr:col>2</xdr:col>
                <xdr:colOff>546100</xdr:colOff>
                <xdr:row>58</xdr:row>
                <xdr:rowOff>63500</xdr:rowOff>
              </to>
            </anchor>
          </objectPr>
        </oleObject>
      </mc:Choice>
      <mc:Fallback>
        <oleObject progId="Equation.DSMT4" shapeId="28679" r:id="rId14"/>
      </mc:Fallback>
    </mc:AlternateContent>
    <mc:AlternateContent xmlns:mc="http://schemas.openxmlformats.org/markup-compatibility/2006">
      <mc:Choice Requires="x14">
        <oleObject progId="Equation.DSMT4" shapeId="28680" r:id="rId15">
          <objectPr defaultSize="0" autoPict="0" r:id="rId13">
            <anchor moveWithCells="1">
              <from>
                <xdr:col>2</xdr:col>
                <xdr:colOff>12700</xdr:colOff>
                <xdr:row>59</xdr:row>
                <xdr:rowOff>76200</xdr:rowOff>
              </from>
              <to>
                <xdr:col>3</xdr:col>
                <xdr:colOff>482600</xdr:colOff>
                <xdr:row>62</xdr:row>
                <xdr:rowOff>127000</xdr:rowOff>
              </to>
            </anchor>
          </objectPr>
        </oleObject>
      </mc:Choice>
      <mc:Fallback>
        <oleObject progId="Equation.DSMT4" shapeId="28680" r:id="rId15"/>
      </mc:Fallback>
    </mc:AlternateContent>
    <mc:AlternateContent xmlns:mc="http://schemas.openxmlformats.org/markup-compatibility/2006">
      <mc:Choice Requires="x14">
        <oleObject progId="Equation.DSMT4" shapeId="28681" r:id="rId16">
          <objectPr defaultSize="0" autoPict="0" r:id="rId17">
            <anchor moveWithCells="1">
              <from>
                <xdr:col>5</xdr:col>
                <xdr:colOff>101600</xdr:colOff>
                <xdr:row>35</xdr:row>
                <xdr:rowOff>139700</xdr:rowOff>
              </from>
              <to>
                <xdr:col>7</xdr:col>
                <xdr:colOff>25400</xdr:colOff>
                <xdr:row>39</xdr:row>
                <xdr:rowOff>50800</xdr:rowOff>
              </to>
            </anchor>
          </objectPr>
        </oleObject>
      </mc:Choice>
      <mc:Fallback>
        <oleObject progId="Equation.DSMT4" shapeId="28681" r:id="rId16"/>
      </mc:Fallback>
    </mc:AlternateContent>
    <mc:AlternateContent xmlns:mc="http://schemas.openxmlformats.org/markup-compatibility/2006">
      <mc:Choice Requires="x14">
        <oleObject progId="Equation.DSMT4" shapeId="28682" r:id="rId18">
          <objectPr defaultSize="0" autoPict="0" r:id="rId17">
            <anchor moveWithCells="1">
              <from>
                <xdr:col>5</xdr:col>
                <xdr:colOff>101600</xdr:colOff>
                <xdr:row>53</xdr:row>
                <xdr:rowOff>139700</xdr:rowOff>
              </from>
              <to>
                <xdr:col>7</xdr:col>
                <xdr:colOff>0</xdr:colOff>
                <xdr:row>57</xdr:row>
                <xdr:rowOff>50800</xdr:rowOff>
              </to>
            </anchor>
          </objectPr>
        </oleObject>
      </mc:Choice>
      <mc:Fallback>
        <oleObject progId="Equation.DSMT4" shapeId="28682" r:id="rId18"/>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O266"/>
  <sheetViews>
    <sheetView workbookViewId="0">
      <selection activeCell="N48" sqref="N48"/>
    </sheetView>
  </sheetViews>
  <sheetFormatPr defaultColWidth="9.08203125" defaultRowHeight="16.5"/>
  <cols>
    <col min="1" max="1" width="41.08203125" style="539" bestFit="1" customWidth="1"/>
    <col min="2" max="2" width="17.4140625" style="539" customWidth="1"/>
    <col min="3" max="3" width="10" style="539" bestFit="1" customWidth="1"/>
    <col min="4" max="4" width="12.9140625" style="539" bestFit="1" customWidth="1"/>
    <col min="5" max="5" width="14.4140625" style="539" bestFit="1" customWidth="1"/>
    <col min="6" max="6" width="11.4140625" style="539" bestFit="1" customWidth="1"/>
    <col min="7" max="7" width="14.4140625" style="540" bestFit="1" customWidth="1"/>
    <col min="8" max="8" width="13.4140625" style="539" bestFit="1" customWidth="1"/>
    <col min="9" max="9" width="10.08203125" style="539" bestFit="1" customWidth="1"/>
    <col min="10" max="10" width="15.08203125" style="539" bestFit="1" customWidth="1"/>
    <col min="11" max="11" width="9.08203125" style="539"/>
    <col min="12" max="14" width="9.33203125" style="539" bestFit="1" customWidth="1"/>
    <col min="15" max="15" width="11.33203125" style="539" bestFit="1" customWidth="1"/>
    <col min="16" max="16384" width="9.08203125" style="539"/>
  </cols>
  <sheetData>
    <row r="1" spans="1:3">
      <c r="A1" s="539" t="s">
        <v>69</v>
      </c>
      <c r="B1" s="539" t="s">
        <v>70</v>
      </c>
    </row>
    <row r="2" spans="1:3">
      <c r="A2" s="539" t="s">
        <v>0</v>
      </c>
      <c r="B2" s="541" t="s">
        <v>1478</v>
      </c>
    </row>
    <row r="3" spans="1:3">
      <c r="A3" s="539" t="s">
        <v>71</v>
      </c>
      <c r="B3" s="539" t="s">
        <v>1479</v>
      </c>
    </row>
    <row r="4" spans="1:3">
      <c r="A4" s="539" t="s">
        <v>72</v>
      </c>
      <c r="B4" s="539" t="s">
        <v>73</v>
      </c>
    </row>
    <row r="5" spans="1:3">
      <c r="A5" s="539" t="s">
        <v>74</v>
      </c>
      <c r="B5" s="539">
        <v>5000</v>
      </c>
    </row>
    <row r="6" spans="1:3">
      <c r="A6" s="539" t="s">
        <v>1</v>
      </c>
      <c r="B6" s="539">
        <v>4</v>
      </c>
      <c r="C6" s="539" t="s">
        <v>4</v>
      </c>
    </row>
    <row r="7" spans="1:3">
      <c r="A7" s="539" t="s">
        <v>2</v>
      </c>
      <c r="B7" s="539">
        <v>435.7</v>
      </c>
      <c r="C7" s="539" t="s">
        <v>3</v>
      </c>
    </row>
    <row r="8" spans="1:3">
      <c r="A8" s="539" t="s">
        <v>75</v>
      </c>
      <c r="B8" s="539">
        <v>814.3</v>
      </c>
      <c r="C8" s="539" t="s">
        <v>3</v>
      </c>
    </row>
    <row r="9" spans="1:3">
      <c r="A9" s="539" t="s">
        <v>76</v>
      </c>
      <c r="B9" s="539" t="s">
        <v>982</v>
      </c>
    </row>
    <row r="10" spans="1:3">
      <c r="A10" s="539" t="s">
        <v>77</v>
      </c>
    </row>
    <row r="11" spans="1:3">
      <c r="A11" s="541" t="s">
        <v>5</v>
      </c>
    </row>
    <row r="12" spans="1:3">
      <c r="A12" s="539" t="s">
        <v>9</v>
      </c>
      <c r="B12" s="539">
        <v>2.85</v>
      </c>
      <c r="C12" s="539" t="s">
        <v>6</v>
      </c>
    </row>
    <row r="13" spans="1:3">
      <c r="A13" s="539" t="s">
        <v>8</v>
      </c>
      <c r="B13" s="539">
        <v>3.6</v>
      </c>
      <c r="C13" s="539" t="s">
        <v>6</v>
      </c>
    </row>
    <row r="14" spans="1:3">
      <c r="A14" s="539" t="s">
        <v>7</v>
      </c>
      <c r="B14" s="539">
        <v>6.45</v>
      </c>
      <c r="C14" s="539" t="s">
        <v>6</v>
      </c>
    </row>
    <row r="15" spans="1:3">
      <c r="A15" s="539" t="s">
        <v>10</v>
      </c>
      <c r="B15" s="539">
        <v>13.35</v>
      </c>
      <c r="C15" s="539" t="s">
        <v>6</v>
      </c>
    </row>
    <row r="16" spans="1:3">
      <c r="A16" s="539" t="s">
        <v>11</v>
      </c>
      <c r="B16" s="539">
        <f>B15</f>
        <v>13.35</v>
      </c>
      <c r="C16" s="539" t="s">
        <v>6</v>
      </c>
    </row>
    <row r="17" spans="1:11">
      <c r="A17" s="539" t="s">
        <v>78</v>
      </c>
      <c r="B17" s="539">
        <v>3.6</v>
      </c>
      <c r="C17" s="539" t="s">
        <v>6</v>
      </c>
    </row>
    <row r="18" spans="1:11">
      <c r="A18" s="539" t="s">
        <v>79</v>
      </c>
      <c r="B18" s="539">
        <v>3.6</v>
      </c>
      <c r="C18" s="539" t="s">
        <v>6</v>
      </c>
    </row>
    <row r="19" spans="1:11">
      <c r="A19" s="539" t="s">
        <v>80</v>
      </c>
      <c r="B19" s="539">
        <v>3.3</v>
      </c>
      <c r="C19" s="539" t="s">
        <v>6</v>
      </c>
    </row>
    <row r="20" spans="1:11">
      <c r="A20" s="541" t="s">
        <v>81</v>
      </c>
    </row>
    <row r="21" spans="1:11">
      <c r="A21" s="539" t="s">
        <v>82</v>
      </c>
      <c r="B21" s="539" t="s">
        <v>706</v>
      </c>
      <c r="C21" s="539">
        <v>15</v>
      </c>
    </row>
    <row r="22" spans="1:11">
      <c r="A22" s="539" t="s">
        <v>84</v>
      </c>
      <c r="B22" s="539">
        <v>8.5</v>
      </c>
      <c r="C22" s="539" t="s">
        <v>92</v>
      </c>
      <c r="D22" s="539">
        <f>B22*100</f>
        <v>850</v>
      </c>
      <c r="H22" s="539">
        <f>B22*100</f>
        <v>850</v>
      </c>
      <c r="I22" s="539" t="s">
        <v>731</v>
      </c>
      <c r="J22" s="644" t="s">
        <v>1006</v>
      </c>
      <c r="K22" s="645">
        <f>(0.85-0.008*B22)/(1+B31*(1-(0.85-0.008*B22)/1.1)/400)</f>
        <v>0.65038560411311053</v>
      </c>
    </row>
    <row r="23" spans="1:11">
      <c r="A23" s="539" t="s">
        <v>85</v>
      </c>
      <c r="B23" s="539">
        <v>0.75</v>
      </c>
      <c r="C23" s="539" t="s">
        <v>92</v>
      </c>
      <c r="D23" s="539">
        <f>B23*100</f>
        <v>75</v>
      </c>
      <c r="H23" s="539">
        <f t="shared" ref="H23:H24" si="0">B23*100</f>
        <v>75</v>
      </c>
      <c r="I23" s="539" t="s">
        <v>731</v>
      </c>
      <c r="J23" s="644" t="s">
        <v>1007</v>
      </c>
      <c r="K23" s="645">
        <f>K22*(1-0.5*K22)</f>
        <v>0.43888488709432261</v>
      </c>
    </row>
    <row r="24" spans="1:11">
      <c r="A24" s="539" t="s">
        <v>86</v>
      </c>
      <c r="B24" s="551">
        <v>23000</v>
      </c>
      <c r="C24" s="539" t="s">
        <v>92</v>
      </c>
      <c r="D24" s="551">
        <f>B24*100</f>
        <v>2300000</v>
      </c>
      <c r="H24" s="551">
        <f t="shared" si="0"/>
        <v>2300000</v>
      </c>
      <c r="I24" s="539" t="s">
        <v>731</v>
      </c>
      <c r="J24" s="539" t="s">
        <v>1008</v>
      </c>
      <c r="K24" s="645">
        <f>K22*H22/H31*100</f>
        <v>1.9743848696290853</v>
      </c>
    </row>
    <row r="25" spans="1:11">
      <c r="A25" s="541" t="s">
        <v>87</v>
      </c>
    </row>
    <row r="26" spans="1:11">
      <c r="A26" s="539" t="s">
        <v>88</v>
      </c>
      <c r="B26" s="539" t="s">
        <v>184</v>
      </c>
      <c r="F26" s="539" t="s">
        <v>89</v>
      </c>
    </row>
    <row r="27" spans="1:11">
      <c r="A27" s="539" t="s">
        <v>90</v>
      </c>
      <c r="B27" s="539">
        <v>225</v>
      </c>
      <c r="C27" s="539" t="s">
        <v>92</v>
      </c>
      <c r="D27" s="551">
        <f>B27*10</f>
        <v>2250</v>
      </c>
      <c r="F27" s="539">
        <v>260</v>
      </c>
      <c r="G27" s="540" t="s">
        <v>92</v>
      </c>
      <c r="H27" s="551">
        <f t="shared" ref="H27:H29" si="1">B27*100</f>
        <v>22500</v>
      </c>
      <c r="I27" s="539" t="s">
        <v>731</v>
      </c>
    </row>
    <row r="28" spans="1:11">
      <c r="A28" s="539" t="s">
        <v>91</v>
      </c>
      <c r="B28" s="539">
        <v>175</v>
      </c>
      <c r="C28" s="539" t="s">
        <v>92</v>
      </c>
      <c r="D28" s="551">
        <f>B28*10</f>
        <v>1750</v>
      </c>
      <c r="F28" s="539">
        <v>210</v>
      </c>
      <c r="G28" s="540" t="s">
        <v>92</v>
      </c>
      <c r="H28" s="551">
        <f t="shared" si="1"/>
        <v>17500</v>
      </c>
      <c r="I28" s="539" t="s">
        <v>731</v>
      </c>
    </row>
    <row r="29" spans="1:11">
      <c r="A29" s="539" t="s">
        <v>86</v>
      </c>
      <c r="B29" s="551">
        <v>210000</v>
      </c>
      <c r="C29" s="539" t="s">
        <v>92</v>
      </c>
      <c r="F29" s="539">
        <v>200000</v>
      </c>
      <c r="G29" s="540" t="s">
        <v>92</v>
      </c>
      <c r="H29" s="551">
        <f t="shared" si="1"/>
        <v>21000000</v>
      </c>
      <c r="I29" s="539" t="s">
        <v>731</v>
      </c>
    </row>
    <row r="30" spans="1:11">
      <c r="A30" s="539" t="s">
        <v>88</v>
      </c>
      <c r="B30" s="539" t="s">
        <v>185</v>
      </c>
      <c r="F30" s="539" t="s">
        <v>93</v>
      </c>
      <c r="H30" s="551"/>
    </row>
    <row r="31" spans="1:11">
      <c r="A31" s="539" t="s">
        <v>90</v>
      </c>
      <c r="B31" s="539">
        <v>280</v>
      </c>
      <c r="C31" s="539" t="s">
        <v>92</v>
      </c>
      <c r="D31" s="539">
        <f>B31*10</f>
        <v>2800</v>
      </c>
      <c r="F31" s="539">
        <v>260</v>
      </c>
      <c r="G31" s="540" t="s">
        <v>92</v>
      </c>
      <c r="H31" s="551">
        <f t="shared" ref="H31:H33" si="2">B31*100</f>
        <v>28000</v>
      </c>
      <c r="I31" s="539" t="s">
        <v>731</v>
      </c>
    </row>
    <row r="32" spans="1:11">
      <c r="A32" s="539" t="s">
        <v>91</v>
      </c>
      <c r="B32" s="539">
        <v>225</v>
      </c>
      <c r="C32" s="539" t="s">
        <v>92</v>
      </c>
      <c r="F32" s="539">
        <v>210</v>
      </c>
      <c r="G32" s="540" t="s">
        <v>92</v>
      </c>
      <c r="H32" s="551">
        <f t="shared" si="2"/>
        <v>22500</v>
      </c>
      <c r="I32" s="539" t="s">
        <v>731</v>
      </c>
    </row>
    <row r="33" spans="1:9">
      <c r="A33" s="539" t="s">
        <v>86</v>
      </c>
      <c r="B33" s="551">
        <v>210000</v>
      </c>
      <c r="C33" s="539" t="s">
        <v>92</v>
      </c>
      <c r="F33" s="539">
        <v>200000</v>
      </c>
      <c r="G33" s="540" t="s">
        <v>92</v>
      </c>
      <c r="H33" s="551">
        <f t="shared" si="2"/>
        <v>21000000</v>
      </c>
      <c r="I33" s="539" t="s">
        <v>731</v>
      </c>
    </row>
    <row r="34" spans="1:9">
      <c r="A34" s="539" t="s">
        <v>88</v>
      </c>
      <c r="B34" s="539" t="s">
        <v>186</v>
      </c>
      <c r="F34" s="539" t="s">
        <v>94</v>
      </c>
      <c r="H34" s="551"/>
    </row>
    <row r="35" spans="1:9">
      <c r="A35" s="539" t="s">
        <v>90</v>
      </c>
      <c r="B35" s="539">
        <v>365</v>
      </c>
      <c r="C35" s="539" t="s">
        <v>92</v>
      </c>
      <c r="F35" s="539">
        <v>350</v>
      </c>
      <c r="G35" s="540" t="s">
        <v>92</v>
      </c>
      <c r="H35" s="551">
        <f t="shared" ref="H35:H37" si="3">B35*100</f>
        <v>36500</v>
      </c>
      <c r="I35" s="539" t="s">
        <v>731</v>
      </c>
    </row>
    <row r="36" spans="1:9">
      <c r="A36" s="539" t="s">
        <v>91</v>
      </c>
      <c r="B36" s="539">
        <v>290</v>
      </c>
      <c r="C36" s="539" t="s">
        <v>92</v>
      </c>
      <c r="F36" s="539">
        <v>280</v>
      </c>
      <c r="G36" s="540" t="s">
        <v>92</v>
      </c>
      <c r="H36" s="551">
        <f t="shared" si="3"/>
        <v>29000</v>
      </c>
      <c r="I36" s="539" t="s">
        <v>731</v>
      </c>
    </row>
    <row r="37" spans="1:9">
      <c r="A37" s="539" t="s">
        <v>86</v>
      </c>
      <c r="B37" s="551">
        <v>210000</v>
      </c>
      <c r="C37" s="539" t="s">
        <v>92</v>
      </c>
      <c r="F37" s="539">
        <v>200000</v>
      </c>
      <c r="G37" s="540" t="s">
        <v>92</v>
      </c>
      <c r="H37" s="551">
        <f t="shared" si="3"/>
        <v>21000000</v>
      </c>
      <c r="I37" s="539" t="s">
        <v>731</v>
      </c>
    </row>
    <row r="38" spans="1:9">
      <c r="A38" s="541" t="s">
        <v>113</v>
      </c>
    </row>
    <row r="39" spans="1:9">
      <c r="A39" s="541" t="s">
        <v>114</v>
      </c>
    </row>
    <row r="40" spans="1:9">
      <c r="A40" s="539" t="s">
        <v>116</v>
      </c>
      <c r="B40" s="539">
        <v>4000</v>
      </c>
      <c r="C40" s="539">
        <f>B40/1000</f>
        <v>4</v>
      </c>
    </row>
    <row r="41" spans="1:9">
      <c r="A41" s="539" t="s">
        <v>117</v>
      </c>
      <c r="B41" s="539">
        <v>6000</v>
      </c>
      <c r="C41" s="539">
        <f>B41/1000</f>
        <v>6</v>
      </c>
    </row>
    <row r="42" spans="1:9">
      <c r="A42" s="539" t="s">
        <v>115</v>
      </c>
      <c r="B42" s="542" t="str">
        <f>B40/1000 &amp; "m x " &amp;B41/1000&amp;"m"</f>
        <v>4m x 6m</v>
      </c>
    </row>
    <row r="43" spans="1:9">
      <c r="A43" s="539" t="s">
        <v>156</v>
      </c>
      <c r="B43" s="539">
        <v>1.2</v>
      </c>
    </row>
    <row r="44" spans="1:9">
      <c r="A44" s="539" t="s">
        <v>6</v>
      </c>
      <c r="B44" s="539">
        <v>45</v>
      </c>
    </row>
    <row r="45" spans="1:9">
      <c r="A45" s="539" t="s">
        <v>157</v>
      </c>
      <c r="B45" s="539">
        <f>ROUNDUP(B43/B44*B40,0)</f>
        <v>107</v>
      </c>
      <c r="C45" s="539" t="s">
        <v>158</v>
      </c>
      <c r="D45" s="541" t="s">
        <v>170</v>
      </c>
      <c r="E45" s="543">
        <v>100</v>
      </c>
      <c r="F45" s="541" t="s">
        <v>171</v>
      </c>
      <c r="G45" s="543">
        <v>20</v>
      </c>
      <c r="H45" s="541" t="s">
        <v>172</v>
      </c>
      <c r="I45" s="541">
        <f>E45-G45</f>
        <v>80</v>
      </c>
    </row>
    <row r="46" spans="1:9">
      <c r="A46" s="541" t="s">
        <v>159</v>
      </c>
      <c r="E46" s="539">
        <f>E45/10</f>
        <v>10</v>
      </c>
      <c r="G46" s="540">
        <f>G45/10</f>
        <v>2</v>
      </c>
      <c r="I46" s="539">
        <f>I45/10</f>
        <v>8</v>
      </c>
    </row>
    <row r="47" spans="1:9">
      <c r="A47" s="544" t="s">
        <v>160</v>
      </c>
      <c r="E47" s="539">
        <f>E45/1000</f>
        <v>0.1</v>
      </c>
    </row>
    <row r="48" spans="1:9">
      <c r="A48" s="539" t="s">
        <v>161</v>
      </c>
      <c r="B48" s="539">
        <f>ROUNDUP($B$41/D48,0)</f>
        <v>600</v>
      </c>
      <c r="C48" s="539" t="s">
        <v>158</v>
      </c>
      <c r="D48" s="539">
        <v>10</v>
      </c>
    </row>
    <row r="49" spans="1:4">
      <c r="A49" s="539" t="s">
        <v>162</v>
      </c>
      <c r="B49" s="539">
        <f>ROUNDUP($B$41/D49,0)</f>
        <v>400</v>
      </c>
      <c r="C49" s="539" t="s">
        <v>158</v>
      </c>
      <c r="D49" s="539">
        <v>15</v>
      </c>
    </row>
    <row r="50" spans="1:4">
      <c r="A50" s="539" t="s">
        <v>163</v>
      </c>
      <c r="B50" s="541">
        <v>400</v>
      </c>
      <c r="C50" s="539" t="s">
        <v>158</v>
      </c>
      <c r="D50" s="539" t="s">
        <v>618</v>
      </c>
    </row>
    <row r="51" spans="1:4">
      <c r="A51" s="539" t="s">
        <v>164</v>
      </c>
      <c r="B51" s="539">
        <f>ROUNDUP($B$50/D51,0)</f>
        <v>200</v>
      </c>
      <c r="C51" s="539" t="s">
        <v>158</v>
      </c>
      <c r="D51" s="539">
        <v>2</v>
      </c>
    </row>
    <row r="52" spans="1:4">
      <c r="A52" s="539" t="s">
        <v>165</v>
      </c>
      <c r="B52" s="539">
        <f>ROUNDUP($B$50/D52,0)</f>
        <v>134</v>
      </c>
      <c r="C52" s="539" t="s">
        <v>158</v>
      </c>
      <c r="D52" s="539">
        <v>3</v>
      </c>
    </row>
    <row r="53" spans="1:4">
      <c r="A53" s="539" t="s">
        <v>166</v>
      </c>
      <c r="B53" s="541">
        <v>200</v>
      </c>
      <c r="C53" s="539" t="s">
        <v>158</v>
      </c>
    </row>
    <row r="54" spans="1:4">
      <c r="A54" s="539" t="s">
        <v>167</v>
      </c>
      <c r="B54" s="542" t="str">
        <f>B53/1000 &amp; "m x " &amp;B50/1000&amp;"m"</f>
        <v>0,2m x 0,4m</v>
      </c>
    </row>
    <row r="55" spans="1:4">
      <c r="A55" s="544" t="s">
        <v>168</v>
      </c>
    </row>
    <row r="56" spans="1:4">
      <c r="A56" s="539" t="s">
        <v>161</v>
      </c>
      <c r="B56" s="539">
        <f>ROUNDUP($B$41/D56,0)</f>
        <v>400</v>
      </c>
      <c r="C56" s="539" t="s">
        <v>158</v>
      </c>
      <c r="D56" s="539">
        <v>15</v>
      </c>
    </row>
    <row r="57" spans="1:4">
      <c r="A57" s="539" t="s">
        <v>162</v>
      </c>
      <c r="B57" s="539">
        <f>ROUNDUP($B$41/D57,0)</f>
        <v>300</v>
      </c>
      <c r="C57" s="539" t="s">
        <v>158</v>
      </c>
      <c r="D57" s="539">
        <v>20</v>
      </c>
    </row>
    <row r="58" spans="1:4">
      <c r="A58" s="539" t="s">
        <v>163</v>
      </c>
      <c r="B58" s="541">
        <v>350</v>
      </c>
      <c r="C58" s="539" t="s">
        <v>158</v>
      </c>
      <c r="D58" s="539">
        <v>0</v>
      </c>
    </row>
    <row r="59" spans="1:4">
      <c r="A59" s="539" t="s">
        <v>164</v>
      </c>
      <c r="B59" s="539">
        <f>ROUNDUP($B$50/D59,0)</f>
        <v>200</v>
      </c>
      <c r="C59" s="539" t="s">
        <v>158</v>
      </c>
      <c r="D59" s="539">
        <v>2</v>
      </c>
    </row>
    <row r="60" spans="1:4">
      <c r="A60" s="539" t="s">
        <v>165</v>
      </c>
      <c r="B60" s="539">
        <f>ROUNDUP($B$50/D60,0)</f>
        <v>134</v>
      </c>
      <c r="C60" s="539" t="s">
        <v>158</v>
      </c>
      <c r="D60" s="539">
        <v>3</v>
      </c>
    </row>
    <row r="61" spans="1:4">
      <c r="A61" s="539" t="s">
        <v>166</v>
      </c>
      <c r="B61" s="541">
        <v>200</v>
      </c>
      <c r="C61" s="539" t="s">
        <v>158</v>
      </c>
    </row>
    <row r="62" spans="1:4">
      <c r="A62" s="539" t="s">
        <v>169</v>
      </c>
      <c r="B62" s="542" t="str">
        <f>B61/1000 &amp; "m x " &amp;B58/1000&amp;"m"</f>
        <v>0,2m x 0,35m</v>
      </c>
    </row>
    <row r="63" spans="1:4">
      <c r="A63" s="544" t="s">
        <v>173</v>
      </c>
    </row>
    <row r="64" spans="1:4">
      <c r="A64" s="541" t="s">
        <v>174</v>
      </c>
    </row>
    <row r="65" spans="1:7">
      <c r="A65" s="539" t="s">
        <v>178</v>
      </c>
      <c r="B65" s="539" t="str">
        <f>'TINH TOAN'!T2</f>
        <v>S1C</v>
      </c>
    </row>
    <row r="66" spans="1:7">
      <c r="A66" s="539" t="s">
        <v>176</v>
      </c>
      <c r="B66" s="539">
        <f>VLOOKUP(B65,KH_SAN2,4,0)*1000</f>
        <v>1599.9999999999998</v>
      </c>
      <c r="C66" s="539" t="s">
        <v>158</v>
      </c>
      <c r="D66" s="539">
        <f>B66/1000</f>
        <v>1.5999999999999999</v>
      </c>
    </row>
    <row r="67" spans="1:7">
      <c r="A67" s="539" t="s">
        <v>175</v>
      </c>
      <c r="B67" s="539">
        <f>VLOOKUP(B65,KH_SAN2,5,0)*1000</f>
        <v>4000</v>
      </c>
      <c r="C67" s="539" t="s">
        <v>158</v>
      </c>
      <c r="D67" s="539">
        <f>B67/1000</f>
        <v>4</v>
      </c>
    </row>
    <row r="68" spans="1:7">
      <c r="A68" s="539" t="s">
        <v>177</v>
      </c>
      <c r="B68" s="545">
        <f>'TINH TOAN'!Q2</f>
        <v>2.7142857142857144</v>
      </c>
    </row>
    <row r="69" spans="1:7">
      <c r="A69" s="539" t="s">
        <v>303</v>
      </c>
      <c r="B69" s="546">
        <f>VLOOKUP(TH!B65,'tải sàn'!$B$5:$D$19,3,0)</f>
        <v>0.48</v>
      </c>
      <c r="C69" s="539" t="s">
        <v>843</v>
      </c>
    </row>
    <row r="70" spans="1:7">
      <c r="A70" s="539" t="s">
        <v>304</v>
      </c>
      <c r="B70" s="546">
        <f>VLOOKUP(TH!B65,'tải sàn'!$B$5:$D$19,2,0)</f>
        <v>0.19500000000000001</v>
      </c>
      <c r="C70" s="539" t="s">
        <v>843</v>
      </c>
    </row>
    <row r="71" spans="1:7">
      <c r="A71" s="539" t="s">
        <v>305</v>
      </c>
      <c r="B71" s="546">
        <f>(B69+B70)*D66^2/24</f>
        <v>7.1999999999999995E-2</v>
      </c>
      <c r="C71" s="539" t="s">
        <v>672</v>
      </c>
    </row>
    <row r="72" spans="1:7">
      <c r="A72" s="539" t="s">
        <v>307</v>
      </c>
      <c r="B72" s="546">
        <f>(B69+B70)*D66^2/12</f>
        <v>0.14399999999999999</v>
      </c>
      <c r="C72" s="539" t="s">
        <v>672</v>
      </c>
      <c r="E72" s="541" t="s">
        <v>313</v>
      </c>
    </row>
    <row r="73" spans="1:7">
      <c r="A73" s="539" t="s">
        <v>308</v>
      </c>
      <c r="B73" s="547">
        <f>B72/(B22*100*1*(I45/1000)^2)</f>
        <v>2.6470588235294114E-2</v>
      </c>
      <c r="C73" s="539" t="s">
        <v>1002</v>
      </c>
    </row>
    <row r="74" spans="1:7">
      <c r="A74" s="539" t="s">
        <v>309</v>
      </c>
      <c r="B74" s="546">
        <f>(1-SQRT(1-2*B73))</f>
        <v>2.6830526820013856E-2</v>
      </c>
      <c r="C74" s="539" t="s">
        <v>310</v>
      </c>
      <c r="D74" s="546">
        <f>B73/B74</f>
        <v>0.98658473658999302</v>
      </c>
      <c r="G74" s="540">
        <f>Rs_2</f>
        <v>28000</v>
      </c>
    </row>
    <row r="75" spans="1:7">
      <c r="A75" s="539" t="s">
        <v>258</v>
      </c>
      <c r="B75" s="546">
        <f>10000*B72/(Rs_2*TH!D74*h0_san*0.001)</f>
        <v>0.65159850848605094</v>
      </c>
      <c r="C75" s="539" t="s">
        <v>450</v>
      </c>
      <c r="D75" s="548">
        <f>'thepsan 1p'!N15</f>
        <v>3.9249999999999998</v>
      </c>
      <c r="E75" s="549" t="str">
        <f>'thepsan 1p'!P15</f>
        <v>Ø10a200</v>
      </c>
      <c r="G75" s="540">
        <f>'Thong so vat lieu'!G15</f>
        <v>28000</v>
      </c>
    </row>
    <row r="76" spans="1:7">
      <c r="A76" s="539" t="s">
        <v>312</v>
      </c>
      <c r="B76" s="549">
        <f>'thepsan 1p'!M16</f>
        <v>200</v>
      </c>
      <c r="C76" s="539" t="s">
        <v>451</v>
      </c>
      <c r="D76" s="548">
        <f>D75/(100*E100)*100</f>
        <v>0.49062499999999998</v>
      </c>
    </row>
    <row r="77" spans="1:7">
      <c r="A77" s="539" t="s">
        <v>311</v>
      </c>
      <c r="B77" s="549">
        <f>B67/B76+1</f>
        <v>21</v>
      </c>
    </row>
    <row r="78" spans="1:7">
      <c r="A78" s="541" t="s">
        <v>314</v>
      </c>
    </row>
    <row r="79" spans="1:7">
      <c r="A79" s="539" t="s">
        <v>305</v>
      </c>
      <c r="B79" s="546">
        <f>(B69+B70)*D66^2/24</f>
        <v>7.1999999999999995E-2</v>
      </c>
      <c r="C79" s="539" t="s">
        <v>306</v>
      </c>
    </row>
    <row r="80" spans="1:7">
      <c r="A80" s="539" t="s">
        <v>307</v>
      </c>
      <c r="B80" s="546">
        <f>(B69+B70)*D66^2/12</f>
        <v>0.14399999999999999</v>
      </c>
      <c r="C80" s="539" t="s">
        <v>306</v>
      </c>
    </row>
    <row r="81" spans="1:9">
      <c r="A81" s="539" t="s">
        <v>308</v>
      </c>
      <c r="B81" s="547">
        <f>B71/(B22*100*1*(I45/1000)^2)</f>
        <v>1.3235294117647057E-2</v>
      </c>
    </row>
    <row r="82" spans="1:9">
      <c r="A82" s="539" t="s">
        <v>309</v>
      </c>
      <c r="B82" s="546">
        <f>(1-SQRT(1-2*B81))</f>
        <v>1.3324059397055166E-2</v>
      </c>
      <c r="C82" s="539" t="s">
        <v>310</v>
      </c>
      <c r="D82" s="546">
        <f>B81/B82</f>
        <v>0.99333797030147375</v>
      </c>
    </row>
    <row r="83" spans="1:9">
      <c r="A83" s="539" t="s">
        <v>258</v>
      </c>
      <c r="B83" s="546">
        <f>10000*B79/(Rs_2*TH!D82*TH!I45*0.001)</f>
        <v>0.32358429964276836</v>
      </c>
      <c r="C83" s="539" t="s">
        <v>450</v>
      </c>
      <c r="D83" s="548">
        <f>'thepsan 1p'!N16</f>
        <v>3.9249999999999998</v>
      </c>
      <c r="E83" s="548" t="str">
        <f>'thepsan 1p'!P16</f>
        <v>Ø10a200</v>
      </c>
      <c r="F83" s="548"/>
      <c r="H83" s="548"/>
      <c r="I83" s="548"/>
    </row>
    <row r="84" spans="1:9">
      <c r="A84" s="539" t="s">
        <v>312</v>
      </c>
      <c r="B84" s="549">
        <f>'thepsan 1p'!M15</f>
        <v>200</v>
      </c>
      <c r="C84" s="539" t="s">
        <v>451</v>
      </c>
      <c r="D84" s="548">
        <f>D83/(100*$E$100)*100</f>
        <v>0.49062499999999998</v>
      </c>
    </row>
    <row r="85" spans="1:9">
      <c r="A85" s="539" t="s">
        <v>315</v>
      </c>
      <c r="B85" s="549">
        <f>B67/B84+1</f>
        <v>21</v>
      </c>
    </row>
    <row r="86" spans="1:9">
      <c r="A86" s="541" t="s">
        <v>443</v>
      </c>
    </row>
    <row r="87" spans="1:9">
      <c r="A87" s="539" t="s">
        <v>178</v>
      </c>
      <c r="B87" s="539" t="s">
        <v>103</v>
      </c>
    </row>
    <row r="88" spans="1:9">
      <c r="A88" s="539" t="s">
        <v>176</v>
      </c>
      <c r="B88" s="539">
        <f>VLOOKUP(B87,'tải sàn'!$B$5:$H$17,4,0)*1000</f>
        <v>4000</v>
      </c>
      <c r="C88" s="539" t="s">
        <v>158</v>
      </c>
      <c r="D88" s="539">
        <f>B88/1000</f>
        <v>4</v>
      </c>
    </row>
    <row r="89" spans="1:9">
      <c r="A89" s="539" t="s">
        <v>175</v>
      </c>
      <c r="B89" s="539">
        <f>VLOOKUP(B87,'tải sàn'!$B$5:$H$17,5,0)*1000</f>
        <v>6000</v>
      </c>
      <c r="C89" s="539" t="s">
        <v>158</v>
      </c>
      <c r="D89" s="539">
        <f>B89/1000</f>
        <v>6</v>
      </c>
    </row>
    <row r="90" spans="1:9">
      <c r="A90" s="539" t="s">
        <v>177</v>
      </c>
      <c r="B90" s="550">
        <f>ROUND(B89/B88,2)</f>
        <v>1.5</v>
      </c>
    </row>
    <row r="91" spans="1:9">
      <c r="A91" s="539" t="s">
        <v>303</v>
      </c>
      <c r="B91" s="539">
        <f>VLOOKUP(B87,'tải sàn'!$B$5:$H$17,3,0)</f>
        <v>0.48</v>
      </c>
      <c r="C91" s="539">
        <f>B91</f>
        <v>0.48</v>
      </c>
      <c r="D91" s="539" t="s">
        <v>731</v>
      </c>
    </row>
    <row r="92" spans="1:9">
      <c r="A92" s="539" t="s">
        <v>304</v>
      </c>
      <c r="B92" s="539">
        <f>VLOOKUP(B87,'tải sàn'!$B$5:$H$17,2,0)</f>
        <v>0.48</v>
      </c>
      <c r="C92" s="539">
        <f t="shared" ref="C92:C93" si="4">B92</f>
        <v>0.48</v>
      </c>
      <c r="D92" s="539" t="s">
        <v>731</v>
      </c>
    </row>
    <row r="93" spans="1:9">
      <c r="A93" s="539" t="s">
        <v>225</v>
      </c>
      <c r="B93" s="539">
        <f>B91+B92</f>
        <v>0.96</v>
      </c>
      <c r="C93" s="539">
        <f t="shared" si="4"/>
        <v>0.96</v>
      </c>
      <c r="D93" s="539" t="s">
        <v>731</v>
      </c>
    </row>
    <row r="94" spans="1:9">
      <c r="A94" s="539" t="s">
        <v>448</v>
      </c>
      <c r="B94" s="545">
        <f>B93*D88*D89</f>
        <v>23.04</v>
      </c>
    </row>
    <row r="95" spans="1:9">
      <c r="A95" s="539" t="s">
        <v>432</v>
      </c>
      <c r="B95" s="551">
        <f>momensan!C2</f>
        <v>9</v>
      </c>
    </row>
    <row r="96" spans="1:9">
      <c r="A96" s="539" t="s">
        <v>360</v>
      </c>
      <c r="B96" s="539">
        <f>VLOOKUP($B$90,'du lieu'!$D$18:$BF$118,HLOOKUP($B$95,'du lieu'!$D$130:$BF$131,2))</f>
        <v>2.0799999999999999E-2</v>
      </c>
    </row>
    <row r="97" spans="1:10">
      <c r="A97" s="539" t="s">
        <v>361</v>
      </c>
      <c r="B97" s="539">
        <f>VLOOKUP($B$90,'du lieu'!$D$18:$BF$118,HLOOKUP($B$95,'du lieu'!$D$133:$BF$134,2))</f>
        <v>9.2999999999999992E-3</v>
      </c>
    </row>
    <row r="98" spans="1:10">
      <c r="A98" s="539" t="s">
        <v>362</v>
      </c>
      <c r="B98" s="539">
        <f>VLOOKUP($B$90,'du lieu'!$D$18:$BF$118,HLOOKUP($B$95,'du lieu'!$D$136:$BF$137,2))</f>
        <v>4.6399999999999997E-2</v>
      </c>
    </row>
    <row r="99" spans="1:10">
      <c r="A99" s="539" t="s">
        <v>363</v>
      </c>
      <c r="B99" s="539">
        <f>VLOOKUP($B$90,'du lieu'!$D$18:$BF$118,HLOOKUP($B$95,'du lieu'!$D$139:$BF$140,2))</f>
        <v>2.06E-2</v>
      </c>
    </row>
    <row r="100" spans="1:10">
      <c r="A100" s="539" t="s">
        <v>444</v>
      </c>
      <c r="B100" s="546">
        <f>B96*$B$94</f>
        <v>0.47923199999999994</v>
      </c>
      <c r="C100" s="552">
        <f>B100*100</f>
        <v>47.923199999999994</v>
      </c>
      <c r="D100" s="539">
        <f>B22*10</f>
        <v>85</v>
      </c>
      <c r="E100" s="539">
        <f>I45/10</f>
        <v>8</v>
      </c>
    </row>
    <row r="101" spans="1:10">
      <c r="A101" s="539" t="s">
        <v>445</v>
      </c>
      <c r="B101" s="546">
        <f t="shared" ref="B101:B103" si="5">B97*$B$94</f>
        <v>0.21427199999999996</v>
      </c>
    </row>
    <row r="102" spans="1:10">
      <c r="A102" s="539" t="s">
        <v>446</v>
      </c>
      <c r="B102" s="546">
        <f t="shared" si="5"/>
        <v>1.0690559999999998</v>
      </c>
      <c r="C102" s="552">
        <f>B102*100</f>
        <v>106.90559999999998</v>
      </c>
    </row>
    <row r="103" spans="1:10">
      <c r="A103" s="539" t="s">
        <v>447</v>
      </c>
      <c r="B103" s="546">
        <f t="shared" si="5"/>
        <v>0.47462399999999999</v>
      </c>
      <c r="C103" s="539" t="s">
        <v>672</v>
      </c>
      <c r="E103" s="541" t="s">
        <v>313</v>
      </c>
    </row>
    <row r="104" spans="1:10">
      <c r="A104" s="539" t="s">
        <v>308</v>
      </c>
      <c r="B104" s="546">
        <f>B100/(D100*10*(E100/100)^2)</f>
        <v>8.8094117647058809E-2</v>
      </c>
      <c r="G104" s="608"/>
    </row>
    <row r="105" spans="1:10">
      <c r="A105" s="539" t="s">
        <v>309</v>
      </c>
      <c r="B105" s="546">
        <f>(1-SQRT(1-2*B104))</f>
        <v>9.2359231465508507E-2</v>
      </c>
      <c r="C105" s="539" t="s">
        <v>310</v>
      </c>
      <c r="D105" s="553">
        <f>B104/B105</f>
        <v>0.95382038426724569</v>
      </c>
      <c r="G105" s="608"/>
      <c r="I105" s="553"/>
    </row>
    <row r="106" spans="1:10">
      <c r="A106" s="539" t="s">
        <v>258</v>
      </c>
      <c r="B106" s="554">
        <f>B105*D105*$B$22*100*$E$100/$B$27</f>
        <v>2.6623999999999999</v>
      </c>
      <c r="C106" s="539" t="s">
        <v>450</v>
      </c>
      <c r="D106" s="548">
        <f>thepsan!N35</f>
        <v>3.9249999999999998</v>
      </c>
      <c r="E106" s="548" t="str">
        <f>thepsan!P35</f>
        <v>Ø10a200</v>
      </c>
      <c r="G106" s="554"/>
      <c r="I106" s="548"/>
      <c r="J106" s="548"/>
    </row>
    <row r="107" spans="1:10">
      <c r="A107" s="539" t="s">
        <v>312</v>
      </c>
      <c r="B107" s="555">
        <f>thepsan!M35</f>
        <v>200</v>
      </c>
      <c r="C107" s="539" t="s">
        <v>451</v>
      </c>
      <c r="D107" s="556">
        <f>D106/(100*$E$100)*100</f>
        <v>0.49062499999999998</v>
      </c>
      <c r="G107" s="555"/>
      <c r="I107" s="556"/>
    </row>
    <row r="108" spans="1:10">
      <c r="A108" s="539" t="s">
        <v>311</v>
      </c>
      <c r="B108" s="555">
        <f>B88/B107+1</f>
        <v>21</v>
      </c>
      <c r="C108" s="539" t="s">
        <v>449</v>
      </c>
      <c r="D108" s="539">
        <f>B27</f>
        <v>225</v>
      </c>
      <c r="G108" s="555"/>
    </row>
    <row r="109" spans="1:10">
      <c r="A109" s="541" t="s">
        <v>314</v>
      </c>
    </row>
    <row r="110" spans="1:10">
      <c r="A110" s="539" t="s">
        <v>308</v>
      </c>
      <c r="B110" s="546">
        <f>B102/(D100*10*(E100/100)^2)</f>
        <v>0.19651764705882346</v>
      </c>
    </row>
    <row r="111" spans="1:10">
      <c r="A111" s="539" t="s">
        <v>309</v>
      </c>
      <c r="B111" s="546">
        <f>(1-SQRT(1-2*B110))</f>
        <v>0.22092060360810906</v>
      </c>
      <c r="C111" s="539" t="s">
        <v>310</v>
      </c>
      <c r="D111" s="553">
        <f>B110/B111</f>
        <v>0.88953969819594558</v>
      </c>
    </row>
    <row r="112" spans="1:10">
      <c r="A112" s="539" t="s">
        <v>258</v>
      </c>
      <c r="B112" s="554">
        <f>B111*D111*$B$22*100*$E$100/$B$27</f>
        <v>5.9391999999999978</v>
      </c>
      <c r="C112" s="539" t="s">
        <v>450</v>
      </c>
      <c r="D112" s="548">
        <f>thepsan!N41</f>
        <v>3.9249999999999998</v>
      </c>
      <c r="E112" s="548" t="str">
        <f>thepsan!P41</f>
        <v>Ø10a200</v>
      </c>
    </row>
    <row r="113" spans="1:9">
      <c r="A113" s="539" t="s">
        <v>312</v>
      </c>
      <c r="B113" s="555">
        <f>thepsan!M41</f>
        <v>200</v>
      </c>
      <c r="C113" s="539" t="s">
        <v>451</v>
      </c>
      <c r="D113" s="556">
        <f>D112/(100*$E$100)*100</f>
        <v>0.49062499999999998</v>
      </c>
    </row>
    <row r="114" spans="1:9">
      <c r="A114" s="539" t="s">
        <v>311</v>
      </c>
      <c r="B114" s="555">
        <f>$B$88/B113+1</f>
        <v>21</v>
      </c>
      <c r="C114" s="539" t="s">
        <v>449</v>
      </c>
      <c r="D114" s="539">
        <f>B33</f>
        <v>210000</v>
      </c>
    </row>
    <row r="115" spans="1:9">
      <c r="A115" s="541" t="s">
        <v>458</v>
      </c>
    </row>
    <row r="116" spans="1:9">
      <c r="A116" s="539" t="s">
        <v>459</v>
      </c>
      <c r="B116" s="539">
        <v>23</v>
      </c>
    </row>
    <row r="117" spans="1:9">
      <c r="A117" s="539" t="s">
        <v>460</v>
      </c>
      <c r="B117" s="539">
        <f>B18</f>
        <v>3.6</v>
      </c>
      <c r="G117" s="540" t="s">
        <v>1016</v>
      </c>
    </row>
    <row r="118" spans="1:9">
      <c r="A118" s="539" t="s">
        <v>461</v>
      </c>
      <c r="B118" s="549">
        <v>157</v>
      </c>
      <c r="C118" s="539" t="s">
        <v>252</v>
      </c>
      <c r="D118" s="539">
        <v>157</v>
      </c>
      <c r="E118" s="539">
        <f>D118/1000</f>
        <v>0.157</v>
      </c>
      <c r="G118" s="648">
        <f>B122/30*1000</f>
        <v>133.33333333333334</v>
      </c>
      <c r="H118" s="648">
        <f>B122/35*1000</f>
        <v>114.28571428571428</v>
      </c>
    </row>
    <row r="119" spans="1:9">
      <c r="A119" s="539" t="s">
        <v>462</v>
      </c>
      <c r="B119" s="539">
        <v>300</v>
      </c>
      <c r="C119" s="539">
        <f>B119/1000</f>
        <v>0.3</v>
      </c>
      <c r="D119" s="539">
        <f>600-2*B118</f>
        <v>286</v>
      </c>
      <c r="E119" s="539">
        <f>620-2*B118</f>
        <v>306</v>
      </c>
    </row>
    <row r="120" spans="1:9">
      <c r="A120" s="539" t="s">
        <v>463</v>
      </c>
      <c r="B120" s="531">
        <f>B118/B119</f>
        <v>0.52333333333333332</v>
      </c>
      <c r="C120" s="539" t="s">
        <v>464</v>
      </c>
      <c r="D120" s="531">
        <f>ATAN(B120)*180/PI()</f>
        <v>27.624561718474425</v>
      </c>
      <c r="F120" s="557">
        <f>TAN(E127*PI()/180)</f>
        <v>0.49967167737102014</v>
      </c>
      <c r="G120" s="531">
        <f>B118/F120</f>
        <v>314.20632209142229</v>
      </c>
    </row>
    <row r="121" spans="1:9">
      <c r="A121" s="539" t="s">
        <v>465</v>
      </c>
      <c r="B121" s="650">
        <v>120</v>
      </c>
      <c r="C121" s="539" t="s">
        <v>158</v>
      </c>
      <c r="D121" s="539">
        <f>B121/10</f>
        <v>12</v>
      </c>
      <c r="E121" s="539" t="s">
        <v>513</v>
      </c>
      <c r="F121" s="539">
        <v>2</v>
      </c>
      <c r="G121" s="540" t="s">
        <v>514</v>
      </c>
      <c r="H121" s="539">
        <f>+D121-F121</f>
        <v>10</v>
      </c>
      <c r="I121" s="539">
        <f>H121/100</f>
        <v>0.1</v>
      </c>
    </row>
    <row r="122" spans="1:9">
      <c r="A122" s="539" t="s">
        <v>466</v>
      </c>
      <c r="B122" s="566">
        <f>B123+B124</f>
        <v>4</v>
      </c>
      <c r="C122" s="539" t="s">
        <v>6</v>
      </c>
      <c r="D122" s="651">
        <f>B121/1000</f>
        <v>0.12</v>
      </c>
    </row>
    <row r="123" spans="1:9">
      <c r="A123" s="539" t="s">
        <v>99</v>
      </c>
      <c r="B123" s="566">
        <v>1.4</v>
      </c>
    </row>
    <row r="124" spans="1:9">
      <c r="A124" s="539" t="s">
        <v>100</v>
      </c>
      <c r="B124" s="566">
        <v>2.6</v>
      </c>
    </row>
    <row r="125" spans="1:9">
      <c r="A125" s="539" t="s">
        <v>467</v>
      </c>
      <c r="B125" s="566">
        <v>4</v>
      </c>
    </row>
    <row r="126" spans="1:9">
      <c r="A126" s="539" t="s">
        <v>1012</v>
      </c>
      <c r="B126" s="566">
        <v>1.2</v>
      </c>
    </row>
    <row r="127" spans="1:9">
      <c r="A127" s="539" t="s">
        <v>468</v>
      </c>
      <c r="B127" s="534">
        <f>B122/10*1000</f>
        <v>400</v>
      </c>
      <c r="C127" s="534">
        <f>+B122*1000/13</f>
        <v>307.69230769230768</v>
      </c>
      <c r="E127" s="539">
        <v>26.55</v>
      </c>
      <c r="F127" s="539">
        <f>COS(E127*PI()/180)</f>
        <v>0.89454463983802512</v>
      </c>
    </row>
    <row r="128" spans="1:9">
      <c r="A128" s="539" t="s">
        <v>469</v>
      </c>
      <c r="B128" s="512">
        <v>400</v>
      </c>
      <c r="C128" s="531">
        <f>B128/1000</f>
        <v>0.4</v>
      </c>
    </row>
    <row r="129" spans="1:12">
      <c r="A129" s="539" t="s">
        <v>470</v>
      </c>
      <c r="B129" s="539">
        <f>+B128/2</f>
        <v>200</v>
      </c>
      <c r="C129" s="648">
        <f>+B128/3</f>
        <v>133.33333333333334</v>
      </c>
      <c r="D129" s="539" t="s">
        <v>252</v>
      </c>
      <c r="E129" s="647">
        <v>200</v>
      </c>
      <c r="F129" s="531">
        <f>E129/1000</f>
        <v>0.2</v>
      </c>
    </row>
    <row r="130" spans="1:12">
      <c r="A130" s="539" t="s">
        <v>471</v>
      </c>
      <c r="B130" s="546">
        <f>+($D$118+$B$119)/1000*C130*$F$130/($B$119/1000)</f>
        <v>2.6993615671236568E-2</v>
      </c>
      <c r="C130" s="539">
        <v>0.02</v>
      </c>
      <c r="E130" s="541" t="s">
        <v>475</v>
      </c>
      <c r="F130" s="649">
        <f>COS(D120*PI()/180)</f>
        <v>0.88600489074080635</v>
      </c>
      <c r="G130" s="540">
        <f>tinhtai_san!F59/1000</f>
        <v>2.4</v>
      </c>
      <c r="H130" s="539">
        <f>tinhtai_san!G59</f>
        <v>1.2</v>
      </c>
      <c r="I130" s="531">
        <f>G130/1000</f>
        <v>2.3999999999999998E-3</v>
      </c>
    </row>
    <row r="131" spans="1:12">
      <c r="A131" s="539" t="s">
        <v>472</v>
      </c>
      <c r="B131" s="546">
        <f t="shared" ref="B131:B133" si="6">+($D$118+$B$119)/1000*C131*$F$130/($B$119/1000)</f>
        <v>2.0245211753427427E-2</v>
      </c>
      <c r="C131" s="539">
        <v>1.4999999999999999E-2</v>
      </c>
      <c r="G131" s="540">
        <f>tinhtai_san!F63/1000</f>
        <v>1.8</v>
      </c>
      <c r="H131" s="539">
        <f>tinhtai_san!G60</f>
        <v>1.3</v>
      </c>
      <c r="I131" s="531">
        <f t="shared" ref="I131:I134" si="7">G131/1000</f>
        <v>1.8E-3</v>
      </c>
    </row>
    <row r="132" spans="1:12">
      <c r="A132" s="539" t="s">
        <v>473</v>
      </c>
      <c r="B132" s="546">
        <f t="shared" si="6"/>
        <v>2.6993615671236568E-2</v>
      </c>
      <c r="C132" s="539">
        <v>0.02</v>
      </c>
      <c r="I132" s="531">
        <f t="shared" si="7"/>
        <v>0</v>
      </c>
    </row>
    <row r="133" spans="1:12">
      <c r="A133" s="539" t="s">
        <v>474</v>
      </c>
      <c r="B133" s="546">
        <f t="shared" si="6"/>
        <v>0.16196169402741942</v>
      </c>
      <c r="C133" s="539">
        <f>B121/1000</f>
        <v>0.12</v>
      </c>
      <c r="G133" s="540">
        <f>tinhtai_san!F62/1000</f>
        <v>2.5</v>
      </c>
      <c r="H133" s="539">
        <f>tinhtai_san!G62</f>
        <v>1.1000000000000001</v>
      </c>
      <c r="I133" s="531">
        <f t="shared" si="7"/>
        <v>2.5000000000000001E-3</v>
      </c>
    </row>
    <row r="134" spans="1:12">
      <c r="A134" s="539" t="s">
        <v>1009</v>
      </c>
      <c r="B134" s="546">
        <f>C134*$F$130/2</f>
        <v>6.9551383923153298E-2</v>
      </c>
      <c r="C134" s="539">
        <f>D118/1000</f>
        <v>0.157</v>
      </c>
      <c r="G134" s="540">
        <f>tinhtai_san!F61/1000</f>
        <v>1.8</v>
      </c>
      <c r="H134" s="539">
        <f>tinhtai_san!G61</f>
        <v>1.2</v>
      </c>
      <c r="I134" s="531">
        <f t="shared" si="7"/>
        <v>1.8E-3</v>
      </c>
    </row>
    <row r="135" spans="1:12">
      <c r="A135" s="539" t="s">
        <v>476</v>
      </c>
      <c r="B135" s="546">
        <f>B130*G130*H130+(B131+B132)*G131*H131+B133*G133*H133+B134*G134*H134</f>
        <v>0.78390611715628966</v>
      </c>
      <c r="C135" s="539" t="s">
        <v>731</v>
      </c>
      <c r="D135" s="523">
        <f>B135/1000</f>
        <v>7.8390611715628967E-4</v>
      </c>
      <c r="I135" s="531"/>
    </row>
    <row r="136" spans="1:12">
      <c r="A136" s="539" t="s">
        <v>1011</v>
      </c>
      <c r="B136" s="546">
        <f>B135/F130</f>
        <v>0.88476500000000013</v>
      </c>
      <c r="C136" s="539" t="s">
        <v>731</v>
      </c>
      <c r="D136" s="523">
        <f>B136/1000</f>
        <v>8.8476500000000014E-4</v>
      </c>
    </row>
    <row r="137" spans="1:12">
      <c r="A137" s="541" t="s">
        <v>477</v>
      </c>
    </row>
    <row r="138" spans="1:12">
      <c r="A138" s="539" t="s">
        <v>1010</v>
      </c>
      <c r="B138" s="639">
        <f>C130*G130*H130+(C131+C132)*G131*H131+C133*G133*H133</f>
        <v>0.46950000000000003</v>
      </c>
      <c r="C138" s="539" t="s">
        <v>731</v>
      </c>
      <c r="D138" s="531">
        <f>C130*I130*H130+(C131+C132)*I131*H131+C133*I133*H133</f>
        <v>4.6949999999999997E-4</v>
      </c>
      <c r="E138" s="539" t="s">
        <v>731</v>
      </c>
    </row>
    <row r="139" spans="1:12">
      <c r="A139" s="539" t="s">
        <v>507</v>
      </c>
      <c r="B139" s="639">
        <f>B138+360/1000</f>
        <v>0.82950000000000002</v>
      </c>
      <c r="D139" s="531">
        <f>D138+0.36</f>
        <v>0.3604695</v>
      </c>
      <c r="E139" s="539" t="s">
        <v>731</v>
      </c>
    </row>
    <row r="140" spans="1:12">
      <c r="A140" s="539" t="s">
        <v>508</v>
      </c>
      <c r="B140" s="639">
        <f>B136+30/1000+360/1000</f>
        <v>1.2747650000000001</v>
      </c>
      <c r="D140" s="531">
        <f>D139+0.36</f>
        <v>0.72046949999999998</v>
      </c>
      <c r="E140" s="539" t="s">
        <v>1021</v>
      </c>
      <c r="F140" s="564">
        <f>B140*$F$130</f>
        <v>1.1294480245452041</v>
      </c>
    </row>
    <row r="141" spans="1:12">
      <c r="A141" s="541" t="s">
        <v>516</v>
      </c>
    </row>
    <row r="142" spans="1:12">
      <c r="A142" s="539" t="s">
        <v>509</v>
      </c>
      <c r="B142" s="523">
        <f>(B140/F130*B124*(B123+B124/2)+B139*B123^2/2)/(B123+B124)</f>
        <v>2.7282841880386206</v>
      </c>
      <c r="J142" s="546">
        <v>0.2</v>
      </c>
      <c r="K142" s="550">
        <f>+G149-F149</f>
        <v>0.19999999999999996</v>
      </c>
      <c r="L142" s="564">
        <f>J142/K142</f>
        <v>1.0000000000000002</v>
      </c>
    </row>
    <row r="143" spans="1:12">
      <c r="A143" s="539" t="s">
        <v>510</v>
      </c>
      <c r="B143" s="523">
        <f>B140/F130*B124+B139*B123-B142</f>
        <v>2.1738405349815579</v>
      </c>
      <c r="J143" s="539">
        <f>(G153-F153)/K142*L142</f>
        <v>0.16850000000000004</v>
      </c>
      <c r="K143" s="539">
        <f>+J143+F153</f>
        <v>5.0300000000000039E-2</v>
      </c>
    </row>
    <row r="144" spans="1:12">
      <c r="A144" s="539" t="s">
        <v>511</v>
      </c>
      <c r="B144" s="531">
        <f>B142*F130/B140</f>
        <v>1.8962500021047231</v>
      </c>
      <c r="C144" s="539" t="s">
        <v>6</v>
      </c>
      <c r="D144" s="539">
        <v>1</v>
      </c>
      <c r="E144" s="539">
        <f>D144*100</f>
        <v>100</v>
      </c>
    </row>
    <row r="145" spans="1:15">
      <c r="A145" s="539" t="s">
        <v>512</v>
      </c>
      <c r="B145" s="531">
        <f>B142*F130*B144-B140*B144^2/2</f>
        <v>2.2918770926540972</v>
      </c>
      <c r="C145" s="539" t="s">
        <v>672</v>
      </c>
      <c r="D145" s="539" t="s">
        <v>308</v>
      </c>
      <c r="E145" s="539" t="s">
        <v>1004</v>
      </c>
      <c r="F145" s="539" t="s">
        <v>258</v>
      </c>
      <c r="G145" s="540" t="s">
        <v>450</v>
      </c>
      <c r="K145" s="539" t="s">
        <v>1005</v>
      </c>
    </row>
    <row r="146" spans="1:15">
      <c r="A146" s="539" t="s">
        <v>305</v>
      </c>
      <c r="B146" s="531">
        <f>0.7*B145</f>
        <v>1.6043139648578679</v>
      </c>
      <c r="C146" s="539" t="s">
        <v>515</v>
      </c>
      <c r="D146" s="553">
        <f>B146/($B$22*100*$D$144*($H$121/100)^2)</f>
        <v>0.18874281939504325</v>
      </c>
      <c r="E146" s="553">
        <f>0.5*(1+SQRT(1-2*D146))</f>
        <v>0.8944978964487369</v>
      </c>
      <c r="F146" s="553">
        <f>B146/($B$31*100*E146*$H$121/100)*10^4</f>
        <v>6.4054848584695447</v>
      </c>
      <c r="G146" s="534">
        <v>10</v>
      </c>
      <c r="H146" s="534">
        <v>120</v>
      </c>
      <c r="I146" s="531">
        <f>VLOOKUP(J146,'tra thep'!$E$11:$F$62,2,)</f>
        <v>6.54</v>
      </c>
      <c r="J146" s="539" t="str">
        <f>"Ø"&amp;G146&amp;"a"&amp;H146</f>
        <v>Ø10a120</v>
      </c>
      <c r="K146" s="531">
        <f>I146/$E$144/$H$121*100</f>
        <v>0.65400000000000003</v>
      </c>
    </row>
    <row r="147" spans="1:15">
      <c r="A147" s="539" t="s">
        <v>307</v>
      </c>
      <c r="B147" s="531">
        <f>0.4*B145</f>
        <v>0.91675083706163896</v>
      </c>
      <c r="C147" s="539" t="s">
        <v>515</v>
      </c>
      <c r="D147" s="553">
        <f>B147/($B$22*100*$D$144*($H$121/100)^2)</f>
        <v>0.10785303965431044</v>
      </c>
      <c r="E147" s="553">
        <f>0.5*(1+SQRT(1-2*D147))</f>
        <v>0.94280185204315115</v>
      </c>
      <c r="F147" s="553">
        <f>B147/($B$31*100*E147*$H$121/100)*10^4</f>
        <v>3.4727446973801066</v>
      </c>
      <c r="G147" s="534">
        <v>8</v>
      </c>
      <c r="H147" s="534">
        <v>150</v>
      </c>
      <c r="I147" s="531">
        <f>VLOOKUP(J147,'tra thep'!$E$11:$F$62,2,)</f>
        <v>3.35</v>
      </c>
      <c r="J147" s="539" t="str">
        <f>"Ø"&amp;G147&amp;"a"&amp;H147</f>
        <v>Ø8a150</v>
      </c>
      <c r="K147" s="531">
        <f t="shared" ref="K147" si="8">I147/$E$144/$H$121*100</f>
        <v>0.33500000000000002</v>
      </c>
    </row>
    <row r="148" spans="1:15">
      <c r="A148" s="541" t="s">
        <v>518</v>
      </c>
      <c r="K148" s="531"/>
    </row>
    <row r="149" spans="1:15">
      <c r="A149" s="539" t="s">
        <v>99</v>
      </c>
      <c r="B149" s="531">
        <f>B123</f>
        <v>1.4</v>
      </c>
      <c r="C149" s="539" t="s">
        <v>6</v>
      </c>
      <c r="D149" s="539" t="s">
        <v>519</v>
      </c>
      <c r="E149" s="539">
        <f>B150*F130</f>
        <v>1.2</v>
      </c>
      <c r="F149" s="539">
        <v>1</v>
      </c>
      <c r="G149" s="540">
        <v>1.2</v>
      </c>
      <c r="J149" s="539" t="s">
        <v>1013</v>
      </c>
      <c r="K149" s="652">
        <f>C128/D122</f>
        <v>3.3333333333333335</v>
      </c>
      <c r="L149" s="539">
        <v>0.9</v>
      </c>
      <c r="M149" s="539">
        <v>1</v>
      </c>
      <c r="N149" s="539">
        <v>1.2</v>
      </c>
      <c r="O149" s="539">
        <v>1.5</v>
      </c>
    </row>
    <row r="150" spans="1:15">
      <c r="A150" s="539" t="s">
        <v>100</v>
      </c>
      <c r="B150" s="531">
        <f>B126/F130</f>
        <v>1.3543943295805694</v>
      </c>
      <c r="C150" s="539" t="s">
        <v>6</v>
      </c>
      <c r="D150" s="546">
        <f>B149/B150</f>
        <v>1.0336723725309407</v>
      </c>
      <c r="E150" s="539" t="s">
        <v>520</v>
      </c>
      <c r="F150" s="539">
        <v>5.5399999999999998E-3</v>
      </c>
      <c r="G150" s="539">
        <v>6.94E-3</v>
      </c>
      <c r="H150" s="567">
        <f>(D$151-F$149)/($G$149-$F$149)*(G150-F150)+F150</f>
        <v>5.7757066077165848E-3</v>
      </c>
      <c r="J150" s="539" t="s">
        <v>1014</v>
      </c>
      <c r="K150" s="652">
        <f>B126/F130</f>
        <v>1.3543943295805694</v>
      </c>
      <c r="L150" s="539">
        <v>7.11E-3</v>
      </c>
      <c r="M150" s="539">
        <v>7.79E-3</v>
      </c>
      <c r="N150" s="539">
        <v>8.9200000000000008E-3</v>
      </c>
      <c r="O150" s="561">
        <v>1.0160000000000001E-2</v>
      </c>
    </row>
    <row r="151" spans="1:15">
      <c r="A151" s="539" t="s">
        <v>1018</v>
      </c>
      <c r="B151" s="523">
        <f>H151*$F$140*$B$149^2</f>
        <v>3.2883846454854128E-2</v>
      </c>
      <c r="C151" s="539" t="s">
        <v>672</v>
      </c>
      <c r="D151" s="546">
        <f>D150</f>
        <v>1.0336723725309407</v>
      </c>
      <c r="E151" s="541" t="s">
        <v>521</v>
      </c>
      <c r="F151" s="541">
        <v>1.44E-2</v>
      </c>
      <c r="G151" s="541">
        <v>1.7100000000000001E-2</v>
      </c>
      <c r="H151" s="567">
        <f>(D$151-F$149)/($G$149-$F$149)*(G151-F151)+F151</f>
        <v>1.4854577029167699E-2</v>
      </c>
      <c r="J151" s="539" t="s">
        <v>1015</v>
      </c>
      <c r="K151" s="652">
        <f>B123*F130/B126</f>
        <v>1.0336723725309407</v>
      </c>
      <c r="L151" s="539">
        <v>2.0199999999999999E-2</v>
      </c>
      <c r="M151" s="539">
        <v>1.95E-2</v>
      </c>
      <c r="N151" s="539">
        <v>1.7899999999999999E-2</v>
      </c>
      <c r="O151" s="561">
        <v>1.4200000000000001E-2</v>
      </c>
    </row>
    <row r="152" spans="1:15">
      <c r="A152" s="539" t="s">
        <v>1019</v>
      </c>
      <c r="B152" s="523">
        <f>H152*$F$140*$B$150^2</f>
        <v>0.11137611423793368</v>
      </c>
      <c r="C152" s="539" t="s">
        <v>672</v>
      </c>
      <c r="D152" s="539">
        <f>1.678/1.3</f>
        <v>1.2907692307692307</v>
      </c>
      <c r="E152" s="541" t="s">
        <v>522</v>
      </c>
      <c r="F152" s="541">
        <v>5.1400000000000001E-2</v>
      </c>
      <c r="G152" s="541">
        <v>6.54E-2</v>
      </c>
      <c r="H152" s="567">
        <f>(D$151-F$149)/($G$149-$F$149)*(G152-F152)+F152</f>
        <v>5.3757066077165849E-2</v>
      </c>
      <c r="L152" s="539">
        <v>6.6900000000000001E-2</v>
      </c>
      <c r="M152" s="539">
        <v>7.3499999999999996E-2</v>
      </c>
      <c r="N152" s="539">
        <v>8.5599999999999996E-2</v>
      </c>
      <c r="O152" s="561">
        <v>9.7100000000000006E-2</v>
      </c>
    </row>
    <row r="153" spans="1:15">
      <c r="A153" s="539" t="s">
        <v>1020</v>
      </c>
      <c r="B153" s="643">
        <f>ABS(H153*$F$140*$B$149^2)</f>
        <v>0.24910130040167994</v>
      </c>
      <c r="C153" s="539" t="s">
        <v>672</v>
      </c>
      <c r="E153" s="541" t="s">
        <v>1017</v>
      </c>
      <c r="F153" s="541">
        <v>-0.1182</v>
      </c>
      <c r="G153" s="541">
        <v>-8.4500000000000006E-2</v>
      </c>
      <c r="H153" s="567">
        <f>ABS((D$151-F$149)/($G$149-$F$149)*(G153-F153)+F153)</f>
        <v>0.1125262052285365</v>
      </c>
      <c r="L153" s="539">
        <v>1.0840000000000001E-2</v>
      </c>
      <c r="M153" s="539">
        <v>1.158E-2</v>
      </c>
      <c r="N153" s="539">
        <v>1.2489999999999999E-2</v>
      </c>
      <c r="O153" s="561">
        <v>1.316E-2</v>
      </c>
    </row>
    <row r="154" spans="1:15">
      <c r="A154" s="539" t="s">
        <v>446</v>
      </c>
      <c r="B154" s="643">
        <f>B153</f>
        <v>0.24910130040167994</v>
      </c>
      <c r="C154" s="539" t="s">
        <v>672</v>
      </c>
      <c r="E154" s="539" t="s">
        <v>523</v>
      </c>
      <c r="F154" s="539">
        <v>1.0030000000000001E-2</v>
      </c>
      <c r="G154" s="539">
        <v>1.2800000000000001E-2</v>
      </c>
      <c r="H154" s="567">
        <f>(D$151-F$149)/($G$149-$F$149)*(G154-F154)+F154</f>
        <v>1.049636235955353E-2</v>
      </c>
      <c r="K154" s="539" t="s">
        <v>1005</v>
      </c>
      <c r="L154" s="539">
        <v>0.1037</v>
      </c>
      <c r="M154" s="539">
        <v>0.1108</v>
      </c>
      <c r="N154" s="539">
        <v>0.1201</v>
      </c>
      <c r="O154" s="561">
        <v>0.12640000000000001</v>
      </c>
    </row>
    <row r="155" spans="1:15">
      <c r="A155" s="539" t="s">
        <v>444</v>
      </c>
      <c r="B155" s="646">
        <f>B151</f>
        <v>3.2883846454854128E-2</v>
      </c>
      <c r="C155" s="539" t="s">
        <v>672</v>
      </c>
      <c r="D155" s="553">
        <f>B155/($B$22*100*$D$144*($H$121/100)^2)</f>
        <v>3.8686878182181317E-3</v>
      </c>
      <c r="E155" s="553">
        <f>0.5*(1+SQRT(1-2*D155))</f>
        <v>0.99806189985873339</v>
      </c>
      <c r="F155" s="553">
        <f>B155/($B$31*100*E155*$H$121/100)*10^4</f>
        <v>0.11767036571976053</v>
      </c>
      <c r="G155" s="534">
        <v>6</v>
      </c>
      <c r="H155" s="534">
        <v>200</v>
      </c>
      <c r="I155" s="531">
        <f>VLOOKUP(J155,'tra thep'!$E$11:$F$62,2,)</f>
        <v>1.41</v>
      </c>
      <c r="J155" s="539" t="str">
        <f>"Ø"&amp;G155&amp;"a"&amp;H155</f>
        <v>Ø6a200</v>
      </c>
      <c r="K155" s="531">
        <f>I155/$E$144/$H$121*100</f>
        <v>0.14100000000000001</v>
      </c>
    </row>
    <row r="156" spans="1:15">
      <c r="A156" s="539" t="s">
        <v>445</v>
      </c>
      <c r="B156" s="523">
        <f>B152</f>
        <v>0.11137611423793368</v>
      </c>
      <c r="C156" s="539" t="s">
        <v>672</v>
      </c>
      <c r="D156" s="553">
        <f>B156/($B$22*100*$D$144*($H$121/100)^2)</f>
        <v>1.3103072263286313E-2</v>
      </c>
      <c r="E156" s="553">
        <f>0.5*(1+SQRT(1-2*D156))</f>
        <v>0.99340496944027312</v>
      </c>
      <c r="F156" s="553">
        <f>B156/($B$31*100*E156*$H$121/100)*10^4</f>
        <v>0.400412569697704</v>
      </c>
      <c r="G156" s="534">
        <v>6</v>
      </c>
      <c r="H156" s="534">
        <v>200</v>
      </c>
      <c r="I156" s="531">
        <f>VLOOKUP(J156,'tra thep'!$E$11:$F$62,2,)</f>
        <v>1.41</v>
      </c>
      <c r="J156" s="539" t="str">
        <f>"Ø"&amp;G156&amp;"a"&amp;H156</f>
        <v>Ø6a200</v>
      </c>
      <c r="K156" s="531">
        <f t="shared" ref="K156:K157" si="9">I156/$E$144/$H$121*100</f>
        <v>0.14100000000000001</v>
      </c>
    </row>
    <row r="157" spans="1:15">
      <c r="A157" s="541" t="s">
        <v>524</v>
      </c>
      <c r="B157" s="541" t="s">
        <v>527</v>
      </c>
      <c r="D157" s="642">
        <f>B154/($B$22*100*$D$144*($H$121/100)^2)</f>
        <v>2.9306035341374104E-2</v>
      </c>
      <c r="E157" s="553">
        <f>0.5*(1+SQRT(1-2*D157))</f>
        <v>0.98512573867948183</v>
      </c>
      <c r="F157" s="553">
        <f>B154/($B$31*100*E157*$H$121/100)*10^4</f>
        <v>0.90308015160288579</v>
      </c>
      <c r="G157" s="534">
        <v>6</v>
      </c>
      <c r="H157" s="534">
        <v>200</v>
      </c>
      <c r="I157" s="531">
        <f>VLOOKUP(J157,'tra thep'!$E$11:$F$62,2,)</f>
        <v>1.41</v>
      </c>
      <c r="J157" s="539" t="str">
        <f>"Ø"&amp;G157&amp;"a"&amp;H157</f>
        <v>Ø6a200</v>
      </c>
      <c r="K157" s="531">
        <f t="shared" si="9"/>
        <v>0.14100000000000001</v>
      </c>
    </row>
    <row r="158" spans="1:15">
      <c r="A158" s="539" t="s">
        <v>525</v>
      </c>
      <c r="B158" s="523">
        <f>$F$129*($C$128-$E$47)*1.1*2.5</f>
        <v>0.16500000000000004</v>
      </c>
    </row>
    <row r="159" spans="1:15">
      <c r="A159" s="539" t="s">
        <v>526</v>
      </c>
      <c r="B159" s="523">
        <f>0.2*($B$117-1.36)*1.1*1.8</f>
        <v>0.88704000000000027</v>
      </c>
    </row>
    <row r="160" spans="1:15">
      <c r="A160" s="539" t="s">
        <v>507</v>
      </c>
      <c r="B160" s="523">
        <f>B158+B159+$B$143</f>
        <v>3.2258805349815582</v>
      </c>
    </row>
    <row r="161" spans="1:15">
      <c r="A161" s="541" t="s">
        <v>524</v>
      </c>
      <c r="B161" s="563" t="s">
        <v>528</v>
      </c>
    </row>
    <row r="162" spans="1:15">
      <c r="A162" s="539" t="s">
        <v>525</v>
      </c>
      <c r="B162" s="523">
        <f>$F$129*($C$128-$E$47)*1.1*2.5/F130</f>
        <v>0.18622922031732833</v>
      </c>
      <c r="J162" s="539">
        <f>1-2*0.51</f>
        <v>-2.0000000000000018E-2</v>
      </c>
    </row>
    <row r="163" spans="1:15">
      <c r="A163" s="539" t="s">
        <v>526</v>
      </c>
      <c r="B163" s="523">
        <f>0.2*($B$18-F168)*1.1*1.8/$F$130</f>
        <v>0.82238823692132179</v>
      </c>
    </row>
    <row r="164" spans="1:15">
      <c r="A164" s="539" t="s">
        <v>530</v>
      </c>
      <c r="B164" s="531">
        <f>B140*B149/F130</f>
        <v>2.0142902354724037</v>
      </c>
    </row>
    <row r="165" spans="1:15">
      <c r="A165" s="539" t="s">
        <v>508</v>
      </c>
      <c r="B165" s="531">
        <f>B162+B163+B164</f>
        <v>3.0229076927110539</v>
      </c>
    </row>
    <row r="166" spans="1:15">
      <c r="A166" s="541" t="s">
        <v>524</v>
      </c>
      <c r="B166" s="563" t="s">
        <v>529</v>
      </c>
    </row>
    <row r="167" spans="1:15">
      <c r="A167" s="539" t="s">
        <v>525</v>
      </c>
      <c r="B167" s="523">
        <f>$F$129*($C$128-$E$47)*1.1*2.5</f>
        <v>0.16500000000000004</v>
      </c>
    </row>
    <row r="168" spans="1:15">
      <c r="A168" s="539" t="s">
        <v>526</v>
      </c>
      <c r="B168" s="523">
        <f>0.2*($B$18-2.16)*1.1*1.8</f>
        <v>0.57024000000000008</v>
      </c>
      <c r="D168" s="539">
        <v>3.6</v>
      </c>
      <c r="E168" s="539">
        <v>1.36</v>
      </c>
      <c r="F168" s="539">
        <f>+(E168+E169)/2</f>
        <v>1.7600000000000002</v>
      </c>
    </row>
    <row r="169" spans="1:15">
      <c r="A169" s="539" t="s">
        <v>531</v>
      </c>
      <c r="B169" s="531">
        <f>B167+B168+$B$143</f>
        <v>2.9090805349815581</v>
      </c>
      <c r="E169" s="539">
        <v>2.16</v>
      </c>
    </row>
    <row r="170" spans="1:15">
      <c r="A170" s="539" t="s">
        <v>517</v>
      </c>
      <c r="B170" s="531">
        <f>((B160*B149^2/2)+B165*E149/F130*(E149/2+B149)+B169*B149*(B149+E149+B149/2))/(B149+E149+B149)</f>
        <v>6.1974332679008484</v>
      </c>
      <c r="D170" s="539">
        <f>D171*100</f>
        <v>20</v>
      </c>
      <c r="F170" s="539">
        <f>F171*100</f>
        <v>40</v>
      </c>
      <c r="H170" s="539">
        <f>H171*100</f>
        <v>2</v>
      </c>
      <c r="J170" s="539">
        <f>J171*100</f>
        <v>38</v>
      </c>
    </row>
    <row r="171" spans="1:15">
      <c r="A171" s="539" t="s">
        <v>509</v>
      </c>
      <c r="B171" s="531">
        <f>B160*B149+B165*E149/F130+B169*B149-B170</f>
        <v>6.485721267900848</v>
      </c>
      <c r="C171" s="541" t="s">
        <v>532</v>
      </c>
      <c r="D171" s="541">
        <f>E129/1000</f>
        <v>0.2</v>
      </c>
      <c r="E171" s="541" t="s">
        <v>533</v>
      </c>
      <c r="F171" s="541">
        <f>B128/1000</f>
        <v>0.4</v>
      </c>
      <c r="G171" s="562" t="s">
        <v>171</v>
      </c>
      <c r="H171" s="541">
        <f>20/1000</f>
        <v>0.02</v>
      </c>
      <c r="I171" s="541" t="s">
        <v>172</v>
      </c>
      <c r="J171" s="541">
        <f>+F171-H171</f>
        <v>0.38</v>
      </c>
    </row>
    <row r="172" spans="1:15">
      <c r="A172" s="539" t="s">
        <v>511</v>
      </c>
      <c r="B172" s="531">
        <f>(B171-B160*B149)*F130/B165+B149</f>
        <v>1.9772509905725686</v>
      </c>
      <c r="C172" s="539" t="s">
        <v>6</v>
      </c>
      <c r="D172" s="539" t="s">
        <v>308</v>
      </c>
      <c r="E172" s="539" t="s">
        <v>1004</v>
      </c>
      <c r="F172" s="539" t="s">
        <v>258</v>
      </c>
      <c r="G172" s="540" t="s">
        <v>450</v>
      </c>
      <c r="K172" s="539" t="s">
        <v>1005</v>
      </c>
    </row>
    <row r="173" spans="1:15">
      <c r="A173" s="539" t="s">
        <v>512</v>
      </c>
      <c r="B173" s="531">
        <f>B171*B172-B160*B149*(B172-B149/2)-B165*(B172-B149)^2/2/F130</f>
        <v>6.4870914500151207</v>
      </c>
      <c r="C173" s="539" t="s">
        <v>515</v>
      </c>
      <c r="D173" s="553">
        <f>B173/($B$22*100*$D$171*$J$171^2)</f>
        <v>0.26426150602962034</v>
      </c>
      <c r="E173" s="640">
        <f>0.5*(1+SQRT(1-2*D173))</f>
        <v>0.84332090962420247</v>
      </c>
      <c r="F173" s="553">
        <f>B173/($B$31*100*E173*$J$171)*10^4</f>
        <v>7.2296208844832286</v>
      </c>
      <c r="G173" s="558">
        <v>4</v>
      </c>
      <c r="H173" s="559">
        <v>16</v>
      </c>
      <c r="I173" s="560">
        <f>G173*VLOOKUP(H173,'tra thep'!$R$9:$S$17,2,0)</f>
        <v>8.0424771931898711</v>
      </c>
      <c r="J173" s="539" t="str">
        <f>G173&amp;"Ø"&amp;H173</f>
        <v>4Ø16</v>
      </c>
      <c r="K173" s="531">
        <f>I173/$D$170/$J$170*100</f>
        <v>1.0582206833144567</v>
      </c>
    </row>
    <row r="174" spans="1:15">
      <c r="A174" s="541" t="s">
        <v>535</v>
      </c>
      <c r="B174" s="564"/>
      <c r="E174" s="539" t="s">
        <v>1004</v>
      </c>
      <c r="F174" s="641">
        <f>0.5*(1+SQRT(1-2*D173))</f>
        <v>0.84332090962420247</v>
      </c>
    </row>
    <row r="175" spans="1:15">
      <c r="A175" s="539" t="s">
        <v>248</v>
      </c>
      <c r="B175" s="539">
        <v>6</v>
      </c>
      <c r="C175" s="539" t="str">
        <f>"Ø"&amp;B175</f>
        <v>Ø6</v>
      </c>
      <c r="D175" s="565">
        <f>VLOOKUP(B175,'tra thep'!$R$9:$S$17,2,0)</f>
        <v>0.28274333882308139</v>
      </c>
      <c r="H175" s="539" t="s">
        <v>308</v>
      </c>
      <c r="I175" s="539" t="s">
        <v>1004</v>
      </c>
      <c r="J175" s="539" t="s">
        <v>258</v>
      </c>
      <c r="K175" s="540" t="s">
        <v>450</v>
      </c>
      <c r="O175" s="539" t="s">
        <v>1005</v>
      </c>
    </row>
    <row r="176" spans="1:15">
      <c r="A176" s="539" t="s">
        <v>14</v>
      </c>
      <c r="B176" s="539">
        <v>2</v>
      </c>
      <c r="F176" s="539" t="s">
        <v>307</v>
      </c>
      <c r="G176" s="540">
        <f>0.7*B173</f>
        <v>4.5409640150105846</v>
      </c>
      <c r="H176" s="553">
        <f>G176/($B$22*100*$D$171*$J$171^2)</f>
        <v>0.18498305422073424</v>
      </c>
      <c r="I176" s="640">
        <f>0.5*(1+SQRT(1-2*H176))</f>
        <v>0.89687337135367606</v>
      </c>
      <c r="J176" s="553">
        <f>G176/($B$31*100*I176*$J$171)*10^4</f>
        <v>4.7585572932518039</v>
      </c>
      <c r="K176" s="558">
        <v>2</v>
      </c>
      <c r="L176" s="559">
        <v>18</v>
      </c>
      <c r="M176" s="560">
        <f>K176*VLOOKUP(L176,'tra thep'!$R$9:$S$17,2,0)</f>
        <v>5.0893800988154654</v>
      </c>
      <c r="N176" s="539" t="str">
        <f>K176&amp;"Ø"&amp;L176</f>
        <v>2Ø18</v>
      </c>
      <c r="O176" s="531">
        <f>M176/$D$170/$J$170*100</f>
        <v>0.6696552761599297</v>
      </c>
    </row>
    <row r="177" spans="1:15">
      <c r="A177" s="539" t="s">
        <v>451</v>
      </c>
      <c r="B177" s="539">
        <v>15</v>
      </c>
      <c r="C177" s="539" t="s">
        <v>158</v>
      </c>
      <c r="D177" s="539">
        <f>B177/1000</f>
        <v>1.4999999999999999E-2</v>
      </c>
      <c r="F177" s="539" t="s">
        <v>305</v>
      </c>
      <c r="G177" s="540">
        <f>0.4*B173</f>
        <v>2.5948365800060484</v>
      </c>
      <c r="H177" s="553">
        <f>G177/($B$22*100*$D$171*$J$171^2)</f>
        <v>0.10570460241184815</v>
      </c>
      <c r="I177" s="640">
        <f>0.5*(1+SQRT(1-2*H177))</f>
        <v>0.94401317412220542</v>
      </c>
      <c r="J177" s="553">
        <f>G177/($B$31*100*I177*$J$171)*10^4</f>
        <v>2.583392108361092</v>
      </c>
      <c r="K177" s="558">
        <v>2</v>
      </c>
      <c r="L177" s="559">
        <v>14</v>
      </c>
      <c r="M177" s="560">
        <f>K177*VLOOKUP(L177,'tra thep'!$R$9:$S$17,2,0)</f>
        <v>3.0787608005179967</v>
      </c>
      <c r="N177" s="539" t="str">
        <f>K177&amp;"Ø"&amp;L177</f>
        <v>2Ø14</v>
      </c>
      <c r="O177" s="531">
        <f>M177/$D$170/$J$170*100</f>
        <v>0.40510010533131535</v>
      </c>
    </row>
    <row r="178" spans="1:15">
      <c r="A178" s="539" t="s">
        <v>536</v>
      </c>
      <c r="B178" s="549">
        <f>SQRT(8*$D$22*$D$171*$J$171^2*D28*2*D175/10^4/D177)</f>
        <v>35.994623439250113</v>
      </c>
    </row>
    <row r="179" spans="1:15">
      <c r="A179" s="541" t="s">
        <v>1475</v>
      </c>
    </row>
    <row r="180" spans="1:15">
      <c r="A180" s="539" t="s">
        <v>619</v>
      </c>
      <c r="B180" s="539">
        <v>5.5</v>
      </c>
      <c r="C180" s="539" t="s">
        <v>6</v>
      </c>
    </row>
    <row r="181" spans="1:15">
      <c r="A181" s="539" t="s">
        <v>620</v>
      </c>
      <c r="B181" s="539">
        <v>3</v>
      </c>
      <c r="C181" s="539" t="s">
        <v>6</v>
      </c>
      <c r="H181" s="553"/>
      <c r="I181" s="553"/>
    </row>
    <row r="182" spans="1:15">
      <c r="A182" s="539" t="s">
        <v>621</v>
      </c>
      <c r="B182" s="541">
        <f>+B180/2+B181/2</f>
        <v>4.25</v>
      </c>
      <c r="C182" s="539" t="s">
        <v>6</v>
      </c>
      <c r="H182" s="553"/>
      <c r="I182" s="553"/>
    </row>
    <row r="183" spans="1:15">
      <c r="A183" s="539" t="s">
        <v>99</v>
      </c>
      <c r="B183" s="539">
        <v>2</v>
      </c>
      <c r="C183" s="539" t="s">
        <v>6</v>
      </c>
      <c r="H183" s="553"/>
      <c r="I183" s="553"/>
    </row>
    <row r="184" spans="1:15">
      <c r="A184" s="539" t="s">
        <v>100</v>
      </c>
      <c r="B184" s="539">
        <v>4</v>
      </c>
      <c r="C184" s="539" t="s">
        <v>6</v>
      </c>
    </row>
    <row r="185" spans="1:15">
      <c r="A185" s="539" t="s">
        <v>228</v>
      </c>
      <c r="B185" s="541">
        <f>+B183/2+B184/2</f>
        <v>3</v>
      </c>
      <c r="C185" s="539" t="s">
        <v>6</v>
      </c>
      <c r="D185" s="541">
        <f>B185+B182</f>
        <v>7.25</v>
      </c>
    </row>
    <row r="186" spans="1:15">
      <c r="A186" s="539" t="s">
        <v>622</v>
      </c>
      <c r="B186" s="548">
        <f>(B184+B183)/2*B182</f>
        <v>12.75</v>
      </c>
      <c r="C186" s="539" t="s">
        <v>3</v>
      </c>
    </row>
    <row r="187" spans="1:15">
      <c r="A187" s="539" t="s">
        <v>623</v>
      </c>
      <c r="B187" s="548">
        <f>B186*(D187+E187)</f>
        <v>12.24</v>
      </c>
      <c r="C187" s="539" t="s">
        <v>670</v>
      </c>
      <c r="D187" s="539">
        <f>B91</f>
        <v>0.48</v>
      </c>
      <c r="E187" s="539">
        <f>B92</f>
        <v>0.48</v>
      </c>
    </row>
    <row r="188" spans="1:15">
      <c r="A188" s="539" t="s">
        <v>624</v>
      </c>
      <c r="B188" s="539">
        <f>B50/1000</f>
        <v>0.4</v>
      </c>
      <c r="C188" s="539">
        <f>B53/1000</f>
        <v>0.2</v>
      </c>
    </row>
    <row r="189" spans="1:15">
      <c r="A189" s="539" t="s">
        <v>525</v>
      </c>
      <c r="B189" s="548">
        <f>1.1*$G$195*C188*B188*D185</f>
        <v>1.5950000000000002</v>
      </c>
      <c r="C189" s="539" t="s">
        <v>670</v>
      </c>
    </row>
    <row r="190" spans="1:15">
      <c r="A190" s="539" t="s">
        <v>625</v>
      </c>
      <c r="B190" s="548">
        <f>D185/2</f>
        <v>3.625</v>
      </c>
      <c r="C190" s="539" t="s">
        <v>6</v>
      </c>
    </row>
    <row r="191" spans="1:15">
      <c r="A191" s="539" t="s">
        <v>526</v>
      </c>
      <c r="B191" s="548">
        <f>1.1*0.1*$F$195*B190*3.6</f>
        <v>2.5839000000000003</v>
      </c>
      <c r="C191" s="539" t="s">
        <v>670</v>
      </c>
    </row>
    <row r="192" spans="1:15">
      <c r="A192" s="539" t="s">
        <v>626</v>
      </c>
      <c r="B192" s="539">
        <v>30</v>
      </c>
      <c r="C192" s="539">
        <v>30</v>
      </c>
      <c r="D192" s="539">
        <f>B192/100</f>
        <v>0.3</v>
      </c>
      <c r="E192" s="539">
        <f>C192/100</f>
        <v>0.3</v>
      </c>
    </row>
    <row r="193" spans="1:7">
      <c r="A193" s="539" t="s">
        <v>627</v>
      </c>
      <c r="B193" s="653">
        <f>1.1*$G$195*D192*E192*3.6</f>
        <v>0.8909999999999999</v>
      </c>
      <c r="C193" s="539" t="s">
        <v>670</v>
      </c>
    </row>
    <row r="194" spans="1:7">
      <c r="A194" s="539" t="s">
        <v>1</v>
      </c>
      <c r="B194" s="548">
        <v>2</v>
      </c>
    </row>
    <row r="195" spans="1:7">
      <c r="A195" s="539" t="s">
        <v>628</v>
      </c>
      <c r="B195" s="548">
        <f>(B187+B189+B191+B193)*B194</f>
        <v>34.619799999999998</v>
      </c>
      <c r="F195" s="539">
        <v>1.8</v>
      </c>
      <c r="G195" s="539">
        <v>2.5</v>
      </c>
    </row>
    <row r="196" spans="1:7">
      <c r="A196" s="539" t="s">
        <v>629</v>
      </c>
      <c r="B196" s="539">
        <f>D22</f>
        <v>850</v>
      </c>
      <c r="D196" s="539">
        <f>10*1000*B195</f>
        <v>346198</v>
      </c>
      <c r="E196" s="539">
        <v>8.5</v>
      </c>
      <c r="F196" s="539">
        <f>D196/E196/10*1.2</f>
        <v>4887.5011764705878</v>
      </c>
      <c r="G196" s="540">
        <f>B197*10^4</f>
        <v>488.7501176470588</v>
      </c>
    </row>
    <row r="197" spans="1:7">
      <c r="A197" s="539" t="s">
        <v>606</v>
      </c>
      <c r="B197" s="654">
        <f>B195/B196*E197</f>
        <v>4.8875011764705878E-2</v>
      </c>
      <c r="C197" s="539" t="s">
        <v>3</v>
      </c>
      <c r="D197" s="539" t="s">
        <v>630</v>
      </c>
      <c r="E197" s="539">
        <v>1.2</v>
      </c>
    </row>
    <row r="198" spans="1:7">
      <c r="A198" s="539" t="s">
        <v>241</v>
      </c>
      <c r="B198" s="540">
        <f>SQRT(B197)</f>
        <v>0.22107693630206177</v>
      </c>
      <c r="C198" s="539" t="s">
        <v>631</v>
      </c>
    </row>
    <row r="199" spans="1:7">
      <c r="A199" s="539" t="s">
        <v>632</v>
      </c>
      <c r="B199" s="539">
        <v>30</v>
      </c>
      <c r="C199" s="539" t="s">
        <v>631</v>
      </c>
    </row>
    <row r="200" spans="1:7">
      <c r="A200" s="539" t="s">
        <v>170</v>
      </c>
      <c r="B200" s="539">
        <v>30</v>
      </c>
      <c r="C200" s="539" t="s">
        <v>631</v>
      </c>
    </row>
    <row r="201" spans="1:7">
      <c r="A201" s="539" t="s">
        <v>606</v>
      </c>
      <c r="B201" s="539">
        <f>B200*B199</f>
        <v>900</v>
      </c>
    </row>
    <row r="202" spans="1:7">
      <c r="A202" s="541" t="s">
        <v>633</v>
      </c>
    </row>
    <row r="203" spans="1:7">
      <c r="A203" s="539" t="s">
        <v>619</v>
      </c>
      <c r="B203" s="539">
        <v>5.5</v>
      </c>
    </row>
    <row r="204" spans="1:7">
      <c r="A204" s="539" t="s">
        <v>620</v>
      </c>
      <c r="B204" s="539">
        <v>3</v>
      </c>
    </row>
    <row r="205" spans="1:7">
      <c r="A205" s="539" t="s">
        <v>621</v>
      </c>
      <c r="B205" s="541">
        <f>+B203/2+B204/2</f>
        <v>4.25</v>
      </c>
    </row>
    <row r="206" spans="1:7">
      <c r="A206" s="539" t="s">
        <v>99</v>
      </c>
      <c r="B206" s="539">
        <v>0</v>
      </c>
    </row>
    <row r="207" spans="1:7">
      <c r="A207" s="539" t="s">
        <v>100</v>
      </c>
      <c r="B207" s="539">
        <v>4</v>
      </c>
    </row>
    <row r="208" spans="1:7">
      <c r="A208" s="539" t="s">
        <v>228</v>
      </c>
      <c r="B208" s="541">
        <f>+B206/2+B207/2</f>
        <v>2</v>
      </c>
      <c r="C208" s="539" t="s">
        <v>6</v>
      </c>
      <c r="D208" s="541">
        <f>B208+B205</f>
        <v>6.25</v>
      </c>
    </row>
    <row r="209" spans="1:5">
      <c r="A209" s="539" t="s">
        <v>622</v>
      </c>
      <c r="B209" s="548">
        <f>(B207+B206)/2*B205</f>
        <v>8.5</v>
      </c>
      <c r="C209" s="539" t="s">
        <v>3</v>
      </c>
    </row>
    <row r="210" spans="1:5">
      <c r="A210" s="539" t="s">
        <v>623</v>
      </c>
      <c r="B210" s="548">
        <f>B209*(D210+E210)</f>
        <v>8.16</v>
      </c>
      <c r="C210" s="539" t="s">
        <v>670</v>
      </c>
      <c r="D210" s="539">
        <f>B91</f>
        <v>0.48</v>
      </c>
      <c r="E210" s="539">
        <f>B92</f>
        <v>0.48</v>
      </c>
    </row>
    <row r="211" spans="1:5">
      <c r="A211" s="539" t="s">
        <v>624</v>
      </c>
      <c r="B211" s="539">
        <f>B50/1000</f>
        <v>0.4</v>
      </c>
      <c r="C211" s="539">
        <f>B53/1000</f>
        <v>0.2</v>
      </c>
    </row>
    <row r="212" spans="1:5">
      <c r="A212" s="539" t="s">
        <v>525</v>
      </c>
      <c r="B212" s="548">
        <f>1.1*$G$195*C211*B211*D208</f>
        <v>1.3750000000000002</v>
      </c>
      <c r="C212" s="539" t="s">
        <v>567</v>
      </c>
    </row>
    <row r="213" spans="1:5">
      <c r="A213" s="539" t="s">
        <v>625</v>
      </c>
      <c r="B213" s="548">
        <f>(B205/2+B208/2)</f>
        <v>3.125</v>
      </c>
      <c r="C213" s="539" t="s">
        <v>6</v>
      </c>
    </row>
    <row r="214" spans="1:5">
      <c r="A214" s="539" t="s">
        <v>526</v>
      </c>
      <c r="B214" s="548">
        <f>1.1*0.2*$F$195*B213*3.6</f>
        <v>4.455000000000001</v>
      </c>
      <c r="C214" s="539" t="s">
        <v>567</v>
      </c>
    </row>
    <row r="215" spans="1:5">
      <c r="A215" s="539" t="s">
        <v>626</v>
      </c>
      <c r="B215" s="539">
        <v>30</v>
      </c>
      <c r="C215" s="539">
        <v>30</v>
      </c>
      <c r="D215" s="539">
        <f>B215/100</f>
        <v>0.3</v>
      </c>
      <c r="E215" s="539">
        <f>C215/100</f>
        <v>0.3</v>
      </c>
    </row>
    <row r="216" spans="1:5">
      <c r="A216" s="539" t="s">
        <v>627</v>
      </c>
      <c r="B216" s="653">
        <f>1.1*$G$195*D215*E215*3.6</f>
        <v>0.8909999999999999</v>
      </c>
      <c r="C216" s="539" t="s">
        <v>567</v>
      </c>
    </row>
    <row r="217" spans="1:5">
      <c r="A217" s="539" t="s">
        <v>1</v>
      </c>
      <c r="B217" s="548">
        <v>2</v>
      </c>
    </row>
    <row r="218" spans="1:5">
      <c r="A218" s="539" t="s">
        <v>628</v>
      </c>
      <c r="B218" s="548">
        <f>(B210+B212+B214+B216)*B217</f>
        <v>29.762000000000004</v>
      </c>
    </row>
    <row r="219" spans="1:5">
      <c r="A219" s="539" t="s">
        <v>629</v>
      </c>
      <c r="B219" s="539">
        <f>D22</f>
        <v>850</v>
      </c>
    </row>
    <row r="220" spans="1:5">
      <c r="A220" s="539" t="s">
        <v>606</v>
      </c>
      <c r="B220" s="654">
        <f>B218/B219*E220</f>
        <v>4.201694117647059E-2</v>
      </c>
      <c r="C220" s="539" t="s">
        <v>534</v>
      </c>
      <c r="D220" s="539" t="s">
        <v>630</v>
      </c>
      <c r="E220" s="539">
        <v>1.2</v>
      </c>
    </row>
    <row r="221" spans="1:5">
      <c r="A221" s="539" t="s">
        <v>241</v>
      </c>
      <c r="B221" s="540">
        <f>SQRT(B220)</f>
        <v>0.20498034339045926</v>
      </c>
      <c r="C221" s="539" t="s">
        <v>631</v>
      </c>
    </row>
    <row r="222" spans="1:5">
      <c r="A222" s="539" t="s">
        <v>632</v>
      </c>
      <c r="B222" s="539">
        <v>30</v>
      </c>
      <c r="C222" s="539" t="s">
        <v>631</v>
      </c>
    </row>
    <row r="223" spans="1:5">
      <c r="A223" s="539" t="s">
        <v>170</v>
      </c>
      <c r="B223" s="539">
        <v>30</v>
      </c>
      <c r="C223" s="539" t="s">
        <v>631</v>
      </c>
    </row>
    <row r="224" spans="1:5">
      <c r="A224" s="539" t="s">
        <v>606</v>
      </c>
      <c r="B224" s="539">
        <f>B223*B222</f>
        <v>900</v>
      </c>
    </row>
    <row r="225" spans="1:7">
      <c r="A225" s="539" t="s">
        <v>659</v>
      </c>
      <c r="D225" s="539" t="s">
        <v>241</v>
      </c>
      <c r="E225" s="539" t="s">
        <v>956</v>
      </c>
    </row>
    <row r="226" spans="1:7">
      <c r="A226" s="539" t="s">
        <v>660</v>
      </c>
      <c r="B226" s="539">
        <v>95</v>
      </c>
      <c r="D226" s="539">
        <f>D228*10</f>
        <v>300</v>
      </c>
      <c r="E226" s="539">
        <f>E228*10</f>
        <v>300</v>
      </c>
    </row>
    <row r="227" spans="1:7">
      <c r="A227" s="539" t="s">
        <v>662</v>
      </c>
      <c r="C227" s="539" t="s">
        <v>514</v>
      </c>
      <c r="D227" s="539">
        <f>D228-$B$241</f>
        <v>26</v>
      </c>
      <c r="E227" s="539">
        <f>E228-$B$241</f>
        <v>26</v>
      </c>
    </row>
    <row r="228" spans="1:7">
      <c r="A228" s="539" t="s">
        <v>663</v>
      </c>
      <c r="B228" s="539" t="s">
        <v>1118</v>
      </c>
      <c r="C228" s="539" t="s">
        <v>673</v>
      </c>
      <c r="D228" s="539">
        <f>B222</f>
        <v>30</v>
      </c>
      <c r="E228" s="539">
        <f>B223</f>
        <v>30</v>
      </c>
    </row>
    <row r="229" spans="1:7">
      <c r="A229" s="539" t="s">
        <v>665</v>
      </c>
      <c r="B229" s="539">
        <v>3.6</v>
      </c>
      <c r="C229" s="539" t="s">
        <v>6</v>
      </c>
      <c r="D229" s="549">
        <f>B229*100</f>
        <v>360</v>
      </c>
    </row>
    <row r="230" spans="1:7">
      <c r="A230" s="539" t="s">
        <v>466</v>
      </c>
      <c r="B230" s="548">
        <f>0.7*B229</f>
        <v>2.52</v>
      </c>
      <c r="C230" s="539" t="s">
        <v>6</v>
      </c>
      <c r="D230" s="549">
        <f>B230*100</f>
        <v>252</v>
      </c>
      <c r="E230" s="539" t="s">
        <v>631</v>
      </c>
      <c r="F230" s="539">
        <f>B230*1000</f>
        <v>2520</v>
      </c>
      <c r="G230" s="540" t="s">
        <v>158</v>
      </c>
    </row>
    <row r="231" spans="1:7">
      <c r="A231" s="539" t="s">
        <v>666</v>
      </c>
    </row>
    <row r="232" spans="1:7">
      <c r="A232" s="539" t="s">
        <v>667</v>
      </c>
      <c r="B232" s="539">
        <v>20.95</v>
      </c>
      <c r="C232" s="539" t="s">
        <v>670</v>
      </c>
      <c r="D232" s="539">
        <f>B232*1000</f>
        <v>20950</v>
      </c>
    </row>
    <row r="233" spans="1:7">
      <c r="A233" s="539" t="s">
        <v>668</v>
      </c>
      <c r="B233" s="539">
        <v>0.14000000000000001</v>
      </c>
      <c r="C233" s="539" t="s">
        <v>672</v>
      </c>
      <c r="D233" s="539">
        <f t="shared" ref="D233:D240" si="10">B233*1000</f>
        <v>140</v>
      </c>
    </row>
    <row r="234" spans="1:7">
      <c r="A234" s="539" t="s">
        <v>512</v>
      </c>
      <c r="B234" s="539">
        <v>0.15</v>
      </c>
      <c r="C234" s="539" t="s">
        <v>672</v>
      </c>
      <c r="D234" s="539">
        <f t="shared" si="10"/>
        <v>150</v>
      </c>
    </row>
    <row r="235" spans="1:7">
      <c r="A235" s="539" t="s">
        <v>669</v>
      </c>
      <c r="B235" s="539">
        <v>20.56</v>
      </c>
      <c r="C235" s="539" t="s">
        <v>670</v>
      </c>
      <c r="D235" s="539">
        <f t="shared" si="10"/>
        <v>20560</v>
      </c>
    </row>
    <row r="236" spans="1:7">
      <c r="A236" s="539" t="s">
        <v>671</v>
      </c>
      <c r="D236" s="539">
        <f t="shared" si="10"/>
        <v>0</v>
      </c>
    </row>
    <row r="237" spans="1:7">
      <c r="A237" s="539" t="s">
        <v>667</v>
      </c>
      <c r="B237" s="539">
        <v>36.75</v>
      </c>
      <c r="C237" s="539" t="s">
        <v>670</v>
      </c>
      <c r="D237" s="539">
        <f t="shared" si="10"/>
        <v>36750</v>
      </c>
    </row>
    <row r="238" spans="1:7">
      <c r="A238" s="539" t="s">
        <v>668</v>
      </c>
      <c r="B238" s="539">
        <v>0.43</v>
      </c>
      <c r="C238" s="539" t="s">
        <v>672</v>
      </c>
      <c r="D238" s="539">
        <f t="shared" si="10"/>
        <v>430</v>
      </c>
    </row>
    <row r="239" spans="1:7">
      <c r="A239" s="539" t="s">
        <v>512</v>
      </c>
      <c r="B239" s="539">
        <v>0.77</v>
      </c>
      <c r="C239" s="539" t="s">
        <v>672</v>
      </c>
      <c r="D239" s="539">
        <f t="shared" si="10"/>
        <v>770</v>
      </c>
    </row>
    <row r="240" spans="1:7">
      <c r="A240" s="539" t="s">
        <v>669</v>
      </c>
      <c r="B240" s="539">
        <v>7.99</v>
      </c>
      <c r="C240" s="539" t="s">
        <v>670</v>
      </c>
      <c r="D240" s="539">
        <f t="shared" si="10"/>
        <v>7990</v>
      </c>
    </row>
    <row r="241" spans="1:10">
      <c r="A241" s="539" t="s">
        <v>513</v>
      </c>
      <c r="B241" s="539">
        <v>4</v>
      </c>
      <c r="C241" s="539" t="s">
        <v>631</v>
      </c>
      <c r="D241" s="539">
        <f>+B241/100</f>
        <v>0.04</v>
      </c>
      <c r="E241" s="539" t="s">
        <v>6</v>
      </c>
      <c r="F241" s="539">
        <f>B241*10</f>
        <v>40</v>
      </c>
    </row>
    <row r="242" spans="1:10">
      <c r="A242" s="544" t="s">
        <v>929</v>
      </c>
    </row>
    <row r="243" spans="1:10">
      <c r="A243" s="539" t="s">
        <v>514</v>
      </c>
      <c r="B243" s="539">
        <f>E228-$B$241</f>
        <v>26</v>
      </c>
      <c r="C243" s="539" t="s">
        <v>631</v>
      </c>
      <c r="D243" s="647">
        <f>B243*10</f>
        <v>260</v>
      </c>
      <c r="E243" s="539" t="s">
        <v>158</v>
      </c>
      <c r="F243" s="539" t="s">
        <v>1117</v>
      </c>
      <c r="G243" s="540">
        <f>D243-F241</f>
        <v>220</v>
      </c>
    </row>
    <row r="244" spans="1:10">
      <c r="A244" s="539" t="s">
        <v>674</v>
      </c>
      <c r="B244" s="545">
        <f>D230/E228</f>
        <v>8.4</v>
      </c>
      <c r="C244" s="539" t="s">
        <v>676</v>
      </c>
      <c r="D244" s="539">
        <v>100</v>
      </c>
    </row>
    <row r="245" spans="1:10">
      <c r="A245" s="539" t="s">
        <v>675</v>
      </c>
      <c r="B245" s="539">
        <f>0.288*D228</f>
        <v>8.6399999999999988</v>
      </c>
      <c r="D245" s="539" t="s">
        <v>1119</v>
      </c>
      <c r="E245" s="539">
        <v>1</v>
      </c>
    </row>
    <row r="246" spans="1:10">
      <c r="A246" s="539" t="s">
        <v>677</v>
      </c>
      <c r="B246" s="547">
        <f>B233/B232</f>
        <v>6.6825775656324587E-3</v>
      </c>
      <c r="C246" s="548">
        <f>B246*100</f>
        <v>0.66825775656324582</v>
      </c>
    </row>
    <row r="247" spans="1:10">
      <c r="A247" s="539" t="s">
        <v>678</v>
      </c>
      <c r="B247" s="548">
        <f>MAX(C247,D247)</f>
        <v>1</v>
      </c>
      <c r="C247" s="548">
        <f>+D229/600</f>
        <v>0.6</v>
      </c>
      <c r="D247" s="548">
        <f>E228/30</f>
        <v>1</v>
      </c>
    </row>
    <row r="248" spans="1:10">
      <c r="A248" s="539" t="s">
        <v>679</v>
      </c>
      <c r="B248" s="548">
        <f>MAX(C246,B247)</f>
        <v>1</v>
      </c>
      <c r="C248" s="548">
        <f>B248*10</f>
        <v>10</v>
      </c>
    </row>
    <row r="249" spans="1:10">
      <c r="A249" s="539" t="s">
        <v>680</v>
      </c>
      <c r="B249" s="548">
        <f>B248+0.5*D228-B241</f>
        <v>12</v>
      </c>
    </row>
    <row r="250" spans="1:10">
      <c r="A250" s="539" t="s">
        <v>511</v>
      </c>
      <c r="B250" s="548">
        <f>B232/(0.85*D22*D228/100)</f>
        <v>9.6655132641291802E-2</v>
      </c>
      <c r="D250" s="548">
        <f>K22*B243/100</f>
        <v>0.16910025706940876</v>
      </c>
    </row>
    <row r="251" spans="1:10">
      <c r="A251" s="539" t="s">
        <v>681</v>
      </c>
      <c r="B251" s="540">
        <f>B248/E228</f>
        <v>3.3333333333333333E-2</v>
      </c>
    </row>
    <row r="252" spans="1:10">
      <c r="A252" s="539" t="s">
        <v>682</v>
      </c>
      <c r="B252" s="540">
        <f>($K$22+(1-$K$22)/(1+50*B251^2))*B243</f>
        <v>25.521580300365308</v>
      </c>
    </row>
    <row r="253" spans="1:10">
      <c r="A253" s="539" t="s">
        <v>258</v>
      </c>
      <c r="B253" s="539">
        <f>(D232*B249-0.85*$D$22*$D$228*B252*($D$227-0.5*B252))/($D$31*($D$227-$B$241))</f>
        <v>-114.80956906461003</v>
      </c>
      <c r="D253" s="551">
        <f>($D$31*($D$227-$B$241))</f>
        <v>61600</v>
      </c>
      <c r="E253" s="551"/>
      <c r="F253" s="551">
        <f>(D232*B249)</f>
        <v>251400</v>
      </c>
      <c r="G253" s="540">
        <f>0.85*$D$22*$D$228*B252*($D$227-0.5*B252)</f>
        <v>7323669.4543799777</v>
      </c>
      <c r="H253" s="551">
        <f>($D$227-0.5*B252)</f>
        <v>13.239209849817346</v>
      </c>
      <c r="I253" s="556">
        <f>($D$227-0.5*B252)</f>
        <v>13.239209849817346</v>
      </c>
      <c r="J253" s="556">
        <f>0.85*$D$22*$D$228*B252</f>
        <v>553180.25301041803</v>
      </c>
    </row>
    <row r="254" spans="1:10">
      <c r="D254" s="539">
        <f>(415400*39-0.85*145*60*43.2*(55-0.5*43.2))/(2800*50)</f>
        <v>39.503588571428573</v>
      </c>
      <c r="H254" s="539">
        <f>(G266*(G265-5))</f>
        <v>28000</v>
      </c>
      <c r="I254" s="556">
        <f>(G265-0.5*G264)</f>
        <v>7.66</v>
      </c>
      <c r="J254" s="556">
        <f>0.85*G262*G263*G264</f>
        <v>36186.199999999997</v>
      </c>
    </row>
    <row r="255" spans="1:10">
      <c r="D255" s="539">
        <f>+(372700*35.4-0.85*145*60*41.7*(55-0.5*41.7))/(2800*50)</f>
        <v>19.019237678571432</v>
      </c>
    </row>
    <row r="257" spans="1:8">
      <c r="A257" s="539" t="s">
        <v>1120</v>
      </c>
      <c r="B257" s="539">
        <v>1.4999999999999999E-2</v>
      </c>
      <c r="C257" s="539">
        <f>B257*100</f>
        <v>1.5</v>
      </c>
      <c r="D257" s="539" t="s">
        <v>1121</v>
      </c>
    </row>
    <row r="258" spans="1:8">
      <c r="A258" s="539" t="s">
        <v>1122</v>
      </c>
      <c r="B258" s="553">
        <f>B257*D226*D243*(0.5*E226-F241)^2/10^6</f>
        <v>14.157</v>
      </c>
      <c r="C258" s="539" t="s">
        <v>1123</v>
      </c>
      <c r="D258" s="539" t="s">
        <v>1124</v>
      </c>
    </row>
    <row r="259" spans="1:8">
      <c r="A259"/>
      <c r="B259" s="553">
        <f>B33/B24</f>
        <v>9.1304347826086953</v>
      </c>
      <c r="G259" s="540">
        <v>36750</v>
      </c>
      <c r="H259" s="556">
        <f>(G259*G260-0.85*G262*G263*G264*(G265-0.5*G264))/(G266*(G265-5))</f>
        <v>-2.457635428571427</v>
      </c>
    </row>
    <row r="260" spans="1:8">
      <c r="A260" s="539" t="s">
        <v>1125</v>
      </c>
      <c r="B260" s="553">
        <f>D226*E226^3/12/10^6</f>
        <v>675</v>
      </c>
      <c r="C260" s="539" t="s">
        <v>1123</v>
      </c>
      <c r="D260" s="539" t="s">
        <v>1124</v>
      </c>
      <c r="G260" s="540">
        <v>5.67</v>
      </c>
    </row>
    <row r="261" spans="1:8">
      <c r="A261"/>
      <c r="B261" s="553">
        <f>0.5-0.01*F230/E226-0.01*$B$22</f>
        <v>0.33100000000000002</v>
      </c>
      <c r="G261" s="540">
        <v>0.85</v>
      </c>
    </row>
    <row r="262" spans="1:8">
      <c r="A262"/>
      <c r="B262" s="553">
        <f>C248/E226</f>
        <v>3.3333333333333333E-2</v>
      </c>
      <c r="G262" s="540">
        <v>145</v>
      </c>
    </row>
    <row r="263" spans="1:8">
      <c r="G263" s="540">
        <v>20</v>
      </c>
    </row>
    <row r="264" spans="1:8">
      <c r="A264"/>
      <c r="G264" s="540">
        <v>14.68</v>
      </c>
    </row>
    <row r="265" spans="1:8">
      <c r="G265" s="540">
        <v>15</v>
      </c>
    </row>
    <row r="266" spans="1:8">
      <c r="G266" s="540">
        <v>2800</v>
      </c>
    </row>
  </sheetData>
  <conditionalFormatting sqref="D50">
    <cfRule type="expression" priority="20">
      <formula>$B$50&lt;$B$49</formula>
    </cfRule>
  </conditionalFormatting>
  <conditionalFormatting sqref="B50">
    <cfRule type="cellIs" dxfId="9" priority="19" operator="lessThan">
      <formula>$B$49</formula>
    </cfRule>
  </conditionalFormatting>
  <conditionalFormatting sqref="B53">
    <cfRule type="cellIs" dxfId="8" priority="16" operator="lessThan">
      <formula>$B$52</formula>
    </cfRule>
  </conditionalFormatting>
  <conditionalFormatting sqref="B90">
    <cfRule type="cellIs" dxfId="7" priority="12" operator="greaterThan">
      <formula>2</formula>
    </cfRule>
  </conditionalFormatting>
  <conditionalFormatting sqref="I173">
    <cfRule type="cellIs" dxfId="6" priority="8" operator="lessThan">
      <formula>$J$11</formula>
    </cfRule>
  </conditionalFormatting>
  <conditionalFormatting sqref="D175">
    <cfRule type="cellIs" dxfId="5" priority="7" operator="lessThan">
      <formula>$J$11</formula>
    </cfRule>
  </conditionalFormatting>
  <conditionalFormatting sqref="D58">
    <cfRule type="expression" priority="6">
      <formula>$B$50&lt;$B$49</formula>
    </cfRule>
  </conditionalFormatting>
  <conditionalFormatting sqref="B58">
    <cfRule type="cellIs" dxfId="4" priority="5" operator="lessThan">
      <formula>$B$49</formula>
    </cfRule>
  </conditionalFormatting>
  <conditionalFormatting sqref="B61">
    <cfRule type="cellIs" dxfId="3" priority="4" operator="lessThan">
      <formula>$B$52</formula>
    </cfRule>
  </conditionalFormatting>
  <conditionalFormatting sqref="M176">
    <cfRule type="cellIs" dxfId="2" priority="2" operator="lessThan">
      <formula>$J$11</formula>
    </cfRule>
  </conditionalFormatting>
  <conditionalFormatting sqref="M177">
    <cfRule type="cellIs" dxfId="1" priority="1" operator="lessThan">
      <formula>$J$11</formula>
    </cfRule>
  </conditionalFormatting>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25E4B-220B-47AD-8084-745F1FB2453B}">
  <sheetPr codeName="Sheet5"/>
  <dimension ref="A1:AB204"/>
  <sheetViews>
    <sheetView topLeftCell="A84" zoomScaleNormal="100" workbookViewId="0">
      <selection activeCell="S86" sqref="S86"/>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13" width="9.08203125" style="822"/>
    <col min="14" max="14" width="10.6640625" style="822" bestFit="1" customWidth="1"/>
    <col min="15" max="16384" width="9.08203125" style="822"/>
  </cols>
  <sheetData>
    <row r="1" spans="1:9">
      <c r="A1" s="822" t="str">
        <f>IF([2]TH!A1&lt;&gt;"",[2]TH!A1,"")</f>
        <v>Ngày thực hiện luận văn</v>
      </c>
      <c r="B1" s="822" t="str">
        <f>IF([2]TH!B1&lt;&gt;"",[2]TH!B1,"")</f>
        <v>ngày 02 tháng 07 năm 2020</v>
      </c>
      <c r="C1" s="822" t="str">
        <f>IF([2]TH!C1&lt;&gt;"",[2]TH!C1,"")</f>
        <v/>
      </c>
      <c r="D1" s="822" t="str">
        <f>IF([2]TH!D1&lt;&gt;"",[2]TH!D1,"")</f>
        <v/>
      </c>
      <c r="E1" s="822" t="str">
        <f>IF([2]TH!E1&lt;&gt;"",[2]TH!E1,"")</f>
        <v/>
      </c>
      <c r="F1" s="822" t="str">
        <f>IF([2]TH!F1&lt;&gt;"",[2]TH!F1,"")</f>
        <v/>
      </c>
      <c r="G1" s="822" t="str">
        <f>IF([2]TH!G1&lt;&gt;"",[2]TH!G1,"")</f>
        <v/>
      </c>
      <c r="H1" s="822" t="str">
        <f>IF([2]TH!H1&lt;&gt;"",[2]TH!H1,"")</f>
        <v/>
      </c>
      <c r="I1" s="822" t="str">
        <f>IF([2]TH!I1&lt;&gt;"",[2]TH!I1,"")</f>
        <v/>
      </c>
    </row>
    <row r="2" spans="1:9">
      <c r="A2" s="822" t="str">
        <f>IF([2]TH!A2&lt;&gt;"",[2]TH!A2,"")</f>
        <v>Tên công trình:</v>
      </c>
      <c r="B2" s="822" t="str">
        <f>IF([2]TH!B2&lt;&gt;"",[2]TH!B2,"")</f>
        <v>Trụ Sở Làm Việc Xã Tân Ân -Huyện Ngọc Hiển-Tỉnh Cà Mau</v>
      </c>
      <c r="C2" s="822" t="str">
        <f>IF([2]TH!C2&lt;&gt;"",[2]TH!C2,"")</f>
        <v/>
      </c>
      <c r="D2" s="822" t="str">
        <f>IF([2]TH!D2&lt;&gt;"",[2]TH!D2,"")</f>
        <v/>
      </c>
      <c r="E2" s="822" t="str">
        <f>IF([2]TH!E2&lt;&gt;"",[2]TH!E2,"")</f>
        <v/>
      </c>
      <c r="F2" s="822" t="str">
        <f>IF([2]TH!F2&lt;&gt;"",[2]TH!F2,"")</f>
        <v/>
      </c>
      <c r="G2" s="822" t="str">
        <f>IF([2]TH!G2&lt;&gt;"",[2]TH!G2,"")</f>
        <v/>
      </c>
      <c r="H2" s="822" t="str">
        <f>IF([2]TH!H2&lt;&gt;"",[2]TH!H2,"")</f>
        <v/>
      </c>
      <c r="I2" s="822" t="str">
        <f>IF([2]TH!I2&lt;&gt;"",[2]TH!I2,"")</f>
        <v/>
      </c>
    </row>
    <row r="3" spans="1:9">
      <c r="A3" s="822" t="str">
        <f>IF([2]TH!A3&lt;&gt;"",[2]TH!A3,"")</f>
        <v>Địa điểm:</v>
      </c>
      <c r="B3" s="822" t="str">
        <f>IF([2]TH!B3&lt;&gt;"",[2]TH!B3,"")</f>
        <v>Xã Tân Ân -Huyện Ngọc Hiển-Tỉnh Cà Mau</v>
      </c>
      <c r="C3" s="822" t="str">
        <f>IF([2]TH!C3&lt;&gt;"",[2]TH!C3,"")</f>
        <v/>
      </c>
      <c r="D3" s="822" t="str">
        <f>IF([2]TH!D3&lt;&gt;"",[2]TH!D3,"")</f>
        <v/>
      </c>
      <c r="E3" s="822" t="str">
        <f>IF([2]TH!E3&lt;&gt;"",[2]TH!E3,"")</f>
        <v/>
      </c>
      <c r="F3" s="822" t="str">
        <f>IF([2]TH!F3&lt;&gt;"",[2]TH!F3,"")</f>
        <v/>
      </c>
      <c r="G3" s="822" t="str">
        <f>IF([2]TH!G3&lt;&gt;"",[2]TH!G3,"")</f>
        <v/>
      </c>
      <c r="H3" s="822" t="str">
        <f>IF([2]TH!H3&lt;&gt;"",[2]TH!H3,"")</f>
        <v/>
      </c>
      <c r="I3" s="822" t="str">
        <f>IF([2]TH!I3&lt;&gt;"",[2]TH!I3,"")</f>
        <v/>
      </c>
    </row>
    <row r="4" spans="1:9">
      <c r="A4" s="822" t="str">
        <f>IF([2]TH!A4&lt;&gt;"",[2]TH!A4,"")</f>
        <v>Đặc điểm công trình:</v>
      </c>
      <c r="B4" s="822" t="str">
        <f>IF([2]TH!B4&lt;&gt;"",[2]TH!B4,"")</f>
        <v>1 tầng trệt, 2 tầng lầu</v>
      </c>
      <c r="C4" s="822" t="str">
        <f>IF([2]TH!C4&lt;&gt;"",[2]TH!C4,"")</f>
        <v/>
      </c>
      <c r="D4" s="822" t="str">
        <f>IF([2]TH!D4&lt;&gt;"",[2]TH!D4,"")</f>
        <v/>
      </c>
      <c r="E4" s="822" t="str">
        <f>IF([2]TH!E4&lt;&gt;"",[2]TH!E4,"")</f>
        <v/>
      </c>
      <c r="F4" s="822" t="str">
        <f>IF([2]TH!F4&lt;&gt;"",[2]TH!F4,"")</f>
        <v/>
      </c>
      <c r="G4" s="822" t="str">
        <f>IF([2]TH!G4&lt;&gt;"",[2]TH!G4,"")</f>
        <v/>
      </c>
      <c r="H4" s="822" t="str">
        <f>IF([2]TH!H4&lt;&gt;"",[2]TH!H4,"")</f>
        <v/>
      </c>
      <c r="I4" s="822" t="str">
        <f>IF([2]TH!I4&lt;&gt;"",[2]TH!I4,"")</f>
        <v/>
      </c>
    </row>
    <row r="5" spans="1:9">
      <c r="A5" s="822" t="str">
        <f>IF([2]TH!A5&lt;&gt;"",[2]TH!A5,"")</f>
        <v>Cấp công trình</v>
      </c>
      <c r="B5" s="822">
        <f>IF([2]TH!B5&lt;&gt;"",[2]TH!B5,"")</f>
        <v>5000</v>
      </c>
      <c r="C5" s="822" t="str">
        <f>IF([2]TH!C5&lt;&gt;"",[2]TH!C5,"")</f>
        <v/>
      </c>
      <c r="D5" s="822" t="str">
        <f>IF([2]TH!D5&lt;&gt;"",[2]TH!D5,"")</f>
        <v/>
      </c>
      <c r="E5" s="822" t="str">
        <f>IF([2]TH!E5&lt;&gt;"",[2]TH!E5,"")</f>
        <v/>
      </c>
      <c r="F5" s="822" t="str">
        <f>IF([2]TH!F5&lt;&gt;"",[2]TH!F5,"")</f>
        <v/>
      </c>
      <c r="G5" s="822" t="str">
        <f>IF([2]TH!G5&lt;&gt;"",[2]TH!G5,"")</f>
        <v/>
      </c>
      <c r="H5" s="822" t="str">
        <f>IF([2]TH!H5&lt;&gt;"",[2]TH!H5,"")</f>
        <v/>
      </c>
      <c r="I5" s="822" t="str">
        <f>IF([2]TH!I5&lt;&gt;"",[2]TH!I5,"")</f>
        <v/>
      </c>
    </row>
    <row r="6" spans="1:9">
      <c r="A6" s="822" t="str">
        <f>IF([2]TH!A6&lt;&gt;"",[2]TH!A6,"")</f>
        <v>Số tầng:</v>
      </c>
      <c r="B6" s="822">
        <f>IF([2]TH!B6&lt;&gt;"",[2]TH!B6,"")</f>
        <v>4</v>
      </c>
      <c r="C6" s="822" t="str">
        <f>IF([2]TH!C6&lt;&gt;"",[2]TH!C6,"")</f>
        <v>tầng</v>
      </c>
      <c r="D6" s="822" t="str">
        <f>IF([2]TH!D6&lt;&gt;"",[2]TH!D6,"")</f>
        <v/>
      </c>
      <c r="E6" s="822" t="str">
        <f>IF([2]TH!E6&lt;&gt;"",[2]TH!E6,"")</f>
        <v/>
      </c>
      <c r="F6" s="822" t="str">
        <f>IF([2]TH!F6&lt;&gt;"",[2]TH!F6,"")</f>
        <v/>
      </c>
      <c r="G6" s="822" t="str">
        <f>IF([2]TH!G6&lt;&gt;"",[2]TH!G6,"")</f>
        <v/>
      </c>
      <c r="H6" s="822" t="str">
        <f>IF([2]TH!H6&lt;&gt;"",[2]TH!H6,"")</f>
        <v/>
      </c>
      <c r="I6" s="822" t="str">
        <f>IF([2]TH!I6&lt;&gt;"",[2]TH!I6,"")</f>
        <v/>
      </c>
    </row>
    <row r="7" spans="1:9">
      <c r="A7" s="822" t="str">
        <f>IF([2]TH!A7&lt;&gt;"",[2]TH!A7,"")</f>
        <v>Diện tích xây dựng</v>
      </c>
      <c r="B7" s="822">
        <f>IF([2]TH!B7&lt;&gt;"",[2]TH!B7,"")</f>
        <v>435.7</v>
      </c>
      <c r="C7" s="822" t="str">
        <f>IF([2]TH!C7&lt;&gt;"",[2]TH!C7,"")</f>
        <v>m2</v>
      </c>
      <c r="D7" s="822" t="str">
        <f>IF([2]TH!D7&lt;&gt;"",[2]TH!D7,"")</f>
        <v/>
      </c>
      <c r="E7" s="822" t="str">
        <f>IF([2]TH!E7&lt;&gt;"",[2]TH!E7,"")</f>
        <v/>
      </c>
      <c r="F7" s="822" t="str">
        <f>IF([2]TH!F7&lt;&gt;"",[2]TH!F7,"")</f>
        <v/>
      </c>
      <c r="G7" s="822" t="str">
        <f>IF([2]TH!G7&lt;&gt;"",[2]TH!G7,"")</f>
        <v/>
      </c>
      <c r="H7" s="822" t="str">
        <f>IF([2]TH!H7&lt;&gt;"",[2]TH!H7,"")</f>
        <v/>
      </c>
      <c r="I7" s="822" t="str">
        <f>IF([2]TH!I7&lt;&gt;"",[2]TH!I7,"")</f>
        <v/>
      </c>
    </row>
    <row r="8" spans="1:9">
      <c r="A8" s="822" t="str">
        <f>IF([2]TH!A8&lt;&gt;"",[2]TH!A8,"")</f>
        <v xml:space="preserve">Tổng diện tích </v>
      </c>
      <c r="B8" s="822">
        <f>IF([2]TH!B8&lt;&gt;"",[2]TH!B8,"")</f>
        <v>814.3</v>
      </c>
      <c r="C8" s="822" t="str">
        <f>IF([2]TH!C8&lt;&gt;"",[2]TH!C8,"")</f>
        <v>m2</v>
      </c>
      <c r="D8" s="822" t="str">
        <f>IF([2]TH!D8&lt;&gt;"",[2]TH!D8,"")</f>
        <v/>
      </c>
      <c r="E8" s="822" t="str">
        <f>IF([2]TH!E8&lt;&gt;"",[2]TH!E8,"")</f>
        <v/>
      </c>
      <c r="F8" s="822" t="str">
        <f>IF([2]TH!F8&lt;&gt;"",[2]TH!F8,"")</f>
        <v/>
      </c>
      <c r="G8" s="822" t="str">
        <f>IF([2]TH!G8&lt;&gt;"",[2]TH!G8,"")</f>
        <v/>
      </c>
      <c r="H8" s="822" t="str">
        <f>IF([2]TH!H8&lt;&gt;"",[2]TH!H8,"")</f>
        <v/>
      </c>
      <c r="I8" s="822" t="str">
        <f>IF([2]TH!I8&lt;&gt;"",[2]TH!I8,"")</f>
        <v/>
      </c>
    </row>
    <row r="9" spans="1:9">
      <c r="A9" s="822" t="str">
        <f>IF([2]TH!A9&lt;&gt;"",[2]TH!A9,"")</f>
        <v>Trong đó:</v>
      </c>
      <c r="B9" s="822" t="str">
        <f>IF([2]TH!B9&lt;&gt;"",[2]TH!B9,"")</f>
        <v>tầng trệt: S=435,7 m², lầu 1: S=378,6 m²</v>
      </c>
      <c r="C9" s="822" t="str">
        <f>IF([2]TH!C9&lt;&gt;"",[2]TH!C9,"")</f>
        <v/>
      </c>
      <c r="D9" s="822" t="str">
        <f>IF([2]TH!D9&lt;&gt;"",[2]TH!D9,"")</f>
        <v/>
      </c>
      <c r="E9" s="822" t="str">
        <f>IF([2]TH!E9&lt;&gt;"",[2]TH!E9,"")</f>
        <v/>
      </c>
      <c r="F9" s="822" t="str">
        <f>IF([2]TH!F9&lt;&gt;"",[2]TH!F9,"")</f>
        <v/>
      </c>
      <c r="G9" s="822" t="str">
        <f>IF([2]TH!G9&lt;&gt;"",[2]TH!G9,"")</f>
        <v/>
      </c>
      <c r="H9" s="822" t="str">
        <f>IF([2]TH!H9&lt;&gt;"",[2]TH!H9,"")</f>
        <v/>
      </c>
      <c r="I9" s="822" t="str">
        <f>IF([2]TH!I9&lt;&gt;"",[2]TH!I9,"")</f>
        <v/>
      </c>
    </row>
    <row r="10" spans="1:9">
      <c r="A10" s="822" t="str">
        <f>IF([2]TH!A10&lt;&gt;"",[2]TH!A10,"")</f>
        <v>Chiều cao nèn từ tầng trệt:</v>
      </c>
      <c r="B10" s="822" t="str">
        <f>IF([2]TH!B10&lt;&gt;"",[2]TH!B10,"")</f>
        <v/>
      </c>
      <c r="C10" s="822" t="str">
        <f>IF([2]TH!C10&lt;&gt;"",[2]TH!C10,"")</f>
        <v/>
      </c>
      <c r="D10" s="822" t="str">
        <f>IF([2]TH!D10&lt;&gt;"",[2]TH!D10,"")</f>
        <v/>
      </c>
      <c r="E10" s="822" t="str">
        <f>IF([2]TH!E10&lt;&gt;"",[2]TH!E10,"")</f>
        <v/>
      </c>
      <c r="F10" s="822" t="str">
        <f>IF([2]TH!F10&lt;&gt;"",[2]TH!F10,"")</f>
        <v/>
      </c>
      <c r="G10" s="822" t="str">
        <f>IF([2]TH!G10&lt;&gt;"",[2]TH!G10,"")</f>
        <v/>
      </c>
      <c r="H10" s="822" t="str">
        <f>IF([2]TH!H10&lt;&gt;"",[2]TH!H10,"")</f>
        <v/>
      </c>
      <c r="I10" s="822" t="str">
        <f>IF([2]TH!I10&lt;&gt;"",[2]TH!I10,"")</f>
        <v/>
      </c>
    </row>
    <row r="11" spans="1:9">
      <c r="A11" s="822" t="str">
        <f>IF([2]TH!A11&lt;&gt;"",[2]TH!A11,"")</f>
        <v>Cao độ mỗi tầng:</v>
      </c>
      <c r="B11" s="822" t="str">
        <f>IF([2]TH!B11&lt;&gt;"",[2]TH!B11,"")</f>
        <v/>
      </c>
      <c r="C11" s="822" t="str">
        <f>IF([2]TH!C11&lt;&gt;"",[2]TH!C11,"")</f>
        <v/>
      </c>
      <c r="D11" s="822" t="str">
        <f>IF([2]TH!D11&lt;&gt;"",[2]TH!D11,"")</f>
        <v/>
      </c>
      <c r="E11" s="822" t="str">
        <f>IF([2]TH!E11&lt;&gt;"",[2]TH!E11,"")</f>
        <v/>
      </c>
      <c r="F11" s="822" t="str">
        <f>IF([2]TH!F11&lt;&gt;"",[2]TH!F11,"")</f>
        <v/>
      </c>
      <c r="G11" s="822" t="str">
        <f>IF([2]TH!G11&lt;&gt;"",[2]TH!G11,"")</f>
        <v/>
      </c>
      <c r="H11" s="822" t="str">
        <f>IF([2]TH!H11&lt;&gt;"",[2]TH!H11,"")</f>
        <v/>
      </c>
      <c r="I11" s="822" t="str">
        <f>IF([2]TH!I11&lt;&gt;"",[2]TH!I11,"")</f>
        <v/>
      </c>
    </row>
    <row r="12" spans="1:9">
      <c r="A12" s="822" t="str">
        <f>IF([2]TH!A12&lt;&gt;"",[2]TH!A12,"")</f>
        <v>Tầng trệt</v>
      </c>
      <c r="B12" s="822">
        <f>IF([2]TH!B12&lt;&gt;"",[2]TH!B12,"")</f>
        <v>2.85</v>
      </c>
      <c r="C12" s="822" t="str">
        <f>IF([2]TH!C12&lt;&gt;"",[2]TH!C12,"")</f>
        <v>m</v>
      </c>
      <c r="D12" s="822" t="str">
        <f>IF([2]TH!D12&lt;&gt;"",[2]TH!D12,"")</f>
        <v/>
      </c>
      <c r="E12" s="822" t="str">
        <f>IF([2]TH!E12&lt;&gt;"",[2]TH!E12,"")</f>
        <v/>
      </c>
      <c r="F12" s="822" t="str">
        <f>IF([2]TH!F12&lt;&gt;"",[2]TH!F12,"")</f>
        <v/>
      </c>
      <c r="G12" s="822" t="str">
        <f>IF([2]TH!G12&lt;&gt;"",[2]TH!G12,"")</f>
        <v/>
      </c>
      <c r="H12" s="822" t="str">
        <f>IF([2]TH!H12&lt;&gt;"",[2]TH!H12,"")</f>
        <v/>
      </c>
      <c r="I12" s="822" t="str">
        <f>IF([2]TH!I12&lt;&gt;"",[2]TH!I12,"")</f>
        <v/>
      </c>
    </row>
    <row r="13" spans="1:9">
      <c r="A13" s="822" t="str">
        <f>IF([2]TH!A13&lt;&gt;"",[2]TH!A13,"")</f>
        <v>Tầng 1</v>
      </c>
      <c r="B13" s="822">
        <f>IF([2]TH!B13&lt;&gt;"",[2]TH!B13,"")</f>
        <v>3.6</v>
      </c>
      <c r="C13" s="822" t="str">
        <f>IF([2]TH!C13&lt;&gt;"",[2]TH!C13,"")</f>
        <v>m</v>
      </c>
      <c r="D13" s="822" t="str">
        <f>IF([2]TH!D13&lt;&gt;"",[2]TH!D13,"")</f>
        <v/>
      </c>
      <c r="E13" s="822" t="str">
        <f>IF([2]TH!E13&lt;&gt;"",[2]TH!E13,"")</f>
        <v/>
      </c>
      <c r="F13" s="822" t="str">
        <f>IF([2]TH!F13&lt;&gt;"",[2]TH!F13,"")</f>
        <v/>
      </c>
      <c r="G13" s="822" t="str">
        <f>IF([2]TH!G13&lt;&gt;"",[2]TH!G13,"")</f>
        <v/>
      </c>
      <c r="H13" s="822" t="str">
        <f>IF([2]TH!H13&lt;&gt;"",[2]TH!H13,"")</f>
        <v/>
      </c>
      <c r="I13" s="822" t="str">
        <f>IF([2]TH!I13&lt;&gt;"",[2]TH!I13,"")</f>
        <v/>
      </c>
    </row>
    <row r="14" spans="1:9">
      <c r="A14" s="822" t="str">
        <f>IF([2]TH!A14&lt;&gt;"",[2]TH!A14,"")</f>
        <v>Tầng 2</v>
      </c>
      <c r="B14" s="822">
        <f>IF([2]TH!B14&lt;&gt;"",[2]TH!B14,"")</f>
        <v>6.45</v>
      </c>
      <c r="C14" s="822" t="str">
        <f>IF([2]TH!C14&lt;&gt;"",[2]TH!C14,"")</f>
        <v>m</v>
      </c>
      <c r="D14" s="822" t="str">
        <f>IF([2]TH!D14&lt;&gt;"",[2]TH!D14,"")</f>
        <v/>
      </c>
      <c r="E14" s="822" t="str">
        <f>IF([2]TH!E14&lt;&gt;"",[2]TH!E14,"")</f>
        <v/>
      </c>
      <c r="F14" s="822" t="str">
        <f>IF([2]TH!F14&lt;&gt;"",[2]TH!F14,"")</f>
        <v/>
      </c>
      <c r="G14" s="822" t="str">
        <f>IF([2]TH!G14&lt;&gt;"",[2]TH!G14,"")</f>
        <v/>
      </c>
      <c r="H14" s="822" t="str">
        <f>IF([2]TH!H14&lt;&gt;"",[2]TH!H14,"")</f>
        <v/>
      </c>
      <c r="I14" s="822" t="str">
        <f>IF([2]TH!I14&lt;&gt;"",[2]TH!I14,"")</f>
        <v/>
      </c>
    </row>
    <row r="15" spans="1:9">
      <c r="A15" s="822" t="str">
        <f>IF([2]TH!A15&lt;&gt;"",[2]TH!A15,"")</f>
        <v>Mái</v>
      </c>
      <c r="B15" s="822">
        <f>IF([2]TH!B15&lt;&gt;"",[2]TH!B15,"")</f>
        <v>13.35</v>
      </c>
      <c r="C15" s="822" t="str">
        <f>IF([2]TH!C15&lt;&gt;"",[2]TH!C15,"")</f>
        <v>m</v>
      </c>
      <c r="D15" s="822" t="str">
        <f>IF([2]TH!D15&lt;&gt;"",[2]TH!D15,"")</f>
        <v/>
      </c>
      <c r="E15" s="822" t="str">
        <f>IF([2]TH!E15&lt;&gt;"",[2]TH!E15,"")</f>
        <v/>
      </c>
      <c r="F15" s="822" t="str">
        <f>IF([2]TH!F15&lt;&gt;"",[2]TH!F15,"")</f>
        <v/>
      </c>
      <c r="G15" s="822" t="str">
        <f>IF([2]TH!G15&lt;&gt;"",[2]TH!G15,"")</f>
        <v/>
      </c>
      <c r="H15" s="822" t="str">
        <f>IF([2]TH!H15&lt;&gt;"",[2]TH!H15,"")</f>
        <v/>
      </c>
      <c r="I15" s="822" t="str">
        <f>IF([2]TH!I15&lt;&gt;"",[2]TH!I15,"")</f>
        <v/>
      </c>
    </row>
    <row r="16" spans="1:9">
      <c r="A16" s="822" t="str">
        <f>IF([2]TH!A16&lt;&gt;"",[2]TH!A16,"")</f>
        <v>Chiều cao công trình</v>
      </c>
      <c r="B16" s="822">
        <f>IF([2]TH!B16&lt;&gt;"",[2]TH!B16,"")</f>
        <v>13.35</v>
      </c>
      <c r="C16" s="822" t="str">
        <f>IF([2]TH!C16&lt;&gt;"",[2]TH!C16,"")</f>
        <v>m</v>
      </c>
      <c r="D16" s="822" t="str">
        <f>IF([2]TH!D16&lt;&gt;"",[2]TH!D16,"")</f>
        <v/>
      </c>
      <c r="E16" s="822" t="str">
        <f>IF([2]TH!E16&lt;&gt;"",[2]TH!E16,"")</f>
        <v/>
      </c>
      <c r="F16" s="822" t="str">
        <f>IF([2]TH!F16&lt;&gt;"",[2]TH!F16,"")</f>
        <v/>
      </c>
      <c r="G16" s="822" t="str">
        <f>IF([2]TH!G16&lt;&gt;"",[2]TH!G16,"")</f>
        <v/>
      </c>
      <c r="H16" s="822" t="str">
        <f>IF([2]TH!H16&lt;&gt;"",[2]TH!H16,"")</f>
        <v/>
      </c>
      <c r="I16" s="822" t="str">
        <f>IF([2]TH!I16&lt;&gt;"",[2]TH!I16,"")</f>
        <v/>
      </c>
    </row>
    <row r="17" spans="1:9">
      <c r="A17" s="822" t="str">
        <f>IF([2]TH!A17&lt;&gt;"",[2]TH!A17,"")</f>
        <v>Sàn lầu 1</v>
      </c>
      <c r="B17" s="822">
        <f>IF([2]TH!B17&lt;&gt;"",[2]TH!B17,"")</f>
        <v>3.6</v>
      </c>
      <c r="C17" s="822" t="str">
        <f>IF([2]TH!C17&lt;&gt;"",[2]TH!C17,"")</f>
        <v>m</v>
      </c>
      <c r="D17" s="822" t="str">
        <f>IF([2]TH!D17&lt;&gt;"",[2]TH!D17,"")</f>
        <v/>
      </c>
      <c r="E17" s="822" t="str">
        <f>IF([2]TH!E17&lt;&gt;"",[2]TH!E17,"")</f>
        <v/>
      </c>
      <c r="F17" s="822" t="str">
        <f>IF([2]TH!F17&lt;&gt;"",[2]TH!F17,"")</f>
        <v/>
      </c>
      <c r="G17" s="822" t="str">
        <f>IF([2]TH!G17&lt;&gt;"",[2]TH!G17,"")</f>
        <v/>
      </c>
      <c r="H17" s="822" t="str">
        <f>IF([2]TH!H17&lt;&gt;"",[2]TH!H17,"")</f>
        <v/>
      </c>
      <c r="I17" s="822" t="str">
        <f>IF([2]TH!I17&lt;&gt;"",[2]TH!I17,"")</f>
        <v/>
      </c>
    </row>
    <row r="18" spans="1:9">
      <c r="A18" s="822" t="str">
        <f>IF([2]TH!A18&lt;&gt;"",[2]TH!A18,"")</f>
        <v>Trần lầu 2</v>
      </c>
      <c r="B18" s="822">
        <f>IF([2]TH!B18&lt;&gt;"",[2]TH!B18,"")</f>
        <v>3.6</v>
      </c>
      <c r="C18" s="822" t="str">
        <f>IF([2]TH!C18&lt;&gt;"",[2]TH!C18,"")</f>
        <v>m</v>
      </c>
      <c r="D18" s="822" t="str">
        <f>IF([2]TH!D18&lt;&gt;"",[2]TH!D18,"")</f>
        <v/>
      </c>
      <c r="E18" s="822" t="str">
        <f>IF([2]TH!E18&lt;&gt;"",[2]TH!E18,"")</f>
        <v/>
      </c>
      <c r="F18" s="822" t="str">
        <f>IF([2]TH!F18&lt;&gt;"",[2]TH!F18,"")</f>
        <v/>
      </c>
      <c r="G18" s="822" t="str">
        <f>IF([2]TH!G18&lt;&gt;"",[2]TH!G18,"")</f>
        <v/>
      </c>
      <c r="H18" s="822" t="str">
        <f>IF([2]TH!H18&lt;&gt;"",[2]TH!H18,"")</f>
        <v/>
      </c>
      <c r="I18" s="822" t="str">
        <f>IF([2]TH!I18&lt;&gt;"",[2]TH!I18,"")</f>
        <v/>
      </c>
    </row>
    <row r="19" spans="1:9">
      <c r="A19" s="822" t="str">
        <f>IF([2]TH!A19&lt;&gt;"",[2]TH!A19,"")</f>
        <v>mái</v>
      </c>
      <c r="B19" s="822">
        <f>IF([2]TH!B19&lt;&gt;"",[2]TH!B19,"")</f>
        <v>3.3</v>
      </c>
      <c r="C19" s="822" t="str">
        <f>IF([2]TH!C19&lt;&gt;"",[2]TH!C19,"")</f>
        <v>m</v>
      </c>
      <c r="D19" s="822" t="str">
        <f>IF([2]TH!D19&lt;&gt;"",[2]TH!D19,"")</f>
        <v/>
      </c>
      <c r="E19" s="822" t="str">
        <f>IF([2]TH!E19&lt;&gt;"",[2]TH!E19,"")</f>
        <v/>
      </c>
      <c r="F19" s="822" t="str">
        <f>IF([2]TH!F19&lt;&gt;"",[2]TH!F19,"")</f>
        <v/>
      </c>
      <c r="G19" s="822" t="str">
        <f>IF([2]TH!G19&lt;&gt;"",[2]TH!G19,"")</f>
        <v/>
      </c>
      <c r="H19" s="822" t="str">
        <f>IF([2]TH!H19&lt;&gt;"",[2]TH!H19,"")</f>
        <v/>
      </c>
      <c r="I19" s="822" t="str">
        <f>IF([2]TH!I19&lt;&gt;"",[2]TH!I19,"")</f>
        <v/>
      </c>
    </row>
    <row r="20" spans="1:9">
      <c r="A20" s="822" t="str">
        <f>IF([2]TH!A20&lt;&gt;"",[2]TH!A20,"")</f>
        <v>BÊ TÔNG:</v>
      </c>
      <c r="B20" s="822" t="str">
        <f>IF([2]TH!B20&lt;&gt;"",[2]TH!B20,"")</f>
        <v/>
      </c>
      <c r="C20" s="822" t="str">
        <f>IF([2]TH!C20&lt;&gt;"",[2]TH!C20,"")</f>
        <v/>
      </c>
      <c r="D20" s="822" t="str">
        <f>IF([2]TH!D20&lt;&gt;"",[2]TH!D20,"")</f>
        <v/>
      </c>
      <c r="E20" s="822" t="str">
        <f>IF([2]TH!E20&lt;&gt;"",[2]TH!E20,"")</f>
        <v/>
      </c>
      <c r="F20" s="822" t="str">
        <f>IF([2]TH!F20&lt;&gt;"",[2]TH!F20,"")</f>
        <v/>
      </c>
      <c r="G20" s="822" t="str">
        <f>IF([2]TH!G20&lt;&gt;"",[2]TH!G20,"")</f>
        <v/>
      </c>
      <c r="H20" s="822" t="str">
        <f>IF([2]TH!H20&lt;&gt;"",[2]TH!H20,"")</f>
        <v/>
      </c>
      <c r="I20" s="822" t="str">
        <f>IF([2]TH!I20&lt;&gt;"",[2]TH!I20,"")</f>
        <v/>
      </c>
    </row>
    <row r="21" spans="1:9">
      <c r="A21" s="822" t="str">
        <f>IF([2]TH!A21&lt;&gt;"",[2]TH!A21,"")</f>
        <v>Cấp độ bền</v>
      </c>
      <c r="B21" s="822" t="s">
        <v>83</v>
      </c>
      <c r="C21" s="822">
        <v>25</v>
      </c>
      <c r="D21" s="822" t="str">
        <f>IF([2]TH!D21&lt;&gt;"",[2]TH!D21,"")</f>
        <v/>
      </c>
      <c r="E21" s="822" t="str">
        <f>IF([2]TH!E21&lt;&gt;"",[2]TH!E21,"")</f>
        <v/>
      </c>
      <c r="F21" s="822" t="str">
        <f>IF([2]TH!F21&lt;&gt;"",[2]TH!F21,"")</f>
        <v/>
      </c>
      <c r="G21" s="822" t="str">
        <f>IF([2]TH!G21&lt;&gt;"",[2]TH!G21,"")</f>
        <v/>
      </c>
      <c r="H21" s="822" t="str">
        <f>IF([2]TH!H21&lt;&gt;"",[2]TH!H21,"")</f>
        <v/>
      </c>
      <c r="I21" s="822" t="str">
        <f>IF([2]TH!I21&lt;&gt;"",[2]TH!I21,"")</f>
        <v/>
      </c>
    </row>
    <row r="22" spans="1:9">
      <c r="A22" s="822" t="str">
        <f>IF([2]TH!A22&lt;&gt;"",[2]TH!A22,"")</f>
        <v>Cường độ tính toán chịu nén</v>
      </c>
      <c r="B22" s="822">
        <v>14.5</v>
      </c>
      <c r="C22" s="822" t="str">
        <f>IF([2]TH!C22&lt;&gt;"",[2]TH!C22,"")</f>
        <v>Mpa</v>
      </c>
      <c r="D22" s="822">
        <f>IF([2]TH!D22&lt;&gt;"",[2]TH!D22,"")</f>
        <v>850</v>
      </c>
      <c r="E22" s="822" t="str">
        <f>IF([2]TH!E22&lt;&gt;"",[2]TH!E22,"")</f>
        <v/>
      </c>
      <c r="F22" s="822" t="str">
        <f>IF([2]TH!F22&lt;&gt;"",[2]TH!F22,"")</f>
        <v/>
      </c>
      <c r="G22" s="822" t="str">
        <f>IF([2]TH!G22&lt;&gt;"",[2]TH!G22,"")</f>
        <v/>
      </c>
      <c r="H22" s="822">
        <f>B22*100</f>
        <v>1450</v>
      </c>
      <c r="I22" s="822" t="str">
        <f>IF([2]TH!I22&lt;&gt;"",[2]TH!I22,"")</f>
        <v>T/m2</v>
      </c>
    </row>
    <row r="23" spans="1:9">
      <c r="A23" s="822" t="str">
        <f>IF([2]TH!A23&lt;&gt;"",[2]TH!A23,"")</f>
        <v>Cường độ tính toán chịu kéo</v>
      </c>
      <c r="B23" s="822">
        <f>IF([2]TH!B23&lt;&gt;"",[2]TH!B23,"")</f>
        <v>0.75</v>
      </c>
      <c r="C23" s="822" t="str">
        <f>IF([2]TH!C23&lt;&gt;"",[2]TH!C23,"")</f>
        <v>Mpa</v>
      </c>
      <c r="D23" s="822">
        <f>IF([2]TH!D23&lt;&gt;"",[2]TH!D23,"")</f>
        <v>75</v>
      </c>
      <c r="E23" s="822" t="str">
        <f>IF([2]TH!E23&lt;&gt;"",[2]TH!E23,"")</f>
        <v/>
      </c>
      <c r="F23" s="822" t="str">
        <f>IF([2]TH!F23&lt;&gt;"",[2]TH!F23,"")</f>
        <v/>
      </c>
      <c r="G23" s="822" t="str">
        <f>IF([2]TH!G23&lt;&gt;"",[2]TH!G23,"")</f>
        <v/>
      </c>
      <c r="H23" s="822">
        <f t="shared" ref="H23:H24" si="0">B23*100</f>
        <v>75</v>
      </c>
      <c r="I23" s="822" t="str">
        <f>IF([2]TH!I23&lt;&gt;"",[2]TH!I23,"")</f>
        <v>T/m2</v>
      </c>
    </row>
    <row r="24" spans="1:9">
      <c r="A24" s="822" t="str">
        <f>IF([2]TH!A24&lt;&gt;"",[2]TH!A24,"")</f>
        <v>Modul đàn hồi</v>
      </c>
      <c r="B24" s="822">
        <f>IF([2]TH!B24&lt;&gt;"",[2]TH!B24,"")</f>
        <v>23000</v>
      </c>
      <c r="C24" s="822" t="str">
        <f>IF([2]TH!C24&lt;&gt;"",[2]TH!C24,"")</f>
        <v>Mpa</v>
      </c>
      <c r="D24" s="822">
        <f>IF([2]TH!D24&lt;&gt;"",[2]TH!D24,"")</f>
        <v>2300000</v>
      </c>
      <c r="E24" s="822" t="str">
        <f>IF([2]TH!E24&lt;&gt;"",[2]TH!E24,"")</f>
        <v/>
      </c>
      <c r="F24" s="822" t="str">
        <f>IF([2]TH!F24&lt;&gt;"",[2]TH!F24,"")</f>
        <v/>
      </c>
      <c r="G24" s="822" t="str">
        <f>IF([2]TH!G24&lt;&gt;"",[2]TH!G24,"")</f>
        <v/>
      </c>
      <c r="H24" s="822">
        <f t="shared" si="0"/>
        <v>2300000</v>
      </c>
      <c r="I24" s="822" t="str">
        <f>IF([2]TH!I24&lt;&gt;"",[2]TH!I24,"")</f>
        <v>T/m2</v>
      </c>
    </row>
    <row r="25" spans="1:9">
      <c r="A25" s="822" t="str">
        <f>IF([2]TH!A25&lt;&gt;"",[2]TH!A25,"")</f>
        <v>Cốt thép</v>
      </c>
      <c r="B25" s="822" t="str">
        <f>IF([2]TH!B25&lt;&gt;"",[2]TH!B25,"")</f>
        <v/>
      </c>
      <c r="C25" s="822" t="str">
        <f>IF([2]TH!C25&lt;&gt;"",[2]TH!C25,"")</f>
        <v/>
      </c>
      <c r="D25" s="822" t="str">
        <f>IF([2]TH!D25&lt;&gt;"",[2]TH!D25,"")</f>
        <v/>
      </c>
      <c r="E25" s="822" t="str">
        <f>IF([2]TH!E25&lt;&gt;"",[2]TH!E25,"")</f>
        <v/>
      </c>
      <c r="F25" s="822" t="str">
        <f>IF([2]TH!F25&lt;&gt;"",[2]TH!F25,"")</f>
        <v/>
      </c>
      <c r="G25" s="822" t="str">
        <f>IF([2]TH!G25&lt;&gt;"",[2]TH!G25,"")</f>
        <v/>
      </c>
      <c r="H25" s="822" t="str">
        <f>IF([2]TH!H25&lt;&gt;"",[2]TH!H25,"")</f>
        <v/>
      </c>
      <c r="I25" s="822" t="str">
        <f>IF([2]TH!I25&lt;&gt;"",[2]TH!I25,"")</f>
        <v/>
      </c>
    </row>
    <row r="26" spans="1:9">
      <c r="A26" s="822" t="str">
        <f>IF([2]TH!A26&lt;&gt;"",[2]TH!A26,"")</f>
        <v>Loại thép</v>
      </c>
      <c r="B26" s="822" t="str">
        <f>IF([2]TH!B26&lt;&gt;"",[2]TH!B26,"")</f>
        <v>CI (AI)</v>
      </c>
      <c r="C26" s="822" t="str">
        <f>IF([2]TH!C26&lt;&gt;"",[2]TH!C26,"")</f>
        <v/>
      </c>
      <c r="D26" s="822" t="str">
        <f>IF([2]TH!D26&lt;&gt;"",[2]TH!D26,"")</f>
        <v/>
      </c>
      <c r="E26" s="822" t="str">
        <f>IF([2]TH!E26&lt;&gt;"",[2]TH!E26,"")</f>
        <v/>
      </c>
      <c r="F26" s="822" t="str">
        <f>IF([2]TH!F26&lt;&gt;"",[2]TH!F26,"")</f>
        <v xml:space="preserve">CB300-T </v>
      </c>
      <c r="G26" s="822" t="str">
        <f>IF([2]TH!G26&lt;&gt;"",[2]TH!G26,"")</f>
        <v/>
      </c>
      <c r="H26" s="822" t="str">
        <f>IF([2]TH!H26&lt;&gt;"",[2]TH!H26,"")</f>
        <v/>
      </c>
      <c r="I26" s="822" t="str">
        <f>IF([2]TH!I26&lt;&gt;"",[2]TH!I26,"")</f>
        <v/>
      </c>
    </row>
    <row r="27" spans="1:9">
      <c r="A27" s="822" t="str">
        <f>IF([2]TH!A27&lt;&gt;"",[2]TH!A27,"")</f>
        <v>Cường độ tính toán chịu nén, kéo</v>
      </c>
      <c r="B27" s="822">
        <f>IF([2]TH!B27&lt;&gt;"",[2]TH!B27,"")</f>
        <v>225</v>
      </c>
      <c r="C27" s="822" t="str">
        <f>IF([2]TH!C27&lt;&gt;"",[2]TH!C27,"")</f>
        <v>Mpa</v>
      </c>
      <c r="D27" s="822">
        <f>IF([2]TH!D27&lt;&gt;"",[2]TH!D27,"")</f>
        <v>2250</v>
      </c>
      <c r="E27" s="822" t="str">
        <f>IF([2]TH!E27&lt;&gt;"",[2]TH!E27,"")</f>
        <v/>
      </c>
      <c r="F27" s="822">
        <f>IF([2]TH!F27&lt;&gt;"",[2]TH!F27,"")</f>
        <v>260</v>
      </c>
      <c r="G27" s="822" t="str">
        <f>IF([2]TH!G27&lt;&gt;"",[2]TH!G27,"")</f>
        <v>Mpa</v>
      </c>
      <c r="H27" s="822">
        <f>IF([2]TH!H27&lt;&gt;"",[2]TH!H27,"")</f>
        <v>22500</v>
      </c>
      <c r="I27" s="822" t="str">
        <f>IF([2]TH!I27&lt;&gt;"",[2]TH!I27,"")</f>
        <v>T/m2</v>
      </c>
    </row>
    <row r="28" spans="1:9">
      <c r="A28" s="822" t="str">
        <f>IF([2]TH!A28&lt;&gt;"",[2]TH!A28,"")</f>
        <v>Cường độ tính toán chịu kéo cho cốt đai</v>
      </c>
      <c r="B28" s="822">
        <f>IF([2]TH!B28&lt;&gt;"",[2]TH!B28,"")</f>
        <v>175</v>
      </c>
      <c r="C28" s="822" t="str">
        <f>IF([2]TH!C28&lt;&gt;"",[2]TH!C28,"")</f>
        <v>Mpa</v>
      </c>
      <c r="D28" s="822">
        <f>IF([2]TH!D28&lt;&gt;"",[2]TH!D28,"")</f>
        <v>1750</v>
      </c>
      <c r="E28" s="822" t="str">
        <f>IF([2]TH!E28&lt;&gt;"",[2]TH!E28,"")</f>
        <v/>
      </c>
      <c r="F28" s="822">
        <f>IF([2]TH!F28&lt;&gt;"",[2]TH!F28,"")</f>
        <v>210</v>
      </c>
      <c r="G28" s="822" t="str">
        <f>IF([2]TH!G28&lt;&gt;"",[2]TH!G28,"")</f>
        <v>Mpa</v>
      </c>
      <c r="H28" s="822">
        <f>IF([2]TH!H28&lt;&gt;"",[2]TH!H28,"")</f>
        <v>17500</v>
      </c>
      <c r="I28" s="822" t="str">
        <f>IF([2]TH!I28&lt;&gt;"",[2]TH!I28,"")</f>
        <v>T/m2</v>
      </c>
    </row>
    <row r="29" spans="1:9">
      <c r="A29" s="822" t="str">
        <f>IF([2]TH!A29&lt;&gt;"",[2]TH!A29,"")</f>
        <v>Modul đàn hồi</v>
      </c>
      <c r="B29" s="822">
        <f>IF([2]TH!B29&lt;&gt;"",[2]TH!B29,"")</f>
        <v>210000</v>
      </c>
      <c r="C29" s="822" t="str">
        <f>IF([2]TH!C29&lt;&gt;"",[2]TH!C29,"")</f>
        <v>Mpa</v>
      </c>
      <c r="D29" s="822" t="str">
        <f>IF([2]TH!D29&lt;&gt;"",[2]TH!D29,"")</f>
        <v/>
      </c>
      <c r="E29" s="822" t="str">
        <f>IF([2]TH!E29&lt;&gt;"",[2]TH!E29,"")</f>
        <v/>
      </c>
      <c r="F29" s="822">
        <f>IF([2]TH!F29&lt;&gt;"",[2]TH!F29,"")</f>
        <v>200000</v>
      </c>
      <c r="G29" s="822" t="str">
        <f>IF([2]TH!G29&lt;&gt;"",[2]TH!G29,"")</f>
        <v>Mpa</v>
      </c>
      <c r="H29" s="822">
        <f>IF([2]TH!H29&lt;&gt;"",[2]TH!H29,"")</f>
        <v>21000000</v>
      </c>
      <c r="I29" s="822" t="str">
        <f>IF([2]TH!I29&lt;&gt;"",[2]TH!I29,"")</f>
        <v>T/m2</v>
      </c>
    </row>
    <row r="30" spans="1:9">
      <c r="A30" s="822" t="str">
        <f>IF([2]TH!A30&lt;&gt;"",[2]TH!A30,"")</f>
        <v>Loại thép</v>
      </c>
      <c r="B30" s="822" t="str">
        <f>IF([2]TH!B30&lt;&gt;"",[2]TH!B30,"")</f>
        <v>CII(AII)</v>
      </c>
      <c r="C30" s="822" t="str">
        <f>IF([2]TH!C30&lt;&gt;"",[2]TH!C30,"")</f>
        <v/>
      </c>
      <c r="D30" s="822" t="str">
        <f>IF([2]TH!D30&lt;&gt;"",[2]TH!D30,"")</f>
        <v/>
      </c>
      <c r="E30" s="822" t="str">
        <f>IF([2]TH!E30&lt;&gt;"",[2]TH!E30,"")</f>
        <v/>
      </c>
      <c r="F30" s="822" t="str">
        <f>IF([2]TH!F30&lt;&gt;"",[2]TH!F30,"")</f>
        <v xml:space="preserve">CB300-V </v>
      </c>
      <c r="G30" s="822" t="str">
        <f>IF([2]TH!G30&lt;&gt;"",[2]TH!G30,"")</f>
        <v/>
      </c>
      <c r="H30" s="822" t="str">
        <f>IF([2]TH!H30&lt;&gt;"",[2]TH!H30,"")</f>
        <v/>
      </c>
      <c r="I30" s="822" t="str">
        <f>IF([2]TH!I30&lt;&gt;"",[2]TH!I30,"")</f>
        <v/>
      </c>
    </row>
    <row r="31" spans="1:9">
      <c r="A31" s="822" t="str">
        <f>IF([2]TH!A31&lt;&gt;"",[2]TH!A31,"")</f>
        <v>Cường độ tính toán chịu nén, kéo</v>
      </c>
      <c r="B31" s="822">
        <f>IF([2]TH!B31&lt;&gt;"",[2]TH!B31,"")</f>
        <v>280</v>
      </c>
      <c r="C31" s="822" t="str">
        <f>IF([2]TH!C31&lt;&gt;"",[2]TH!C31,"")</f>
        <v>Mpa</v>
      </c>
      <c r="D31" s="822">
        <f>IF([2]TH!D31&lt;&gt;"",[2]TH!D31,"")</f>
        <v>2800</v>
      </c>
      <c r="E31" s="822" t="str">
        <f>IF([2]TH!E31&lt;&gt;"",[2]TH!E31,"")</f>
        <v/>
      </c>
      <c r="F31" s="822">
        <f>IF([2]TH!F31&lt;&gt;"",[2]TH!F31,"")</f>
        <v>260</v>
      </c>
      <c r="G31" s="822" t="str">
        <f>IF([2]TH!G31&lt;&gt;"",[2]TH!G31,"")</f>
        <v>Mpa</v>
      </c>
      <c r="H31" s="822">
        <f>IF([2]TH!H31&lt;&gt;"",[2]TH!H31,"")</f>
        <v>28000</v>
      </c>
      <c r="I31" s="822" t="str">
        <f>IF([2]TH!I31&lt;&gt;"",[2]TH!I31,"")</f>
        <v>T/m2</v>
      </c>
    </row>
    <row r="32" spans="1:9">
      <c r="A32" s="822" t="str">
        <f>IF([2]TH!A32&lt;&gt;"",[2]TH!A32,"")</f>
        <v>Cường độ tính toán chịu kéo cho cốt đai</v>
      </c>
      <c r="B32" s="822">
        <f>IF([2]TH!B32&lt;&gt;"",[2]TH!B32,"")</f>
        <v>225</v>
      </c>
      <c r="C32" s="822" t="str">
        <f>IF([2]TH!C32&lt;&gt;"",[2]TH!C32,"")</f>
        <v>Mpa</v>
      </c>
      <c r="D32" s="822" t="str">
        <f>IF([2]TH!D32&lt;&gt;"",[2]TH!D32,"")</f>
        <v/>
      </c>
      <c r="E32" s="822" t="str">
        <f>IF([2]TH!E32&lt;&gt;"",[2]TH!E32,"")</f>
        <v/>
      </c>
      <c r="F32" s="822">
        <f>IF([2]TH!F32&lt;&gt;"",[2]TH!F32,"")</f>
        <v>210</v>
      </c>
      <c r="G32" s="822" t="str">
        <f>IF([2]TH!G32&lt;&gt;"",[2]TH!G32,"")</f>
        <v>Mpa</v>
      </c>
      <c r="H32" s="822">
        <f>IF([2]TH!H32&lt;&gt;"",[2]TH!H32,"")</f>
        <v>22500</v>
      </c>
      <c r="I32" s="822" t="str">
        <f>IF([2]TH!I32&lt;&gt;"",[2]TH!I32,"")</f>
        <v>T/m2</v>
      </c>
    </row>
    <row r="33" spans="1:16">
      <c r="A33" s="822" t="str">
        <f>IF([2]TH!A33&lt;&gt;"",[2]TH!A33,"")</f>
        <v>Modul đàn hồi</v>
      </c>
      <c r="B33" s="822">
        <f>IF([2]TH!B33&lt;&gt;"",[2]TH!B33,"")</f>
        <v>210000</v>
      </c>
      <c r="C33" s="822" t="str">
        <f>IF([2]TH!C33&lt;&gt;"",[2]TH!C33,"")</f>
        <v>Mpa</v>
      </c>
      <c r="D33" s="822" t="str">
        <f>IF([2]TH!D33&lt;&gt;"",[2]TH!D33,"")</f>
        <v/>
      </c>
      <c r="E33" s="822" t="str">
        <f>IF([2]TH!E33&lt;&gt;"",[2]TH!E33,"")</f>
        <v/>
      </c>
      <c r="F33" s="822">
        <f>IF([2]TH!F33&lt;&gt;"",[2]TH!F33,"")</f>
        <v>200000</v>
      </c>
      <c r="G33" s="822" t="str">
        <f>IF([2]TH!G33&lt;&gt;"",[2]TH!G33,"")</f>
        <v>Mpa</v>
      </c>
      <c r="H33" s="822">
        <f>IF([2]TH!H33&lt;&gt;"",[2]TH!H33,"")</f>
        <v>21000000</v>
      </c>
      <c r="I33" s="822" t="str">
        <f>IF([2]TH!I33&lt;&gt;"",[2]TH!I33,"")</f>
        <v>T/m2</v>
      </c>
    </row>
    <row r="34" spans="1:16">
      <c r="A34" s="822" t="str">
        <f>IF([2]TH!A34&lt;&gt;"",[2]TH!A34,"")</f>
        <v>Loại thép</v>
      </c>
      <c r="B34" s="822" t="str">
        <f>IF([2]TH!B34&lt;&gt;"",[2]TH!B34,"")</f>
        <v>CIII(AIII)</v>
      </c>
      <c r="C34" s="822" t="str">
        <f>IF([2]TH!C34&lt;&gt;"",[2]TH!C34,"")</f>
        <v/>
      </c>
      <c r="D34" s="822" t="str">
        <f>IF([2]TH!D34&lt;&gt;"",[2]TH!D34,"")</f>
        <v/>
      </c>
      <c r="E34" s="822" t="str">
        <f>IF([2]TH!E34&lt;&gt;"",[2]TH!E34,"")</f>
        <v/>
      </c>
      <c r="F34" s="822" t="str">
        <f>IF([2]TH!F34&lt;&gt;"",[2]TH!F34,"")</f>
        <v xml:space="preserve">CB400-V </v>
      </c>
      <c r="G34" s="822" t="str">
        <f>IF([2]TH!G34&lt;&gt;"",[2]TH!G34,"")</f>
        <v/>
      </c>
      <c r="H34" s="822" t="str">
        <f>IF([2]TH!H34&lt;&gt;"",[2]TH!H34,"")</f>
        <v/>
      </c>
      <c r="I34" s="822" t="str">
        <f>IF([2]TH!I34&lt;&gt;"",[2]TH!I34,"")</f>
        <v/>
      </c>
    </row>
    <row r="35" spans="1:16">
      <c r="A35" s="822" t="str">
        <f>IF([2]TH!A35&lt;&gt;"",[2]TH!A35,"")</f>
        <v>Cường độ tính toán chịu nén, kéo</v>
      </c>
      <c r="B35" s="822">
        <f>IF([2]TH!B35&lt;&gt;"",[2]TH!B35,"")</f>
        <v>365</v>
      </c>
      <c r="C35" s="822" t="str">
        <f>IF([2]TH!C35&lt;&gt;"",[2]TH!C35,"")</f>
        <v>Mpa</v>
      </c>
      <c r="D35" s="822" t="str">
        <f>IF([2]TH!D35&lt;&gt;"",[2]TH!D35,"")</f>
        <v/>
      </c>
      <c r="E35" s="822" t="str">
        <f>IF([2]TH!E35&lt;&gt;"",[2]TH!E35,"")</f>
        <v/>
      </c>
      <c r="F35" s="822">
        <f>IF([2]TH!F35&lt;&gt;"",[2]TH!F35,"")</f>
        <v>350</v>
      </c>
      <c r="G35" s="822" t="str">
        <f>IF([2]TH!G35&lt;&gt;"",[2]TH!G35,"")</f>
        <v>Mpa</v>
      </c>
      <c r="H35" s="822">
        <f>IF([2]TH!H35&lt;&gt;"",[2]TH!H35,"")</f>
        <v>36500</v>
      </c>
      <c r="I35" s="822" t="str">
        <f>IF([2]TH!I35&lt;&gt;"",[2]TH!I35,"")</f>
        <v>T/m2</v>
      </c>
    </row>
    <row r="36" spans="1:16">
      <c r="A36" s="822" t="str">
        <f>IF([2]TH!A36&lt;&gt;"",[2]TH!A36,"")</f>
        <v>Cường độ tính toán chịu kéo cho cốt đai</v>
      </c>
      <c r="B36" s="822">
        <f>IF([2]TH!B36&lt;&gt;"",[2]TH!B36,"")</f>
        <v>290</v>
      </c>
      <c r="C36" s="822" t="str">
        <f>IF([2]TH!C36&lt;&gt;"",[2]TH!C36,"")</f>
        <v>Mpa</v>
      </c>
      <c r="D36" s="822" t="str">
        <f>IF([2]TH!D36&lt;&gt;"",[2]TH!D36,"")</f>
        <v/>
      </c>
      <c r="E36" s="822" t="str">
        <f>IF([2]TH!E36&lt;&gt;"",[2]TH!E36,"")</f>
        <v/>
      </c>
      <c r="F36" s="822">
        <f>IF([2]TH!F36&lt;&gt;"",[2]TH!F36,"")</f>
        <v>280</v>
      </c>
      <c r="G36" s="822" t="str">
        <f>IF([2]TH!G36&lt;&gt;"",[2]TH!G36,"")</f>
        <v>Mpa</v>
      </c>
      <c r="H36" s="822">
        <f>IF([2]TH!H36&lt;&gt;"",[2]TH!H36,"")</f>
        <v>29000</v>
      </c>
      <c r="I36" s="822" t="str">
        <f>IF([2]TH!I36&lt;&gt;"",[2]TH!I36,"")</f>
        <v>T/m2</v>
      </c>
    </row>
    <row r="37" spans="1:16">
      <c r="A37" s="822" t="str">
        <f>IF([2]TH!A37&lt;&gt;"",[2]TH!A37,"")</f>
        <v>Modul đàn hồi</v>
      </c>
      <c r="B37" s="822">
        <f>IF([2]TH!B37&lt;&gt;"",[2]TH!B37,"")</f>
        <v>210000</v>
      </c>
      <c r="C37" s="822" t="str">
        <f>IF([2]TH!C37&lt;&gt;"",[2]TH!C37,"")</f>
        <v>Mpa</v>
      </c>
      <c r="D37" s="822" t="str">
        <f>IF([2]TH!D37&lt;&gt;"",[2]TH!D37,"")</f>
        <v/>
      </c>
      <c r="E37" s="822" t="str">
        <f>IF([2]TH!E37&lt;&gt;"",[2]TH!E37,"")</f>
        <v/>
      </c>
      <c r="F37" s="822">
        <f>IF([2]TH!F37&lt;&gt;"",[2]TH!F37,"")</f>
        <v>200000</v>
      </c>
      <c r="G37" s="822" t="str">
        <f>IF([2]TH!G37&lt;&gt;"",[2]TH!G37,"")</f>
        <v>Mpa</v>
      </c>
      <c r="H37" s="822">
        <f>IF([2]TH!H37&lt;&gt;"",[2]TH!H37,"")</f>
        <v>21000000</v>
      </c>
      <c r="I37" s="822" t="str">
        <f>IF([2]TH!I37&lt;&gt;"",[2]TH!I37,"")</f>
        <v>T/m2</v>
      </c>
    </row>
    <row r="38" spans="1:16" ht="14.5" thickBot="1">
      <c r="A38" s="823" t="s">
        <v>1198</v>
      </c>
    </row>
    <row r="39" spans="1:16">
      <c r="A39" s="822" t="s">
        <v>241</v>
      </c>
      <c r="B39" s="822">
        <v>30</v>
      </c>
      <c r="C39" s="822" t="s">
        <v>631</v>
      </c>
      <c r="D39" s="822">
        <f>B39*0.01</f>
        <v>0.3</v>
      </c>
      <c r="E39" s="1009" t="s">
        <v>1244</v>
      </c>
      <c r="F39" s="1009" t="s">
        <v>1204</v>
      </c>
      <c r="G39" s="1009" t="s">
        <v>1205</v>
      </c>
      <c r="H39" s="1009" t="s">
        <v>1206</v>
      </c>
      <c r="I39" s="1009" t="s">
        <v>1207</v>
      </c>
      <c r="J39" s="1014"/>
      <c r="K39" s="1009" t="s">
        <v>1209</v>
      </c>
      <c r="L39" s="1009" t="s">
        <v>1210</v>
      </c>
      <c r="M39" s="1009" t="s">
        <v>1211</v>
      </c>
    </row>
    <row r="40" spans="1:16">
      <c r="A40" s="822" t="s">
        <v>956</v>
      </c>
      <c r="B40" s="822">
        <v>30</v>
      </c>
      <c r="C40" s="822" t="s">
        <v>631</v>
      </c>
      <c r="D40" s="822">
        <f>B40*0.01</f>
        <v>0.3</v>
      </c>
      <c r="E40" s="1010"/>
      <c r="F40" s="1010"/>
      <c r="G40" s="1010"/>
      <c r="H40" s="1010"/>
      <c r="I40" s="1010"/>
      <c r="J40" s="1015"/>
      <c r="K40" s="1010"/>
      <c r="L40" s="1010"/>
      <c r="M40" s="1010"/>
    </row>
    <row r="41" spans="1:16">
      <c r="A41" s="822" t="s">
        <v>253</v>
      </c>
      <c r="B41" s="822">
        <v>4</v>
      </c>
      <c r="C41" s="822" t="s">
        <v>1199</v>
      </c>
      <c r="D41" s="822">
        <v>16</v>
      </c>
      <c r="E41" s="1010"/>
      <c r="F41" s="1010"/>
      <c r="G41" s="1010"/>
      <c r="H41" s="1010"/>
      <c r="I41" s="1010"/>
      <c r="J41" s="1015"/>
      <c r="K41" s="1010"/>
      <c r="L41" s="1010"/>
      <c r="M41" s="1010"/>
    </row>
    <row r="42" spans="1:16" ht="14.25" customHeight="1" thickBot="1">
      <c r="C42" s="823" t="s">
        <v>1242</v>
      </c>
      <c r="D42" s="823" t="s">
        <v>1243</v>
      </c>
      <c r="E42" s="1011" t="s">
        <v>1244</v>
      </c>
      <c r="F42" s="1011"/>
      <c r="G42" s="1011"/>
      <c r="H42" s="1011"/>
      <c r="I42" s="1011"/>
      <c r="J42" s="1016"/>
      <c r="K42" s="1011"/>
      <c r="L42" s="1011"/>
      <c r="M42" s="1011"/>
    </row>
    <row r="43" spans="1:16">
      <c r="A43" s="822" t="s">
        <v>1200</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1253</v>
      </c>
      <c r="B45" s="886">
        <f>E133</f>
        <v>0.54999999999999993</v>
      </c>
      <c r="C45" s="822" t="s">
        <v>6</v>
      </c>
      <c r="E45" s="823" t="s">
        <v>1326</v>
      </c>
    </row>
    <row r="46" spans="1:16">
      <c r="A46" s="822" t="s">
        <v>1245</v>
      </c>
      <c r="B46" s="822">
        <v>-1.5</v>
      </c>
      <c r="C46" s="822" t="s">
        <v>6</v>
      </c>
      <c r="D46" s="822">
        <f>ABS(B46)</f>
        <v>1.5</v>
      </c>
    </row>
    <row r="47" spans="1:16">
      <c r="A47" s="822" t="s">
        <v>1247</v>
      </c>
      <c r="B47" s="822">
        <f>E43</f>
        <v>10.4</v>
      </c>
      <c r="C47" s="822" t="s">
        <v>6</v>
      </c>
    </row>
    <row r="48" spans="1:16">
      <c r="A48" s="822" t="s">
        <v>1249</v>
      </c>
      <c r="B48" s="822">
        <f>-15.9</f>
        <v>-15.9</v>
      </c>
      <c r="C48" s="822" t="s">
        <v>6</v>
      </c>
    </row>
    <row r="49" spans="1:28">
      <c r="A49" s="822" t="s">
        <v>1248</v>
      </c>
      <c r="B49" s="939">
        <v>4</v>
      </c>
      <c r="C49" s="822" t="s">
        <v>6</v>
      </c>
    </row>
    <row r="50" spans="1:28">
      <c r="A50" s="822" t="s">
        <v>1259</v>
      </c>
      <c r="B50" s="822">
        <v>0.1</v>
      </c>
      <c r="C50" s="822" t="s">
        <v>6</v>
      </c>
      <c r="D50" s="822" t="s">
        <v>1327</v>
      </c>
      <c r="G50" s="822">
        <f>ABS(B46)+ABS(B48)+B49</f>
        <v>21.4</v>
      </c>
      <c r="H50" s="822">
        <f>+G50-B45</f>
        <v>20.849999999999998</v>
      </c>
    </row>
    <row r="51" spans="1:28">
      <c r="A51" s="822" t="s">
        <v>1258</v>
      </c>
      <c r="B51" s="822">
        <f>B49+ABS(B48)</f>
        <v>19.899999999999999</v>
      </c>
      <c r="C51" s="822" t="s">
        <v>6</v>
      </c>
    </row>
    <row r="52" spans="1:28">
      <c r="A52" s="822" t="s">
        <v>1260</v>
      </c>
      <c r="B52" s="822">
        <f>B51+B50</f>
        <v>20</v>
      </c>
    </row>
    <row r="53" spans="1:28">
      <c r="A53" s="822" t="s">
        <v>1250</v>
      </c>
      <c r="B53" s="822">
        <v>2</v>
      </c>
      <c r="C53" s="822" t="s">
        <v>1252</v>
      </c>
    </row>
    <row r="54" spans="1:28">
      <c r="A54" s="822" t="s">
        <v>1251</v>
      </c>
      <c r="B54" s="822">
        <f>B52/B53</f>
        <v>10</v>
      </c>
      <c r="C54" s="822" t="s">
        <v>6</v>
      </c>
    </row>
    <row r="55" spans="1:28">
      <c r="A55" s="823" t="s">
        <v>1254</v>
      </c>
    </row>
    <row r="56" spans="1:28" ht="16.5">
      <c r="A56" s="823" t="s">
        <v>1255</v>
      </c>
      <c r="U56" s="1008" t="s">
        <v>1302</v>
      </c>
      <c r="V56" s="1008"/>
      <c r="W56" s="1008"/>
      <c r="X56" s="1008"/>
      <c r="Y56" s="1008"/>
      <c r="Z56" s="1008"/>
      <c r="AA56" s="1008"/>
      <c r="AB56" s="1008"/>
    </row>
    <row r="57" spans="1:28" ht="17" thickBot="1">
      <c r="A57" s="889" t="s">
        <v>1256</v>
      </c>
      <c r="B57" s="822">
        <f>ROUND(1.028-0.0000288*B58^2-0.0016*B58,3)</f>
        <v>0.30299999999999999</v>
      </c>
    </row>
    <row r="58" spans="1:28" ht="20" customHeight="1" thickBot="1">
      <c r="A58" s="822" t="s">
        <v>1257</v>
      </c>
      <c r="B58" s="822">
        <f>ROUND(B60/D39,3)</f>
        <v>133.333</v>
      </c>
      <c r="K58" s="1012" t="s">
        <v>1338</v>
      </c>
      <c r="L58" s="1012" t="s">
        <v>1337</v>
      </c>
      <c r="M58" s="1012" t="s">
        <v>1336</v>
      </c>
      <c r="N58" s="954" t="s">
        <v>1285</v>
      </c>
      <c r="O58" s="954" t="s">
        <v>1344</v>
      </c>
      <c r="P58" s="1012" t="s">
        <v>1457</v>
      </c>
      <c r="Q58" s="957" t="s">
        <v>1345</v>
      </c>
      <c r="R58" s="954" t="s">
        <v>1346</v>
      </c>
      <c r="U58" s="1012" t="s">
        <v>1338</v>
      </c>
      <c r="V58" s="1012" t="s">
        <v>1337</v>
      </c>
      <c r="W58" s="1012" t="s">
        <v>1336</v>
      </c>
      <c r="X58" s="954" t="s">
        <v>1285</v>
      </c>
      <c r="Y58" s="954" t="s">
        <v>1344</v>
      </c>
      <c r="Z58" s="1012" t="s">
        <v>1457</v>
      </c>
      <c r="AA58" s="957" t="s">
        <v>1345</v>
      </c>
      <c r="AB58" s="954" t="s">
        <v>1346</v>
      </c>
    </row>
    <row r="59" spans="1:28" ht="19" thickBot="1">
      <c r="A59" s="822" t="s">
        <v>1261</v>
      </c>
      <c r="B59" s="822">
        <v>2</v>
      </c>
      <c r="D59" s="822" t="s">
        <v>1343</v>
      </c>
      <c r="K59" s="1013"/>
      <c r="L59" s="1013"/>
      <c r="M59" s="1013"/>
      <c r="N59" s="958" t="s">
        <v>6</v>
      </c>
      <c r="O59" s="958" t="s">
        <v>6</v>
      </c>
      <c r="P59" s="1013"/>
      <c r="Q59" s="959" t="s">
        <v>1347</v>
      </c>
      <c r="R59" s="958" t="s">
        <v>843</v>
      </c>
      <c r="U59" s="1013"/>
      <c r="V59" s="1013"/>
      <c r="W59" s="1013"/>
      <c r="X59" s="958" t="s">
        <v>6</v>
      </c>
      <c r="Y59" s="958" t="s">
        <v>6</v>
      </c>
      <c r="Z59" s="1013"/>
      <c r="AA59" s="959" t="s">
        <v>1347</v>
      </c>
      <c r="AB59" s="958" t="s">
        <v>843</v>
      </c>
    </row>
    <row r="60" spans="1:28" ht="17" thickBot="1">
      <c r="A60" s="822" t="s">
        <v>466</v>
      </c>
      <c r="B60" s="822">
        <f>B59*B52</f>
        <v>40</v>
      </c>
      <c r="C60" s="822" t="s">
        <v>6</v>
      </c>
      <c r="K60" s="890" t="s">
        <v>1330</v>
      </c>
      <c r="L60" s="252" t="s">
        <v>694</v>
      </c>
      <c r="M60" s="252" t="s">
        <v>694</v>
      </c>
      <c r="N60" s="252">
        <v>0</v>
      </c>
      <c r="O60" s="252" t="s">
        <v>694</v>
      </c>
      <c r="P60" s="252" t="s">
        <v>694</v>
      </c>
      <c r="Q60" s="252" t="s">
        <v>694</v>
      </c>
      <c r="R60" s="252" t="s">
        <v>694</v>
      </c>
      <c r="U60" s="890" t="str">
        <f>K60</f>
        <v>đất đắp</v>
      </c>
      <c r="V60" s="890" t="str">
        <f t="shared" ref="V60:AB64" si="2">L60</f>
        <v>-</v>
      </c>
      <c r="W60" s="890" t="str">
        <f t="shared" si="2"/>
        <v>-</v>
      </c>
      <c r="X60" s="890">
        <f t="shared" si="2"/>
        <v>0</v>
      </c>
      <c r="Y60" s="890" t="str">
        <f t="shared" si="2"/>
        <v>-</v>
      </c>
      <c r="Z60" s="890" t="str">
        <f t="shared" si="2"/>
        <v>-</v>
      </c>
      <c r="AA60" s="890" t="str">
        <f t="shared" si="2"/>
        <v>-</v>
      </c>
      <c r="AB60" s="890" t="str">
        <f t="shared" si="2"/>
        <v>-</v>
      </c>
    </row>
    <row r="61" spans="1:28" ht="20" thickBot="1">
      <c r="A61" s="822" t="s">
        <v>1262</v>
      </c>
      <c r="B61" s="822">
        <f>D39*D40</f>
        <v>0.09</v>
      </c>
      <c r="C61" s="822" t="s">
        <v>3</v>
      </c>
      <c r="K61" s="890" t="s">
        <v>1331</v>
      </c>
      <c r="L61" s="252" t="s">
        <v>1292</v>
      </c>
      <c r="M61" s="252" t="s">
        <v>1293</v>
      </c>
      <c r="N61" s="252">
        <f>+O61/2+N60</f>
        <v>5</v>
      </c>
      <c r="O61" s="252">
        <v>10</v>
      </c>
      <c r="P61" s="252">
        <v>1</v>
      </c>
      <c r="Q61" s="252">
        <v>0.8</v>
      </c>
      <c r="R61" s="891">
        <f>Q61*P61*O61</f>
        <v>8</v>
      </c>
      <c r="U61" s="890" t="str">
        <f t="shared" ref="U61:U64" si="3">K61</f>
        <v>lớp 1</v>
      </c>
      <c r="V61" s="890" t="str">
        <f t="shared" si="2"/>
        <v>dẻo mềm</v>
      </c>
      <c r="W61" s="890" t="str">
        <f t="shared" si="2"/>
        <v>Il=0,8</v>
      </c>
      <c r="X61" s="890">
        <f t="shared" si="2"/>
        <v>5</v>
      </c>
      <c r="Y61" s="890">
        <f t="shared" si="2"/>
        <v>10</v>
      </c>
      <c r="Z61" s="890">
        <f t="shared" si="2"/>
        <v>1</v>
      </c>
      <c r="AA61" s="890">
        <f t="shared" si="2"/>
        <v>0.8</v>
      </c>
      <c r="AB61" s="890">
        <f t="shared" si="2"/>
        <v>8</v>
      </c>
    </row>
    <row r="62" spans="1:28" ht="20" thickBot="1">
      <c r="A62" s="822" t="s">
        <v>1264</v>
      </c>
      <c r="B62" s="822">
        <f>ROUND(B41*PI()*(D41/10)^2/4,1)</f>
        <v>8</v>
      </c>
      <c r="C62" s="822" t="s">
        <v>534</v>
      </c>
      <c r="D62" s="822">
        <f>B62/10^4</f>
        <v>8.0000000000000004E-4</v>
      </c>
      <c r="E62" s="822" t="s">
        <v>3</v>
      </c>
      <c r="K62" s="890" t="s">
        <v>1332</v>
      </c>
      <c r="L62" s="252" t="s">
        <v>1292</v>
      </c>
      <c r="M62" s="252" t="s">
        <v>1294</v>
      </c>
      <c r="N62" s="252">
        <f>+N61+O62/2+O61/2</f>
        <v>12.3</v>
      </c>
      <c r="O62" s="252">
        <v>4.5999999999999996</v>
      </c>
      <c r="P62" s="252">
        <v>1</v>
      </c>
      <c r="Q62" s="252">
        <v>1.98</v>
      </c>
      <c r="R62" s="891">
        <f t="shared" ref="R62:R64" si="4">Q62*P62*O62</f>
        <v>9.1079999999999988</v>
      </c>
      <c r="U62" s="890" t="str">
        <f t="shared" si="3"/>
        <v>lớp 2</v>
      </c>
      <c r="V62" s="890" t="str">
        <f t="shared" si="2"/>
        <v>dẻo mềm</v>
      </c>
      <c r="W62" s="890" t="str">
        <f t="shared" si="2"/>
        <v>Il=0,53</v>
      </c>
      <c r="X62" s="890">
        <f t="shared" si="2"/>
        <v>12.3</v>
      </c>
      <c r="Y62" s="890">
        <f t="shared" si="2"/>
        <v>4.5999999999999996</v>
      </c>
      <c r="Z62" s="890">
        <f t="shared" si="2"/>
        <v>1</v>
      </c>
      <c r="AA62" s="890">
        <f t="shared" si="2"/>
        <v>1.98</v>
      </c>
      <c r="AB62" s="890">
        <f t="shared" si="2"/>
        <v>9.1079999999999988</v>
      </c>
    </row>
    <row r="63" spans="1:28" ht="33.5" thickBot="1">
      <c r="A63" s="822" t="s">
        <v>1263</v>
      </c>
      <c r="B63" s="886">
        <f>ROUND(B57*(H22*B61+H31*D62),0)</f>
        <v>46</v>
      </c>
      <c r="C63" s="822" t="s">
        <v>670</v>
      </c>
      <c r="K63" s="890" t="s">
        <v>1333</v>
      </c>
      <c r="L63" s="870" t="s">
        <v>1295</v>
      </c>
      <c r="M63" s="252" t="s">
        <v>1296</v>
      </c>
      <c r="N63" s="252">
        <f t="shared" ref="N63:N64" si="5">+N62+O63/2+O62/2</f>
        <v>15.25</v>
      </c>
      <c r="O63" s="252">
        <v>1.3</v>
      </c>
      <c r="P63" s="252">
        <v>1</v>
      </c>
      <c r="Q63" s="252">
        <v>5.25</v>
      </c>
      <c r="R63" s="891">
        <f t="shared" si="4"/>
        <v>6.8250000000000002</v>
      </c>
      <c r="U63" s="890" t="str">
        <f t="shared" si="3"/>
        <v>lớp 3</v>
      </c>
      <c r="V63" s="890" t="str">
        <f t="shared" si="2"/>
        <v>chặt vừa</v>
      </c>
      <c r="W63" s="890" t="str">
        <f t="shared" si="2"/>
        <v>cát hạt trung</v>
      </c>
      <c r="X63" s="890">
        <f t="shared" si="2"/>
        <v>15.25</v>
      </c>
      <c r="Y63" s="890">
        <f t="shared" si="2"/>
        <v>1.3</v>
      </c>
      <c r="Z63" s="890">
        <f t="shared" si="2"/>
        <v>1</v>
      </c>
      <c r="AA63" s="890">
        <f t="shared" si="2"/>
        <v>5.25</v>
      </c>
      <c r="AB63" s="890">
        <f t="shared" si="2"/>
        <v>6.8250000000000002</v>
      </c>
    </row>
    <row r="64" spans="1:28" ht="20" thickBot="1">
      <c r="A64" s="823" t="s">
        <v>1265</v>
      </c>
      <c r="K64" s="890" t="s">
        <v>1334</v>
      </c>
      <c r="L64" s="870" t="s">
        <v>1297</v>
      </c>
      <c r="M64" s="252" t="s">
        <v>1298</v>
      </c>
      <c r="N64" s="252">
        <f t="shared" si="5"/>
        <v>17.899999999999999</v>
      </c>
      <c r="O64" s="252">
        <f>B49</f>
        <v>4</v>
      </c>
      <c r="P64" s="252">
        <v>1</v>
      </c>
      <c r="Q64" s="252">
        <v>3.1</v>
      </c>
      <c r="R64" s="891">
        <f t="shared" si="4"/>
        <v>12.4</v>
      </c>
      <c r="U64" s="890" t="str">
        <f t="shared" si="3"/>
        <v>lớp 4</v>
      </c>
      <c r="V64" s="890" t="str">
        <f t="shared" si="2"/>
        <v>dẻo thấp</v>
      </c>
      <c r="W64" s="890" t="str">
        <f t="shared" si="2"/>
        <v>Il=0,5</v>
      </c>
      <c r="X64" s="890">
        <f t="shared" si="2"/>
        <v>17.899999999999999</v>
      </c>
      <c r="Y64" s="890">
        <f t="shared" si="2"/>
        <v>4</v>
      </c>
      <c r="Z64" s="890">
        <f t="shared" si="2"/>
        <v>1</v>
      </c>
      <c r="AA64" s="890">
        <f t="shared" si="2"/>
        <v>3.1</v>
      </c>
      <c r="AB64" s="890">
        <f t="shared" si="2"/>
        <v>12.4</v>
      </c>
    </row>
    <row r="65" spans="1:28" ht="17" thickBot="1">
      <c r="A65" s="822" t="s">
        <v>1266</v>
      </c>
      <c r="B65" s="822">
        <v>1</v>
      </c>
      <c r="D65" s="822" t="s">
        <v>1328</v>
      </c>
      <c r="K65" s="890"/>
      <c r="L65" s="870"/>
      <c r="M65" s="252"/>
      <c r="N65" s="252"/>
      <c r="O65" s="252">
        <f>SUM(O61:O64)</f>
        <v>19.899999999999999</v>
      </c>
      <c r="P65" s="252"/>
      <c r="Q65" s="252"/>
      <c r="R65" s="891"/>
      <c r="AA65" s="955" t="s">
        <v>657</v>
      </c>
      <c r="AB65" s="891">
        <f>R67</f>
        <v>36.332999999999998</v>
      </c>
    </row>
    <row r="66" spans="1:28" ht="20" thickBot="1">
      <c r="A66" s="7" t="s">
        <v>1267</v>
      </c>
      <c r="B66" s="822">
        <v>0.9</v>
      </c>
      <c r="K66" s="890"/>
      <c r="L66" s="870"/>
      <c r="M66" s="252"/>
      <c r="N66" s="252"/>
      <c r="O66" s="252"/>
      <c r="P66" s="252"/>
      <c r="Q66" s="252"/>
      <c r="R66" s="891"/>
    </row>
    <row r="67" spans="1:28" ht="17" thickBot="1">
      <c r="A67" s="822" t="s">
        <v>1268</v>
      </c>
      <c r="B67" s="822">
        <v>0.9</v>
      </c>
      <c r="K67" s="528"/>
      <c r="L67" s="528"/>
      <c r="M67" s="528"/>
      <c r="N67" s="528"/>
      <c r="O67" s="528"/>
      <c r="P67" s="528"/>
      <c r="Q67" s="955" t="s">
        <v>657</v>
      </c>
      <c r="R67" s="891">
        <f>SUM(R61:R66)</f>
        <v>36.332999999999998</v>
      </c>
    </row>
    <row r="68" spans="1:28">
      <c r="A68" s="822" t="s">
        <v>1269</v>
      </c>
      <c r="B68" s="822">
        <f>(B39+B40)*2</f>
        <v>120</v>
      </c>
      <c r="C68" s="822" t="s">
        <v>631</v>
      </c>
      <c r="D68" s="822">
        <f>B68/100</f>
        <v>1.2</v>
      </c>
      <c r="E68" s="822" t="s">
        <v>6</v>
      </c>
    </row>
    <row r="69" spans="1:28">
      <c r="A69" s="822" t="s">
        <v>1270</v>
      </c>
      <c r="B69" s="822">
        <f>N70</f>
        <v>184.2</v>
      </c>
      <c r="C69" s="822" t="s">
        <v>731</v>
      </c>
      <c r="D69" s="822">
        <f>B69*B61*B66</f>
        <v>14.920199999999999</v>
      </c>
      <c r="E69" s="822" t="s">
        <v>670</v>
      </c>
      <c r="F69" s="822">
        <f>8.8/0.9/B61</f>
        <v>108.64197530864199</v>
      </c>
      <c r="K69" s="822">
        <v>0.5</v>
      </c>
    </row>
    <row r="70" spans="1:28">
      <c r="A70" s="822" t="s">
        <v>1271</v>
      </c>
      <c r="C70" s="822">
        <v>0.5</v>
      </c>
      <c r="J70" s="822">
        <v>15</v>
      </c>
      <c r="K70" s="822">
        <v>165</v>
      </c>
      <c r="M70" s="822">
        <f>G50</f>
        <v>21.4</v>
      </c>
      <c r="N70" s="822">
        <f>(K71-K70)/(J71-J70)*(M70-J70)+K70</f>
        <v>184.2</v>
      </c>
    </row>
    <row r="71" spans="1:28">
      <c r="A71" s="822" t="s">
        <v>1272</v>
      </c>
      <c r="J71" s="822">
        <v>20</v>
      </c>
      <c r="K71" s="822">
        <v>180</v>
      </c>
    </row>
    <row r="72" spans="1:28" ht="19.5">
      <c r="A72" s="7" t="s">
        <v>1329</v>
      </c>
      <c r="B72" s="822">
        <f>D39*D40</f>
        <v>0.09</v>
      </c>
      <c r="C72" s="822" t="s">
        <v>3</v>
      </c>
    </row>
    <row r="73" spans="1:28">
      <c r="A73" s="822" t="s">
        <v>1339</v>
      </c>
      <c r="B73" s="892">
        <f>B65*(B66*B69*B72+D68*E74)</f>
        <v>58.519799999999996</v>
      </c>
    </row>
    <row r="74" spans="1:28">
      <c r="A74" s="822" t="s">
        <v>1340</v>
      </c>
      <c r="B74" s="892">
        <v>1.55</v>
      </c>
      <c r="D74" s="822" t="s">
        <v>1307</v>
      </c>
      <c r="E74" s="892">
        <f>R67</f>
        <v>36.332999999999998</v>
      </c>
      <c r="F74" s="822" t="s">
        <v>670</v>
      </c>
    </row>
    <row r="75" spans="1:28">
      <c r="A75" s="822" t="s">
        <v>1341</v>
      </c>
      <c r="B75" s="892">
        <f>B73/B74</f>
        <v>37.754709677419349</v>
      </c>
    </row>
    <row r="76" spans="1:28">
      <c r="A76" s="823" t="s">
        <v>1342</v>
      </c>
      <c r="B76" s="931" t="str">
        <f>[3]Locsolieu!$AD$4</f>
        <v>C3</v>
      </c>
      <c r="C76" s="822" t="s">
        <v>445</v>
      </c>
    </row>
    <row r="77" spans="1:28" ht="16.5">
      <c r="A77" s="893" t="s">
        <v>1348</v>
      </c>
      <c r="J77" s="822">
        <v>6.7750000000000004</v>
      </c>
      <c r="K77" s="822">
        <f>+J77+1.5</f>
        <v>8.2750000000000004</v>
      </c>
      <c r="L77" s="822">
        <f>10-K77</f>
        <v>1.7249999999999996</v>
      </c>
    </row>
    <row r="78" spans="1:28">
      <c r="A78" s="822" t="s">
        <v>177</v>
      </c>
      <c r="B78" s="822">
        <v>300</v>
      </c>
      <c r="L78" s="822">
        <f>10-J77</f>
        <v>3.2249999999999996</v>
      </c>
    </row>
    <row r="79" spans="1:28">
      <c r="A79" s="822" t="s">
        <v>628</v>
      </c>
      <c r="B79" s="822">
        <f>I43</f>
        <v>16</v>
      </c>
      <c r="L79" s="822">
        <f>1.5+10/2</f>
        <v>6.5</v>
      </c>
    </row>
    <row r="83" spans="1:13">
      <c r="M83" s="892"/>
    </row>
    <row r="86" spans="1:13">
      <c r="A86" s="822" t="s">
        <v>1349</v>
      </c>
      <c r="B86" s="907">
        <f>MIN(B75,B63)</f>
        <v>37.754709677419349</v>
      </c>
      <c r="C86" s="822" t="s">
        <v>670</v>
      </c>
    </row>
    <row r="87" spans="1:13">
      <c r="A87" s="822" t="s">
        <v>1350</v>
      </c>
      <c r="B87" s="822">
        <f>+B72*B52*2.5</f>
        <v>4.5</v>
      </c>
    </row>
    <row r="88" spans="1:13" ht="14.5" thickBot="1">
      <c r="A88" s="822" t="s">
        <v>1351</v>
      </c>
      <c r="B88" s="929">
        <f>B86-B87</f>
        <v>33.254709677419349</v>
      </c>
    </row>
    <row r="89" spans="1:13" ht="14.5" thickBot="1">
      <c r="A89" s="823" t="s">
        <v>1364</v>
      </c>
      <c r="E89" s="909" t="s">
        <v>1352</v>
      </c>
      <c r="F89" s="910" t="s">
        <v>1353</v>
      </c>
      <c r="G89" s="910" t="s">
        <v>1354</v>
      </c>
      <c r="H89" s="910" t="s">
        <v>1355</v>
      </c>
      <c r="I89" s="910" t="s">
        <v>1356</v>
      </c>
      <c r="J89" s="910" t="s">
        <v>1357</v>
      </c>
      <c r="K89" s="910" t="s">
        <v>1358</v>
      </c>
      <c r="L89" s="822" t="s">
        <v>1376</v>
      </c>
      <c r="M89" s="822" t="s">
        <v>1377</v>
      </c>
    </row>
    <row r="90" spans="1:13" ht="26.5" thickBot="1">
      <c r="A90" s="889" t="s">
        <v>241</v>
      </c>
      <c r="B90" s="822">
        <v>1.2</v>
      </c>
      <c r="C90" s="822">
        <v>1.6</v>
      </c>
      <c r="E90" s="930" t="str">
        <f>[3]Locsolieu!$AD$4</f>
        <v>C3</v>
      </c>
      <c r="F90" s="911" t="s">
        <v>1359</v>
      </c>
      <c r="G90" s="932">
        <f>[3]Locsolieu!AF5</f>
        <v>29.074000000000002</v>
      </c>
      <c r="H90" s="932">
        <f>[3]Locsolieu!AG5</f>
        <v>0.14024</v>
      </c>
      <c r="I90" s="932">
        <f>[3]Locsolieu!AH5</f>
        <v>0.54979</v>
      </c>
      <c r="J90" s="932">
        <f>[3]Locsolieu!AI5</f>
        <v>-4.0899999999999999E-2</v>
      </c>
      <c r="K90" s="932">
        <f>[3]Locsolieu!AJ5</f>
        <v>0.62190000000000001</v>
      </c>
      <c r="L90" s="822">
        <f>I90+J90*$B$45</f>
        <v>0.52729499999999996</v>
      </c>
      <c r="M90" s="822">
        <f>H90+K90*$B$45</f>
        <v>0.48228499999999996</v>
      </c>
    </row>
    <row r="91" spans="1:13" ht="39.5" thickBot="1">
      <c r="A91" s="822" t="s">
        <v>1365</v>
      </c>
      <c r="B91" s="912">
        <f>B90*G90/$B$88</f>
        <v>1.0491386134003822</v>
      </c>
      <c r="C91" s="912">
        <f>C90*G90/$B$88</f>
        <v>1.3988514845338429</v>
      </c>
      <c r="E91" s="930" t="str">
        <f>[3]Locsolieu!$AD$4</f>
        <v>C3</v>
      </c>
      <c r="F91" s="911" t="s">
        <v>1360</v>
      </c>
      <c r="G91" s="932">
        <f>[3]Locsolieu!AF6</f>
        <v>-1.2934000000000001</v>
      </c>
      <c r="H91" s="932">
        <f>[3]Locsolieu!AG6</f>
        <v>0.83650000000000002</v>
      </c>
      <c r="I91" s="932">
        <f>[3]Locsolieu!AH6</f>
        <v>2.572E-2</v>
      </c>
      <c r="J91" s="932">
        <f>[3]Locsolieu!AI6</f>
        <v>-0.74529999999999996</v>
      </c>
      <c r="K91" s="932">
        <f>[3]Locsolieu!AJ6</f>
        <v>1.7299999999999999E-2</v>
      </c>
      <c r="L91" s="822">
        <f t="shared" ref="L91:L94" si="6">I91+J91*$B$45</f>
        <v>-0.3841949999999999</v>
      </c>
      <c r="M91" s="822">
        <f t="shared" ref="M91:M94" si="7">H91+K91*$B$45</f>
        <v>0.84601500000000007</v>
      </c>
    </row>
    <row r="92" spans="1:13" ht="26.5" thickBot="1">
      <c r="A92" s="822" t="s">
        <v>248</v>
      </c>
      <c r="B92" s="822">
        <v>2</v>
      </c>
      <c r="E92" s="930" t="str">
        <f>[3]Locsolieu!$AD$4</f>
        <v>C3</v>
      </c>
      <c r="F92" s="911" t="s">
        <v>1361</v>
      </c>
      <c r="G92" s="932">
        <f>[3]Locsolieu!AF7</f>
        <v>24.658100000000001</v>
      </c>
      <c r="H92" s="932">
        <f>[3]Locsolieu!AG7</f>
        <v>0.72621999999999998</v>
      </c>
      <c r="I92" s="932">
        <f>[3]Locsolieu!AH7</f>
        <v>1.0924400000000001</v>
      </c>
      <c r="J92" s="932">
        <f>[3]Locsolieu!AI7</f>
        <v>0.75109999999999999</v>
      </c>
      <c r="K92" s="932">
        <f>[3]Locsolieu!AJ7</f>
        <v>1.0811999999999999</v>
      </c>
      <c r="L92" s="822">
        <f t="shared" si="6"/>
        <v>1.5055450000000001</v>
      </c>
      <c r="M92" s="822">
        <f t="shared" si="7"/>
        <v>1.3208799999999998</v>
      </c>
    </row>
    <row r="93" spans="1:13" ht="26.5" thickBot="1">
      <c r="A93" s="822" t="s">
        <v>1366</v>
      </c>
      <c r="B93" s="822">
        <f>3*D39</f>
        <v>0.89999999999999991</v>
      </c>
      <c r="E93" s="930" t="str">
        <f>[3]Locsolieu!$AD$4</f>
        <v>C3</v>
      </c>
      <c r="F93" s="911" t="s">
        <v>1362</v>
      </c>
      <c r="G93" s="932">
        <f>[3]Locsolieu!AF8</f>
        <v>24.658100000000001</v>
      </c>
      <c r="H93" s="932">
        <f>[3]Locsolieu!AG8</f>
        <v>0.72621999999999998</v>
      </c>
      <c r="I93" s="932">
        <f>[3]Locsolieu!AH8</f>
        <v>1.0924400000000001</v>
      </c>
      <c r="J93" s="932">
        <f>[3]Locsolieu!AI8</f>
        <v>1.0811999999999999</v>
      </c>
      <c r="K93" s="932">
        <f>[3]Locsolieu!AJ8</f>
        <v>0.75109999999999999</v>
      </c>
      <c r="L93" s="822">
        <f t="shared" si="6"/>
        <v>1.6871</v>
      </c>
      <c r="M93" s="822">
        <f t="shared" si="7"/>
        <v>1.1393249999999999</v>
      </c>
    </row>
    <row r="94" spans="1:13" ht="26.5" thickBot="1">
      <c r="A94" s="822" t="s">
        <v>1367</v>
      </c>
      <c r="B94" s="822">
        <f>3*D39</f>
        <v>0.89999999999999991</v>
      </c>
      <c r="E94" s="930" t="str">
        <f>[3]Locsolieu!$AD$4</f>
        <v>C3</v>
      </c>
      <c r="F94" s="911" t="s">
        <v>1363</v>
      </c>
      <c r="G94" s="932">
        <f>[3]Locsolieu!AF9</f>
        <v>24.658100000000001</v>
      </c>
      <c r="H94" s="932">
        <f>[3]Locsolieu!AG9</f>
        <v>0.72621999999999998</v>
      </c>
      <c r="I94" s="932">
        <f>[3]Locsolieu!AH9</f>
        <v>1.0924400000000001</v>
      </c>
      <c r="J94" s="932">
        <f>[3]Locsolieu!AI9</f>
        <v>1.0811999999999999</v>
      </c>
      <c r="K94" s="932">
        <f>[3]Locsolieu!AJ9</f>
        <v>0.75109999999999999</v>
      </c>
      <c r="L94" s="822">
        <f t="shared" si="6"/>
        <v>1.6871</v>
      </c>
      <c r="M94" s="822">
        <f t="shared" si="7"/>
        <v>1.1393249999999999</v>
      </c>
    </row>
    <row r="95" spans="1:13">
      <c r="A95" s="822" t="s">
        <v>1368</v>
      </c>
      <c r="B95" s="822">
        <f>D39/2</f>
        <v>0.15</v>
      </c>
    </row>
    <row r="96" spans="1:13">
      <c r="A96" s="822" t="s">
        <v>621</v>
      </c>
      <c r="B96" s="822">
        <f>D39+B95*2</f>
        <v>0.6</v>
      </c>
      <c r="C96" s="822" t="s">
        <v>6</v>
      </c>
    </row>
    <row r="97" spans="1:25">
      <c r="A97" s="822" t="s">
        <v>228</v>
      </c>
      <c r="B97" s="822">
        <v>1.5</v>
      </c>
      <c r="C97" s="822" t="s">
        <v>6</v>
      </c>
    </row>
    <row r="98" spans="1:25">
      <c r="A98" s="822" t="s">
        <v>1373</v>
      </c>
      <c r="B98" s="822">
        <f>B96*B97</f>
        <v>0.89999999999999991</v>
      </c>
      <c r="C98" s="822" t="s">
        <v>3</v>
      </c>
    </row>
    <row r="100" spans="1:25">
      <c r="A100" s="823" t="s">
        <v>1369</v>
      </c>
    </row>
    <row r="101" spans="1:25" ht="19.5">
      <c r="A101" s="7" t="s">
        <v>1370</v>
      </c>
      <c r="B101" s="822">
        <v>1.1499999999999999</v>
      </c>
      <c r="E101" s="913" t="s">
        <v>1378</v>
      </c>
      <c r="F101" s="913" t="s">
        <v>1379</v>
      </c>
      <c r="G101" s="913" t="s">
        <v>1380</v>
      </c>
      <c r="H101" s="913" t="s">
        <v>1381</v>
      </c>
      <c r="I101" s="913" t="s">
        <v>1382</v>
      </c>
      <c r="J101" s="913" t="s">
        <v>1385</v>
      </c>
      <c r="K101" s="913" t="s">
        <v>1383</v>
      </c>
      <c r="L101" s="913" t="s">
        <v>1384</v>
      </c>
      <c r="Q101" s="925" t="str">
        <f>E101</f>
        <v>Tên cọc</v>
      </c>
      <c r="R101" s="925" t="s">
        <v>1458</v>
      </c>
      <c r="S101" s="925" t="s">
        <v>1459</v>
      </c>
      <c r="T101" s="925" t="s">
        <v>1460</v>
      </c>
      <c r="U101" s="925" t="s">
        <v>1461</v>
      </c>
      <c r="V101" s="925" t="s">
        <v>1462</v>
      </c>
    </row>
    <row r="102" spans="1:25">
      <c r="A102" s="822" t="s">
        <v>1371</v>
      </c>
      <c r="B102" s="822">
        <v>2.5</v>
      </c>
      <c r="C102" s="822" t="s">
        <v>670</v>
      </c>
      <c r="E102" s="913">
        <v>1</v>
      </c>
      <c r="F102" s="913">
        <f>-B93/2</f>
        <v>-0.44999999999999996</v>
      </c>
      <c r="G102" s="913">
        <v>0</v>
      </c>
      <c r="H102" s="914">
        <f>F102^2</f>
        <v>0.20249999999999996</v>
      </c>
      <c r="I102" s="914">
        <f>G102^2</f>
        <v>0</v>
      </c>
      <c r="J102" s="915"/>
      <c r="K102" s="913"/>
      <c r="L102" s="916">
        <f>$B$105/$B$92+M90*F102/$H$104</f>
        <v>14.619877777777779</v>
      </c>
      <c r="Q102" s="926">
        <f t="shared" ref="Q102:U103" si="8">E102</f>
        <v>1</v>
      </c>
      <c r="R102" s="933">
        <f t="shared" si="8"/>
        <v>-0.44999999999999996</v>
      </c>
      <c r="S102" s="933">
        <f t="shared" si="8"/>
        <v>0</v>
      </c>
      <c r="T102" s="933">
        <f t="shared" si="8"/>
        <v>0.20249999999999996</v>
      </c>
      <c r="U102" s="933">
        <f>I102</f>
        <v>0</v>
      </c>
      <c r="V102" s="933">
        <f>L102</f>
        <v>14.619877777777779</v>
      </c>
    </row>
    <row r="103" spans="1:25">
      <c r="A103" s="822" t="s">
        <v>1372</v>
      </c>
      <c r="B103" s="822">
        <v>1.1499999999999999</v>
      </c>
      <c r="E103" s="913">
        <v>2</v>
      </c>
      <c r="F103" s="913">
        <f>+B93/2</f>
        <v>0.44999999999999996</v>
      </c>
      <c r="G103" s="913">
        <v>0</v>
      </c>
      <c r="H103" s="914">
        <f>F103^2</f>
        <v>0.20249999999999996</v>
      </c>
      <c r="I103" s="914">
        <f>G103^2</f>
        <v>0</v>
      </c>
      <c r="J103" s="913"/>
      <c r="K103" s="913"/>
      <c r="L103" s="916">
        <f>$B$105/$B$92+M90*F103/$H$104</f>
        <v>15.691622222222223</v>
      </c>
      <c r="Q103" s="926">
        <f t="shared" si="8"/>
        <v>2</v>
      </c>
      <c r="R103" s="933">
        <f t="shared" si="8"/>
        <v>0.44999999999999996</v>
      </c>
      <c r="S103" s="933">
        <f t="shared" si="8"/>
        <v>0</v>
      </c>
      <c r="T103" s="933">
        <f t="shared" si="8"/>
        <v>0.20249999999999996</v>
      </c>
      <c r="U103" s="933">
        <f t="shared" si="8"/>
        <v>0</v>
      </c>
      <c r="V103" s="933">
        <f t="shared" ref="V103" si="9">L103</f>
        <v>15.691622222222223</v>
      </c>
    </row>
    <row r="104" spans="1:25">
      <c r="A104" s="822" t="s">
        <v>1374</v>
      </c>
      <c r="B104" s="822">
        <f>B102*B98*B45</f>
        <v>1.2374999999999998</v>
      </c>
      <c r="C104" s="822" t="s">
        <v>670</v>
      </c>
      <c r="H104" s="907">
        <f>SUM(H102:H103)</f>
        <v>0.40499999999999992</v>
      </c>
      <c r="I104" s="907">
        <f>SUM(I102:I103)</f>
        <v>0</v>
      </c>
      <c r="K104" s="822" t="s">
        <v>1386</v>
      </c>
      <c r="L104" s="892">
        <f>MAX(L102:L103)</f>
        <v>15.691622222222223</v>
      </c>
      <c r="Q104" s="926"/>
      <c r="R104" s="933"/>
      <c r="S104" s="933"/>
      <c r="T104" s="933"/>
      <c r="U104" s="933"/>
      <c r="V104" s="933"/>
    </row>
    <row r="105" spans="1:25">
      <c r="A105" s="822" t="s">
        <v>1375</v>
      </c>
      <c r="B105" s="822">
        <f>B104+G90</f>
        <v>30.311500000000002</v>
      </c>
      <c r="C105" s="822" t="s">
        <v>670</v>
      </c>
      <c r="K105" s="822" t="s">
        <v>1388</v>
      </c>
      <c r="L105" s="892">
        <f>MIN(L102:L103)</f>
        <v>14.619877777777779</v>
      </c>
    </row>
    <row r="106" spans="1:25">
      <c r="A106" s="822" t="s">
        <v>1387</v>
      </c>
      <c r="B106" s="929">
        <f>B101/B103*B88</f>
        <v>33.254709677419349</v>
      </c>
      <c r="K106" s="822">
        <f>1.2*1.2</f>
        <v>1.44</v>
      </c>
    </row>
    <row r="107" spans="1:25" ht="16">
      <c r="I107" s="822">
        <f>1.44*4</f>
        <v>5.76</v>
      </c>
      <c r="Q107" s="1018" t="str">
        <f>E108</f>
        <v>Tên cọc</v>
      </c>
      <c r="R107" s="1018" t="s">
        <v>1458</v>
      </c>
      <c r="S107" s="1018" t="s">
        <v>1459</v>
      </c>
      <c r="T107" s="1018" t="s">
        <v>1460</v>
      </c>
      <c r="U107" s="1018" t="s">
        <v>1461</v>
      </c>
      <c r="V107" s="1017" t="s">
        <v>1462</v>
      </c>
      <c r="W107" s="1017"/>
      <c r="X107" s="1017"/>
      <c r="Y107" s="1017"/>
    </row>
    <row r="108" spans="1:25" ht="16">
      <c r="E108" s="913" t="s">
        <v>1378</v>
      </c>
      <c r="F108" s="913" t="s">
        <v>1379</v>
      </c>
      <c r="G108" s="913" t="s">
        <v>1380</v>
      </c>
      <c r="H108" s="913" t="s">
        <v>1381</v>
      </c>
      <c r="I108" s="913" t="s">
        <v>1382</v>
      </c>
      <c r="J108" s="913" t="s">
        <v>1385</v>
      </c>
      <c r="K108" s="913" t="s">
        <v>1383</v>
      </c>
      <c r="L108" s="913" t="s">
        <v>1389</v>
      </c>
      <c r="M108" s="822" t="s">
        <v>1390</v>
      </c>
      <c r="N108" s="822" t="s">
        <v>1391</v>
      </c>
      <c r="O108" s="822" t="s">
        <v>1392</v>
      </c>
      <c r="Q108" s="1019"/>
      <c r="R108" s="1019"/>
      <c r="S108" s="1019"/>
      <c r="T108" s="1019"/>
      <c r="U108" s="1019"/>
      <c r="V108" s="927" t="s">
        <v>1463</v>
      </c>
      <c r="W108" s="927" t="s">
        <v>1464</v>
      </c>
      <c r="X108" s="927" t="s">
        <v>1465</v>
      </c>
      <c r="Y108" s="927" t="s">
        <v>1466</v>
      </c>
    </row>
    <row r="109" spans="1:25">
      <c r="E109" s="913">
        <v>1</v>
      </c>
      <c r="F109" s="913">
        <f>-B93/2</f>
        <v>-0.44999999999999996</v>
      </c>
      <c r="G109" s="913">
        <v>0</v>
      </c>
      <c r="H109" s="914">
        <f>F109^2</f>
        <v>0.20249999999999996</v>
      </c>
      <c r="I109" s="914">
        <f>G109^2</f>
        <v>0</v>
      </c>
      <c r="J109" s="915"/>
      <c r="K109" s="913"/>
      <c r="L109" s="916">
        <f>$B$105/$B$92+M91*F109/$H$104</f>
        <v>14.215733333333334</v>
      </c>
      <c r="M109" s="908">
        <f>$B$105/$B$92+M92*F109/$H$104</f>
        <v>13.688105555555557</v>
      </c>
      <c r="N109" s="908">
        <f>$B$105/$B$92+M93*F109/$H$104</f>
        <v>13.889833333333334</v>
      </c>
      <c r="O109" s="908">
        <f>$B$105/$B$92+M94*F109/$H$104</f>
        <v>13.889833333333334</v>
      </c>
      <c r="Q109" s="926">
        <f t="shared" ref="Q109:S110" si="10">E109</f>
        <v>1</v>
      </c>
      <c r="R109" s="933">
        <f t="shared" si="10"/>
        <v>-0.44999999999999996</v>
      </c>
      <c r="S109" s="933">
        <f t="shared" si="10"/>
        <v>0</v>
      </c>
      <c r="T109" s="933">
        <f>ROUND(H109,2)</f>
        <v>0.2</v>
      </c>
      <c r="U109" s="933">
        <f>ROUND(I109,2)</f>
        <v>0</v>
      </c>
      <c r="V109" s="933">
        <f>L109</f>
        <v>14.215733333333334</v>
      </c>
      <c r="W109" s="933">
        <f t="shared" ref="W109:Y110" si="11">M109</f>
        <v>13.688105555555557</v>
      </c>
      <c r="X109" s="933">
        <f t="shared" si="11"/>
        <v>13.889833333333334</v>
      </c>
      <c r="Y109" s="933">
        <f t="shared" si="11"/>
        <v>13.889833333333334</v>
      </c>
    </row>
    <row r="110" spans="1:25">
      <c r="E110" s="913">
        <v>2</v>
      </c>
      <c r="F110" s="913">
        <f>+B93/2</f>
        <v>0.44999999999999996</v>
      </c>
      <c r="G110" s="913">
        <v>0</v>
      </c>
      <c r="H110" s="914">
        <f>F110^2</f>
        <v>0.20249999999999996</v>
      </c>
      <c r="I110" s="914">
        <f>G110^2</f>
        <v>0</v>
      </c>
      <c r="J110" s="913"/>
      <c r="K110" s="913"/>
      <c r="L110" s="916">
        <f>$B$105/$B$92+M91*F110/$H$104</f>
        <v>16.09576666666667</v>
      </c>
      <c r="M110" s="908">
        <f>$B$105/$B$92+M92*F110/$H$104</f>
        <v>16.623394444444447</v>
      </c>
      <c r="N110" s="908">
        <f>$B$105/$B$92+M93*F110/$H$104</f>
        <v>16.421666666666667</v>
      </c>
      <c r="O110" s="908">
        <f>$B$105/$B$92+M94*F110/$H$104</f>
        <v>16.421666666666667</v>
      </c>
      <c r="Q110" s="926">
        <f t="shared" si="10"/>
        <v>2</v>
      </c>
      <c r="R110" s="933">
        <f t="shared" si="10"/>
        <v>0.44999999999999996</v>
      </c>
      <c r="S110" s="933">
        <f t="shared" si="10"/>
        <v>0</v>
      </c>
      <c r="T110" s="933">
        <f t="shared" ref="T110:U110" si="12">ROUND(H110,2)</f>
        <v>0.2</v>
      </c>
      <c r="U110" s="933">
        <f t="shared" si="12"/>
        <v>0</v>
      </c>
      <c r="V110" s="933">
        <f t="shared" ref="V110" si="13">L110</f>
        <v>16.09576666666667</v>
      </c>
      <c r="W110" s="933">
        <f t="shared" si="11"/>
        <v>16.623394444444447</v>
      </c>
      <c r="X110" s="933">
        <f t="shared" si="11"/>
        <v>16.421666666666667</v>
      </c>
      <c r="Y110" s="933">
        <f t="shared" si="11"/>
        <v>16.421666666666667</v>
      </c>
    </row>
    <row r="111" spans="1:25">
      <c r="H111" s="907">
        <f>SUM(H109:H110)</f>
        <v>0.40499999999999992</v>
      </c>
      <c r="I111" s="907">
        <f>SUM(I109:I110)</f>
        <v>0</v>
      </c>
      <c r="Q111" s="926"/>
      <c r="R111" s="933"/>
      <c r="S111" s="933"/>
      <c r="T111" s="933"/>
      <c r="U111" s="933"/>
      <c r="V111" s="933"/>
      <c r="W111" s="933"/>
      <c r="X111" s="933"/>
      <c r="Y111" s="933"/>
    </row>
    <row r="112" spans="1:25">
      <c r="A112" s="823" t="s">
        <v>1393</v>
      </c>
      <c r="L112" s="914"/>
    </row>
    <row r="113" spans="1:11">
      <c r="A113"/>
      <c r="B113" s="892">
        <f>'[2]Co Ly dat'!W15</f>
        <v>2.251633165829146</v>
      </c>
      <c r="C113" s="822">
        <f>ROUNDDOWN(B113,0)</f>
        <v>2</v>
      </c>
      <c r="D113" s="917">
        <f>+(B113-C113)*60</f>
        <v>15.097989949748758</v>
      </c>
      <c r="F113" s="6">
        <f>'[2]Co Ly dat'!V15</f>
        <v>9.0065326633165839</v>
      </c>
      <c r="G113" s="907">
        <f>ROUNDDOWN(F113,0)</f>
        <v>9</v>
      </c>
      <c r="H113" s="917">
        <f>+(F113-G113)*60</f>
        <v>0.39195979899503186</v>
      </c>
    </row>
    <row r="114" spans="1:11">
      <c r="A114" s="822" t="s">
        <v>1394</v>
      </c>
      <c r="B114" s="822">
        <f>B51</f>
        <v>19.899999999999999</v>
      </c>
    </row>
    <row r="115" spans="1:11">
      <c r="A115" s="822" t="s">
        <v>1395</v>
      </c>
      <c r="B115" s="892">
        <f>D115+2*B114*TAN(RADIANS(B113))</f>
        <v>1.8648824754781275</v>
      </c>
      <c r="D115" s="822">
        <f>B96-B95*2</f>
        <v>0.3</v>
      </c>
      <c r="E115" s="822">
        <f>B97-B95*2</f>
        <v>1.2</v>
      </c>
    </row>
    <row r="116" spans="1:11">
      <c r="A116" s="822" t="s">
        <v>1396</v>
      </c>
      <c r="B116" s="892">
        <f>E115+2*B114*TAN(RADIANS(B113))</f>
        <v>2.7648824754781272</v>
      </c>
      <c r="C116" s="940"/>
      <c r="F116" s="822">
        <f>TAN(PI()*RADIANS(B113))</f>
        <v>0.12409071984357102</v>
      </c>
    </row>
    <row r="117" spans="1:11">
      <c r="A117" s="822" t="s">
        <v>1397</v>
      </c>
      <c r="B117" s="892">
        <f>B115*B116</f>
        <v>5.1561808752757425</v>
      </c>
      <c r="C117" s="822" t="s">
        <v>3</v>
      </c>
    </row>
    <row r="118" spans="1:11">
      <c r="A118" s="822" t="s">
        <v>1398</v>
      </c>
      <c r="B118" s="822">
        <v>2</v>
      </c>
      <c r="I118" s="822">
        <f>SIN(J118*PI()/180)</f>
        <v>3.925981575906861E-2</v>
      </c>
      <c r="J118" s="907">
        <v>2.25</v>
      </c>
      <c r="K118" s="908">
        <f>(J118*PI()/180)</f>
        <v>3.9269908169872414E-2</v>
      </c>
    </row>
    <row r="119" spans="1:11">
      <c r="A119" s="822" t="s">
        <v>1399</v>
      </c>
      <c r="B119" s="935">
        <f>B117*D46*B118</f>
        <v>15.468542625827228</v>
      </c>
      <c r="C119" s="822" t="s">
        <v>670</v>
      </c>
      <c r="I119" s="822">
        <f>SIN((K119))</f>
        <v>3.925981575906861E-2</v>
      </c>
      <c r="K119" s="822">
        <f>RADIANS(J118)</f>
        <v>3.9269908169872414E-2</v>
      </c>
    </row>
    <row r="120" spans="1:11">
      <c r="A120" s="822" t="s">
        <v>1400</v>
      </c>
      <c r="B120" s="935">
        <f>B92*B72*B51*2.5</f>
        <v>8.9549999999999983</v>
      </c>
      <c r="C120" s="822" t="s">
        <v>670</v>
      </c>
    </row>
    <row r="121" spans="1:11">
      <c r="A121" s="822" t="s">
        <v>1401</v>
      </c>
      <c r="B121" s="936">
        <f>'[2]Co Ly dat'!N16</f>
        <v>37.548000000000002</v>
      </c>
      <c r="C121" s="822" t="s">
        <v>670</v>
      </c>
    </row>
    <row r="122" spans="1:11">
      <c r="A122" s="822" t="s">
        <v>1402</v>
      </c>
      <c r="B122" s="936">
        <f>(B117-B92*B61)*B121*1</f>
        <v>186.84563950485361</v>
      </c>
      <c r="C122" s="822" t="s">
        <v>670</v>
      </c>
      <c r="D122" s="908">
        <f>(B117-B92*B61)*B121*1</f>
        <v>186.84563950485361</v>
      </c>
    </row>
    <row r="123" spans="1:11">
      <c r="A123" s="822" t="s">
        <v>1403</v>
      </c>
      <c r="B123" s="936">
        <f>B119+B120+B122</f>
        <v>211.26918213068083</v>
      </c>
      <c r="C123" s="822" t="s">
        <v>670</v>
      </c>
    </row>
    <row r="124" spans="1:11">
      <c r="A124" s="823" t="s">
        <v>1404</v>
      </c>
    </row>
    <row r="125" spans="1:11">
      <c r="A125" s="822" t="s">
        <v>1405</v>
      </c>
      <c r="B125" s="892">
        <f>B123+G90</f>
        <v>240.34318213068084</v>
      </c>
      <c r="C125" s="822" t="s">
        <v>670</v>
      </c>
    </row>
    <row r="126" spans="1:11">
      <c r="A126" s="822" t="s">
        <v>1406</v>
      </c>
      <c r="B126" s="892">
        <f>L90/B101</f>
        <v>0.45851739130434782</v>
      </c>
      <c r="C126" s="822" t="s">
        <v>670</v>
      </c>
    </row>
    <row r="127" spans="1:11">
      <c r="A127" s="822" t="s">
        <v>1407</v>
      </c>
      <c r="B127" s="892">
        <f>M90/B101</f>
        <v>0.4193782608695652</v>
      </c>
      <c r="C127" s="822" t="s">
        <v>670</v>
      </c>
    </row>
    <row r="128" spans="1:11">
      <c r="A128" s="822" t="s">
        <v>1408</v>
      </c>
      <c r="B128" s="892">
        <f>B115^2*B116/6</f>
        <v>1.6026118924495343</v>
      </c>
    </row>
    <row r="129" spans="1:11">
      <c r="A129" s="822" t="s">
        <v>1409</v>
      </c>
      <c r="B129" s="892">
        <f>B115*B116^2/6</f>
        <v>2.3760390237408955</v>
      </c>
    </row>
    <row r="130" spans="1:11">
      <c r="A130" s="892"/>
      <c r="C130" s="823" t="s">
        <v>1442</v>
      </c>
    </row>
    <row r="131" spans="1:11">
      <c r="A131" s="822" t="s">
        <v>1410</v>
      </c>
      <c r="B131" s="822">
        <v>1.1000000000000001</v>
      </c>
      <c r="D131" s="822" t="s">
        <v>1452</v>
      </c>
      <c r="E131" s="822">
        <f>[2]TinhMongM2!E131</f>
        <v>1.5</v>
      </c>
      <c r="F131" s="822" t="str">
        <f>[2]TinhMong!F131</f>
        <v>bc</v>
      </c>
      <c r="G131" s="822">
        <f>C153</f>
        <v>0.3</v>
      </c>
      <c r="H131" s="822" t="s">
        <v>1454</v>
      </c>
      <c r="I131" s="822">
        <f>(E131-G131)/2-($H$134-$D$39/2)</f>
        <v>0.44999999999999996</v>
      </c>
      <c r="J131" s="822">
        <f>[2]TinhMong!J131</f>
        <v>0</v>
      </c>
    </row>
    <row r="132" spans="1:11">
      <c r="A132" s="822" t="s">
        <v>428</v>
      </c>
      <c r="B132" s="822">
        <v>1.4</v>
      </c>
      <c r="D132" s="822" t="s">
        <v>1451</v>
      </c>
      <c r="E132" s="822">
        <f>[2]TinhMongM2!E132</f>
        <v>1.5</v>
      </c>
      <c r="F132" s="822" t="str">
        <f>[2]TinhMong!F132</f>
        <v>hc</v>
      </c>
      <c r="G132" s="822">
        <f>C154</f>
        <v>0.3</v>
      </c>
      <c r="H132" s="822" t="s">
        <v>1453</v>
      </c>
      <c r="I132" s="822">
        <f>(E132-G132)/2-($H$134-$D$39/2)</f>
        <v>0.44999999999999996</v>
      </c>
      <c r="J132" s="822">
        <f>[2]TinhMong!J132</f>
        <v>0</v>
      </c>
    </row>
    <row r="133" spans="1:11">
      <c r="A133" s="822" t="s">
        <v>3</v>
      </c>
      <c r="B133" s="822">
        <v>1</v>
      </c>
      <c r="D133" s="822" t="s">
        <v>1455</v>
      </c>
      <c r="E133" s="928">
        <f>J133+H133</f>
        <v>0.54999999999999993</v>
      </c>
      <c r="F133" s="822" t="str">
        <f>[2]TinhMong!F133</f>
        <v>m</v>
      </c>
      <c r="G133" s="822" t="s">
        <v>1456</v>
      </c>
      <c r="H133" s="822">
        <f>B50</f>
        <v>0.1</v>
      </c>
      <c r="I133" s="822" t="s">
        <v>6</v>
      </c>
      <c r="J133" s="822">
        <f>MAX(I131:I132)</f>
        <v>0.44999999999999996</v>
      </c>
    </row>
    <row r="134" spans="1:11">
      <c r="A134" s="822" t="s">
        <v>1411</v>
      </c>
      <c r="B134" s="822">
        <f>'[2]Co Ly dat'!O11</f>
        <v>1.01</v>
      </c>
      <c r="H134" s="822">
        <f>0.9-0.6</f>
        <v>0.30000000000000004</v>
      </c>
    </row>
    <row r="135" spans="1:11">
      <c r="A135" s="822" t="s">
        <v>1412</v>
      </c>
      <c r="B135" s="936">
        <f>'[2]Co Ly dat'!M16</f>
        <v>0.87085427135678373</v>
      </c>
      <c r="H135" s="822">
        <f>+H134/2+0.2</f>
        <v>0.35000000000000003</v>
      </c>
      <c r="I135" s="822">
        <f>1.2-0.3</f>
        <v>0.89999999999999991</v>
      </c>
      <c r="J135" s="822">
        <f>1.2-0.3</f>
        <v>0.89999999999999991</v>
      </c>
    </row>
    <row r="136" spans="1:11">
      <c r="A136" s="822" t="s">
        <v>1413</v>
      </c>
      <c r="B136" s="822">
        <f>'[2]TinhMongM2 (2)'!K43</f>
        <v>2.75</v>
      </c>
      <c r="J136" s="822">
        <f>514.4*3*0.9</f>
        <v>1388.8799999999999</v>
      </c>
    </row>
    <row r="137" spans="1:11">
      <c r="A137" s="822" t="s">
        <v>514</v>
      </c>
      <c r="B137" s="822">
        <v>0</v>
      </c>
    </row>
    <row r="138" spans="1:11" ht="19">
      <c r="A138" s="889" t="s">
        <v>1414</v>
      </c>
      <c r="B138" s="822">
        <f>'[2]Co Ly dat'!V11</f>
        <v>9.67</v>
      </c>
      <c r="H138" s="822">
        <v>7657</v>
      </c>
    </row>
    <row r="139" spans="1:11">
      <c r="A139" s="822" t="s">
        <v>515</v>
      </c>
      <c r="B139" s="822">
        <v>0.17</v>
      </c>
      <c r="H139" s="822">
        <f>+H138*3.2*(3.2-0.6)^2/8</f>
        <v>20704.528000000002</v>
      </c>
      <c r="I139" s="822">
        <f>3.2*(3.2-0.6)^2/8</f>
        <v>2.7040000000000006</v>
      </c>
      <c r="J139" s="822">
        <f>1388.9</f>
        <v>1388.9</v>
      </c>
      <c r="K139" s="822">
        <f>+J139/I139</f>
        <v>513.6464497041419</v>
      </c>
    </row>
    <row r="140" spans="1:11">
      <c r="A140" s="822" t="s">
        <v>621</v>
      </c>
      <c r="B140" s="822">
        <v>1.7</v>
      </c>
      <c r="H140" s="822">
        <f>1918*1.1</f>
        <v>2109.8000000000002</v>
      </c>
      <c r="J140" s="822">
        <f>+J139/3</f>
        <v>462.9666666666667</v>
      </c>
    </row>
    <row r="141" spans="1:11">
      <c r="A141" s="822" t="s">
        <v>599</v>
      </c>
      <c r="B141" s="822">
        <v>4.0999999999999996</v>
      </c>
    </row>
    <row r="142" spans="1:11">
      <c r="A142" s="822" t="s">
        <v>1415</v>
      </c>
      <c r="B142" s="908">
        <f>B132*B133/B131*(B139*B115*B134+B140*B51*B135+B141*B136)</f>
        <v>52.253345863141277</v>
      </c>
      <c r="J142" s="822">
        <f>+J140/1.2</f>
        <v>385.8055555555556</v>
      </c>
    </row>
    <row r="143" spans="1:11">
      <c r="A143" s="822" t="s">
        <v>1416</v>
      </c>
      <c r="H143" s="822">
        <f>650.76*4</f>
        <v>2603.04</v>
      </c>
    </row>
    <row r="144" spans="1:11">
      <c r="A144" s="822" t="s">
        <v>1417</v>
      </c>
      <c r="B144" s="938">
        <f>B125/B117</f>
        <v>46.61263596921971</v>
      </c>
      <c r="H144" s="822">
        <f>548.03*4</f>
        <v>2192.12</v>
      </c>
    </row>
    <row r="145" spans="1:28">
      <c r="A145" s="822" t="s">
        <v>1418</v>
      </c>
      <c r="B145" s="892">
        <f>B125/B117+B126/B128+B127/B129</f>
        <v>47.075245392587924</v>
      </c>
      <c r="K145" s="822">
        <f>514.4*3</f>
        <v>1543.1999999999998</v>
      </c>
      <c r="L145" s="822">
        <f>+K145*1.2</f>
        <v>1851.8399999999997</v>
      </c>
    </row>
    <row r="146" spans="1:28">
      <c r="A146" s="822" t="s">
        <v>1419</v>
      </c>
      <c r="B146" s="892">
        <f>B125/B117-B126/B128-B127/B129</f>
        <v>46.150026545851496</v>
      </c>
    </row>
    <row r="147" spans="1:28">
      <c r="A147" s="822" t="s">
        <v>1420</v>
      </c>
      <c r="B147" s="892">
        <f>1.2*B142</f>
        <v>62.70401503576953</v>
      </c>
    </row>
    <row r="148" spans="1:28" ht="14.5" thickBot="1"/>
    <row r="149" spans="1:28" ht="101" thickBot="1">
      <c r="A149" s="823" t="s">
        <v>1421</v>
      </c>
      <c r="E149" s="1003" t="s">
        <v>1338</v>
      </c>
      <c r="F149" s="960" t="s">
        <v>1468</v>
      </c>
      <c r="G149" s="961" t="s">
        <v>1467</v>
      </c>
      <c r="H149" s="962" t="s">
        <v>1422</v>
      </c>
    </row>
    <row r="150" spans="1:28" ht="19" thickBot="1">
      <c r="A150"/>
      <c r="B150" s="937">
        <f>B144-H155</f>
        <v>9.064635969219708</v>
      </c>
      <c r="C150" s="822" t="s">
        <v>670</v>
      </c>
      <c r="E150" s="1004"/>
      <c r="F150" s="963" t="s">
        <v>6</v>
      </c>
      <c r="G150" s="963" t="s">
        <v>1424</v>
      </c>
      <c r="H150" s="963" t="s">
        <v>1347</v>
      </c>
    </row>
    <row r="151" spans="1:28" ht="17" thickBot="1">
      <c r="E151" s="890">
        <v>1</v>
      </c>
      <c r="F151" s="252">
        <v>10</v>
      </c>
      <c r="G151" s="252">
        <v>1.74</v>
      </c>
      <c r="H151" s="891">
        <f>G151*F151</f>
        <v>17.399999999999999</v>
      </c>
    </row>
    <row r="152" spans="1:28" ht="17" thickBot="1">
      <c r="A152" s="823" t="s">
        <v>1433</v>
      </c>
      <c r="E152" s="890">
        <v>2</v>
      </c>
      <c r="F152" s="252">
        <v>4.5999999999999996</v>
      </c>
      <c r="G152" s="252">
        <v>2.0499999999999998</v>
      </c>
      <c r="H152" s="891">
        <f>G152*F152</f>
        <v>9.4299999999999979</v>
      </c>
    </row>
    <row r="153" spans="1:28" ht="17" thickBot="1">
      <c r="A153" s="822" t="s">
        <v>1434</v>
      </c>
      <c r="B153" s="822">
        <f>[2]TH!B199</f>
        <v>30</v>
      </c>
      <c r="C153" s="822">
        <f>B153/100</f>
        <v>0.3</v>
      </c>
      <c r="D153" s="822" t="s">
        <v>6</v>
      </c>
      <c r="E153" s="890">
        <v>3</v>
      </c>
      <c r="F153" s="252">
        <v>1.3</v>
      </c>
      <c r="G153" s="252">
        <v>2.06</v>
      </c>
      <c r="H153" s="891">
        <f t="shared" ref="H153:H154" si="14">G153*F153</f>
        <v>2.6780000000000004</v>
      </c>
    </row>
    <row r="154" spans="1:28" ht="17" thickBot="1">
      <c r="A154" s="822" t="s">
        <v>1435</v>
      </c>
      <c r="B154" s="822">
        <f>[2]TH!B200</f>
        <v>30</v>
      </c>
      <c r="C154" s="822">
        <f>B154/100</f>
        <v>0.3</v>
      </c>
      <c r="D154" s="822" t="s">
        <v>6</v>
      </c>
      <c r="E154" s="890">
        <v>4</v>
      </c>
      <c r="F154" s="252">
        <f>B49</f>
        <v>4</v>
      </c>
      <c r="G154" s="252">
        <v>2.0099999999999998</v>
      </c>
      <c r="H154" s="891">
        <f t="shared" si="14"/>
        <v>8.0399999999999991</v>
      </c>
    </row>
    <row r="155" spans="1:28" ht="17" thickBot="1">
      <c r="A155" s="822" t="s">
        <v>513</v>
      </c>
      <c r="B155" s="822">
        <v>10</v>
      </c>
      <c r="C155" s="822">
        <f>B155/100</f>
        <v>0.1</v>
      </c>
      <c r="D155" s="822" t="s">
        <v>6</v>
      </c>
      <c r="E155" s="1005" t="s">
        <v>1423</v>
      </c>
      <c r="F155" s="1006"/>
      <c r="G155" s="1007"/>
      <c r="H155" s="918">
        <f>SUM(H151:H154)</f>
        <v>37.548000000000002</v>
      </c>
    </row>
    <row r="156" spans="1:28">
      <c r="A156" s="822" t="s">
        <v>514</v>
      </c>
      <c r="B156" s="822">
        <f>E133-C155</f>
        <v>0.44999999999999996</v>
      </c>
      <c r="C156" s="822" t="s">
        <v>6</v>
      </c>
    </row>
    <row r="157" spans="1:28" ht="14.5" thickBot="1">
      <c r="A157" s="822" t="s">
        <v>1436</v>
      </c>
      <c r="B157" s="822">
        <f>C153+2*B156</f>
        <v>1.2</v>
      </c>
      <c r="C157" s="822" t="s">
        <v>6</v>
      </c>
    </row>
    <row r="158" spans="1:28" ht="14" customHeight="1">
      <c r="A158" s="822" t="s">
        <v>1437</v>
      </c>
      <c r="B158" s="822">
        <f>C154+2*B156</f>
        <v>1.2</v>
      </c>
      <c r="C158" s="822" t="s">
        <v>6</v>
      </c>
      <c r="E158" s="995" t="s">
        <v>1282</v>
      </c>
      <c r="F158" s="995" t="s">
        <v>1425</v>
      </c>
      <c r="G158" s="995" t="s">
        <v>1426</v>
      </c>
      <c r="H158" s="999" t="s">
        <v>1427</v>
      </c>
      <c r="I158" s="999" t="s">
        <v>1428</v>
      </c>
      <c r="J158" s="995" t="s">
        <v>1429</v>
      </c>
      <c r="K158" s="995"/>
      <c r="L158" s="995"/>
      <c r="M158" s="995"/>
    </row>
    <row r="159" spans="1:28" ht="14.5" customHeight="1" thickBot="1">
      <c r="A159" s="822" t="s">
        <v>1438</v>
      </c>
      <c r="B159" s="822">
        <f>(2*(C153+C154)+2*(B157+B158))/2</f>
        <v>3</v>
      </c>
      <c r="C159" s="822" t="s">
        <v>6</v>
      </c>
      <c r="E159" s="996"/>
      <c r="F159" s="996"/>
      <c r="G159" s="997"/>
      <c r="H159" s="1000"/>
      <c r="I159" s="1000"/>
      <c r="J159" s="996"/>
      <c r="K159" s="997"/>
      <c r="L159" s="997"/>
      <c r="M159" s="996"/>
    </row>
    <row r="160" spans="1:28" ht="33.5" thickBot="1">
      <c r="A160"/>
      <c r="B160" s="822">
        <f>1*H23*B159*B156</f>
        <v>101.24999999999999</v>
      </c>
      <c r="C160" s="822" t="s">
        <v>670</v>
      </c>
      <c r="E160" s="997"/>
      <c r="F160" s="997"/>
      <c r="G160" s="867" t="s">
        <v>6</v>
      </c>
      <c r="H160" s="1001"/>
      <c r="I160" s="1002"/>
      <c r="J160" s="997"/>
      <c r="K160" s="867" t="s">
        <v>1347</v>
      </c>
      <c r="L160" s="867" t="s">
        <v>1347</v>
      </c>
      <c r="M160" s="997"/>
      <c r="S160" s="964" t="s">
        <v>1430</v>
      </c>
      <c r="T160" s="965" t="s">
        <v>1470</v>
      </c>
      <c r="U160" s="964" t="s">
        <v>1472</v>
      </c>
      <c r="V160" s="964"/>
      <c r="W160" s="965"/>
      <c r="X160" s="964"/>
      <c r="Y160" s="964"/>
      <c r="Z160" s="965"/>
      <c r="AA160" s="965"/>
      <c r="AB160" s="965"/>
    </row>
    <row r="161" spans="1:28" ht="17" thickBot="1">
      <c r="A161" s="822" t="s">
        <v>1469</v>
      </c>
      <c r="B161" s="908">
        <f>ROUND(B115/4,2)</f>
        <v>0.47</v>
      </c>
      <c r="C161" s="822" t="s">
        <v>6</v>
      </c>
      <c r="E161" s="869">
        <v>4</v>
      </c>
      <c r="F161" s="252">
        <v>1</v>
      </c>
      <c r="G161" s="252">
        <v>0</v>
      </c>
      <c r="H161" s="891">
        <f>$B$116/$B$115</f>
        <v>1.4826041382416086</v>
      </c>
      <c r="I161" s="919">
        <f>G161/H161</f>
        <v>0</v>
      </c>
      <c r="J161" s="252">
        <v>1</v>
      </c>
      <c r="K161" s="920">
        <f>J161*$B$150</f>
        <v>9.064635969219708</v>
      </c>
      <c r="L161" s="921">
        <f>H155</f>
        <v>37.548000000000002</v>
      </c>
      <c r="M161" s="920">
        <f>K161/L161</f>
        <v>0.24141461513848161</v>
      </c>
      <c r="N161" s="908">
        <f>M161-0.2</f>
        <v>4.1414615138481603E-2</v>
      </c>
      <c r="S161" s="966">
        <v>1</v>
      </c>
      <c r="T161" s="947">
        <v>0</v>
      </c>
      <c r="U161" s="947">
        <f>T161/$B$115</f>
        <v>0</v>
      </c>
      <c r="V161" s="987">
        <f>$B$116/$B$115</f>
        <v>1.4826041382416086</v>
      </c>
      <c r="W161" s="947">
        <f>'[4]Tinh lun M1'!E4</f>
        <v>1</v>
      </c>
      <c r="X161" s="948">
        <f>W161*$B$150</f>
        <v>9.064635969219708</v>
      </c>
      <c r="Y161" s="949">
        <f>$H$155</f>
        <v>37.548000000000002</v>
      </c>
      <c r="Z161" s="948">
        <f>X161/Y161</f>
        <v>0.24141461513848161</v>
      </c>
      <c r="AA161" s="950"/>
      <c r="AB161" s="950"/>
    </row>
    <row r="162" spans="1:28" ht="17" thickBot="1">
      <c r="A162" s="823" t="s">
        <v>1439</v>
      </c>
      <c r="E162" s="869">
        <v>4</v>
      </c>
      <c r="F162" s="252">
        <v>2</v>
      </c>
      <c r="G162" s="252">
        <v>1.5</v>
      </c>
      <c r="H162" s="891">
        <f t="shared" ref="H162:H164" si="15">$B$116/$B$115</f>
        <v>1.4826041382416086</v>
      </c>
      <c r="I162" s="919">
        <f t="shared" ref="I162:I164" si="16">G162/H162</f>
        <v>1.0117333152590706</v>
      </c>
      <c r="J162" s="252">
        <v>0.89</v>
      </c>
      <c r="K162" s="920">
        <f>J162*$B$150</f>
        <v>8.0675260126055406</v>
      </c>
      <c r="L162" s="921">
        <f>L161+$G$154*G162</f>
        <v>40.563000000000002</v>
      </c>
      <c r="M162" s="920">
        <f t="shared" ref="M162:M164" si="17">K162/L162</f>
        <v>0.19888879058761777</v>
      </c>
      <c r="N162" s="908">
        <f>M162-0.2</f>
        <v>-1.1112094123822414E-3</v>
      </c>
      <c r="S162" s="330">
        <v>2</v>
      </c>
      <c r="T162" s="942">
        <f>+T161+$B$161</f>
        <v>0.47</v>
      </c>
      <c r="U162" s="942">
        <f>T162/$B$115</f>
        <v>0.25202660552617351</v>
      </c>
      <c r="V162" s="988"/>
      <c r="W162" s="942">
        <f>'[4]Tinh lun M1'!E5</f>
        <v>0.92</v>
      </c>
      <c r="X162" s="943">
        <f t="shared" ref="X162:X172" si="18">W162*$B$150</f>
        <v>8.3394650916821309</v>
      </c>
      <c r="Y162" s="944">
        <f>Y161+$G$154*T162</f>
        <v>38.492699999999999</v>
      </c>
      <c r="Z162" s="943">
        <f t="shared" ref="Z162:Z172" si="19">X162/Y162</f>
        <v>0.21665056209832334</v>
      </c>
      <c r="AA162" s="945">
        <f>$M$43</f>
        <v>544.67999999999995</v>
      </c>
      <c r="AB162" s="945">
        <f>ROUND(0.8*(X161+X162)/2*$B$161/AA162*100,2)</f>
        <v>0.6</v>
      </c>
    </row>
    <row r="163" spans="1:28" ht="17" thickBot="1">
      <c r="A163" s="822" t="s">
        <v>1440</v>
      </c>
      <c r="B163" s="822">
        <v>1</v>
      </c>
      <c r="E163" s="869">
        <v>4</v>
      </c>
      <c r="F163" s="252">
        <v>3</v>
      </c>
      <c r="G163" s="252">
        <v>3</v>
      </c>
      <c r="H163" s="891">
        <f t="shared" si="15"/>
        <v>1.4826041382416086</v>
      </c>
      <c r="I163" s="919">
        <f t="shared" si="16"/>
        <v>2.0234666305181412</v>
      </c>
      <c r="J163" s="252">
        <v>0.7</v>
      </c>
      <c r="K163" s="920">
        <f t="shared" ref="K163:K164" si="20">J163*$B$150</f>
        <v>6.3452451784537951</v>
      </c>
      <c r="L163" s="921">
        <f t="shared" ref="L163:L164" si="21">L162+$G$154*G163</f>
        <v>46.593000000000004</v>
      </c>
      <c r="M163" s="920">
        <f t="shared" si="17"/>
        <v>0.13618451652509592</v>
      </c>
      <c r="N163" s="908">
        <f>M163-0.2</f>
        <v>-6.3815483474904094E-2</v>
      </c>
      <c r="S163" s="330">
        <v>3</v>
      </c>
      <c r="T163" s="942">
        <f t="shared" ref="T163:T172" si="22">+T162+$B$161</f>
        <v>0.94</v>
      </c>
      <c r="U163" s="942">
        <f t="shared" ref="U163:U172" si="23">T163/$B$115</f>
        <v>0.50405321105234702</v>
      </c>
      <c r="V163" s="988"/>
      <c r="W163" s="942">
        <f>'[4]Tinh lun M1'!E6</f>
        <v>0.70599999999999996</v>
      </c>
      <c r="X163" s="943">
        <f t="shared" si="18"/>
        <v>6.3996329942691137</v>
      </c>
      <c r="Y163" s="944">
        <f t="shared" ref="Y163:Y172" si="24">Y162+$G$154*T163</f>
        <v>40.382100000000001</v>
      </c>
      <c r="Z163" s="943">
        <f t="shared" si="19"/>
        <v>0.15847697356673163</v>
      </c>
      <c r="AA163" s="945">
        <f t="shared" ref="AA163:AA172" si="25">$M$43</f>
        <v>544.67999999999995</v>
      </c>
      <c r="AB163" s="945">
        <f t="shared" ref="AB163:AB172" si="26">ROUND(0.8*(X162+X163)/2*$B$161/AA163*100,2)</f>
        <v>0.51</v>
      </c>
    </row>
    <row r="164" spans="1:28" ht="17" thickBot="1">
      <c r="A164" s="822" t="s">
        <v>522</v>
      </c>
      <c r="B164" s="892">
        <f>B163*$L$104*B165</f>
        <v>4.7074866666666679</v>
      </c>
      <c r="C164" s="822" t="s">
        <v>672</v>
      </c>
      <c r="E164" s="869">
        <v>4</v>
      </c>
      <c r="F164" s="252">
        <v>4</v>
      </c>
      <c r="G164" s="252">
        <v>4.5</v>
      </c>
      <c r="H164" s="891">
        <f t="shared" si="15"/>
        <v>1.4826041382416086</v>
      </c>
      <c r="I164" s="919">
        <f t="shared" si="16"/>
        <v>3.0351999457772116</v>
      </c>
      <c r="J164" s="252">
        <v>0.51</v>
      </c>
      <c r="K164" s="920">
        <f t="shared" si="20"/>
        <v>4.6229643443020514</v>
      </c>
      <c r="L164" s="921">
        <f t="shared" si="21"/>
        <v>55.638000000000005</v>
      </c>
      <c r="M164" s="920">
        <f t="shared" si="17"/>
        <v>8.3090052559438715E-2</v>
      </c>
      <c r="S164" s="330">
        <v>4</v>
      </c>
      <c r="T164" s="942">
        <f t="shared" si="22"/>
        <v>1.41</v>
      </c>
      <c r="U164" s="942">
        <f t="shared" si="23"/>
        <v>0.75607981657852052</v>
      </c>
      <c r="V164" s="988"/>
      <c r="W164" s="942">
        <f>'[4]Tinh lun M1'!E7</f>
        <v>0.49099999999999999</v>
      </c>
      <c r="X164" s="943">
        <f t="shared" si="18"/>
        <v>4.4507362608868766</v>
      </c>
      <c r="Y164" s="944">
        <f t="shared" si="24"/>
        <v>43.216200000000001</v>
      </c>
      <c r="Z164" s="943">
        <f t="shared" si="19"/>
        <v>0.10298768195461139</v>
      </c>
      <c r="AA164" s="945">
        <f t="shared" si="25"/>
        <v>544.67999999999995</v>
      </c>
      <c r="AB164" s="945">
        <f t="shared" si="26"/>
        <v>0.37</v>
      </c>
    </row>
    <row r="165" spans="1:28" ht="16.5">
      <c r="A165" s="822" t="s">
        <v>99</v>
      </c>
      <c r="B165" s="822">
        <f>0.9/2-$D$39/2</f>
        <v>0.30000000000000004</v>
      </c>
      <c r="C165" s="822" t="s">
        <v>6</v>
      </c>
      <c r="S165" s="330">
        <v>5</v>
      </c>
      <c r="T165" s="942">
        <f t="shared" si="22"/>
        <v>1.88</v>
      </c>
      <c r="U165" s="942">
        <f t="shared" si="23"/>
        <v>1.008106422104694</v>
      </c>
      <c r="V165" s="988"/>
      <c r="W165" s="942">
        <f>'[4]Tinh lun M1'!E8</f>
        <v>0.34100000000000003</v>
      </c>
      <c r="X165" s="943">
        <f t="shared" si="18"/>
        <v>3.0910408655039205</v>
      </c>
      <c r="Y165" s="944">
        <f t="shared" si="24"/>
        <v>46.994999999999997</v>
      </c>
      <c r="Z165" s="943">
        <f t="shared" si="19"/>
        <v>6.5773824140949483E-2</v>
      </c>
      <c r="AA165" s="945">
        <f t="shared" si="25"/>
        <v>544.67999999999995</v>
      </c>
      <c r="AB165" s="945">
        <f t="shared" si="26"/>
        <v>0.26</v>
      </c>
    </row>
    <row r="166" spans="1:28" ht="17" thickBot="1">
      <c r="A166"/>
      <c r="B166" s="922">
        <f>B164/(0.9*$H$22*$B$167*$B$156^2)</f>
        <v>1.1875784284355314E-2</v>
      </c>
      <c r="D166" s="892"/>
      <c r="S166" s="330">
        <v>6</v>
      </c>
      <c r="T166" s="942">
        <f t="shared" si="22"/>
        <v>2.3499999999999996</v>
      </c>
      <c r="U166" s="942">
        <f t="shared" si="23"/>
        <v>1.2601330276308673</v>
      </c>
      <c r="V166" s="988"/>
      <c r="W166" s="942">
        <f>'[4]Tinh lun M1'!E9</f>
        <v>0.246</v>
      </c>
      <c r="X166" s="943">
        <f t="shared" si="18"/>
        <v>2.2299004484280482</v>
      </c>
      <c r="Y166" s="944">
        <f t="shared" si="24"/>
        <v>51.718499999999999</v>
      </c>
      <c r="Z166" s="943">
        <f t="shared" si="19"/>
        <v>4.3116108325416402E-2</v>
      </c>
      <c r="AA166" s="945">
        <f t="shared" si="25"/>
        <v>544.67999999999995</v>
      </c>
      <c r="AB166" s="945">
        <f t="shared" si="26"/>
        <v>0.18</v>
      </c>
    </row>
    <row r="167" spans="1:28" ht="14" customHeight="1">
      <c r="A167" s="822" t="s">
        <v>1441</v>
      </c>
      <c r="B167" s="822">
        <v>1.5</v>
      </c>
      <c r="E167" s="991" t="s">
        <v>1201</v>
      </c>
      <c r="F167" s="991" t="s">
        <v>1430</v>
      </c>
      <c r="G167" s="991"/>
      <c r="H167" s="991"/>
      <c r="I167" s="991"/>
      <c r="J167" s="991" t="s">
        <v>1431</v>
      </c>
      <c r="K167" s="991" t="s">
        <v>111</v>
      </c>
      <c r="S167" s="330">
        <v>7</v>
      </c>
      <c r="T167" s="942">
        <f t="shared" si="22"/>
        <v>2.8199999999999994</v>
      </c>
      <c r="U167" s="942">
        <f t="shared" si="23"/>
        <v>1.5121596331570408</v>
      </c>
      <c r="V167" s="988"/>
      <c r="W167" s="942">
        <f>'[4]Tinh lun M1'!E10</f>
        <v>0.18099999999999999</v>
      </c>
      <c r="X167" s="943">
        <f t="shared" si="18"/>
        <v>1.6406991104287671</v>
      </c>
      <c r="Y167" s="944">
        <f t="shared" si="24"/>
        <v>57.386699999999998</v>
      </c>
      <c r="Z167" s="943">
        <f t="shared" si="19"/>
        <v>2.8590232761750847E-2</v>
      </c>
      <c r="AA167" s="945">
        <f t="shared" si="25"/>
        <v>544.67999999999995</v>
      </c>
      <c r="AB167" s="945">
        <f t="shared" si="26"/>
        <v>0.13</v>
      </c>
    </row>
    <row r="168" spans="1:28" ht="14.5" customHeight="1" thickBot="1">
      <c r="A168"/>
      <c r="B168" s="923">
        <f>(1-SQRT(1-2*B166))</f>
        <v>1.1947151498823194E-2</v>
      </c>
      <c r="E168" s="998"/>
      <c r="F168" s="998"/>
      <c r="G168" s="990"/>
      <c r="H168" s="990"/>
      <c r="I168" s="990"/>
      <c r="J168" s="990"/>
      <c r="K168" s="990"/>
      <c r="S168" s="330">
        <v>8</v>
      </c>
      <c r="T168" s="942">
        <f t="shared" si="22"/>
        <v>3.2899999999999991</v>
      </c>
      <c r="U168" s="942">
        <f t="shared" si="23"/>
        <v>1.7641862386832141</v>
      </c>
      <c r="V168" s="988"/>
      <c r="W168" s="942">
        <f>'[4]Tinh lun M1'!E11</f>
        <v>0.13800000000000001</v>
      </c>
      <c r="X168" s="943">
        <f t="shared" si="18"/>
        <v>1.2509197637523197</v>
      </c>
      <c r="Y168" s="944">
        <f t="shared" si="24"/>
        <v>63.999599999999994</v>
      </c>
      <c r="Z168" s="943">
        <f t="shared" si="19"/>
        <v>1.9545743469526682E-2</v>
      </c>
      <c r="AA168" s="945">
        <f t="shared" si="25"/>
        <v>544.67999999999995</v>
      </c>
      <c r="AB168" s="945">
        <f t="shared" si="26"/>
        <v>0.1</v>
      </c>
    </row>
    <row r="169" spans="1:28" ht="19" thickBot="1">
      <c r="A169" s="822" t="s">
        <v>258</v>
      </c>
      <c r="B169" s="924">
        <f>B168*0.9*$H$22*$B$167*$B$156/$H$31</f>
        <v>3.7585525273306714E-4</v>
      </c>
      <c r="C169" s="892">
        <f>B169*10^4</f>
        <v>3.7585525273306715</v>
      </c>
      <c r="D169" s="822" t="s">
        <v>534</v>
      </c>
      <c r="E169" s="990"/>
      <c r="F169" s="990"/>
      <c r="G169" s="967" t="s">
        <v>1347</v>
      </c>
      <c r="H169" s="967" t="s">
        <v>1347</v>
      </c>
      <c r="I169" s="967"/>
      <c r="J169" s="967" t="s">
        <v>1347</v>
      </c>
      <c r="K169" s="967" t="s">
        <v>631</v>
      </c>
      <c r="S169" s="330">
        <v>9</v>
      </c>
      <c r="T169" s="942">
        <f t="shared" si="22"/>
        <v>3.7599999999999989</v>
      </c>
      <c r="U169" s="942">
        <f t="shared" si="23"/>
        <v>2.0162128442093876</v>
      </c>
      <c r="V169" s="988"/>
      <c r="W169" s="942">
        <f>'[4]Tinh lun M1'!E12</f>
        <v>0.11</v>
      </c>
      <c r="X169" s="943">
        <f t="shared" si="18"/>
        <v>0.9971099566141679</v>
      </c>
      <c r="Y169" s="944">
        <f t="shared" si="24"/>
        <v>71.557199999999995</v>
      </c>
      <c r="Z169" s="943">
        <f t="shared" si="19"/>
        <v>1.3934446241806108E-2</v>
      </c>
      <c r="AA169" s="945">
        <f t="shared" si="25"/>
        <v>544.67999999999995</v>
      </c>
      <c r="AB169" s="945">
        <f t="shared" si="26"/>
        <v>0.08</v>
      </c>
    </row>
    <row r="170" spans="1:28" ht="17" thickBot="1">
      <c r="B170" s="822">
        <v>8</v>
      </c>
      <c r="C170" s="822">
        <v>12</v>
      </c>
      <c r="D170" s="822">
        <f>(B167-0.1)/(B170-1)*1000</f>
        <v>199.99999999999997</v>
      </c>
      <c r="E170" s="890">
        <v>4</v>
      </c>
      <c r="F170" s="967">
        <v>1</v>
      </c>
      <c r="G170" s="968">
        <f>K161</f>
        <v>9.064635969219708</v>
      </c>
      <c r="H170" s="989">
        <f>G170+G171</f>
        <v>17.132161981825249</v>
      </c>
      <c r="I170" s="991">
        <v>0.8</v>
      </c>
      <c r="J170" s="991">
        <f>$M$43</f>
        <v>544.67999999999995</v>
      </c>
      <c r="K170" s="989">
        <f>I170/J170*H170*1.5*100</f>
        <v>3.7744353341760859</v>
      </c>
      <c r="M170" s="822">
        <f>0.8/11420*336.99*1.5</f>
        <v>3.5410507880910685E-2</v>
      </c>
      <c r="N170" s="822">
        <f>+M170*100</f>
        <v>3.5410507880910687</v>
      </c>
      <c r="S170" s="330">
        <v>10</v>
      </c>
      <c r="T170" s="942">
        <f t="shared" si="22"/>
        <v>4.2299999999999986</v>
      </c>
      <c r="U170" s="942">
        <f t="shared" si="23"/>
        <v>2.2682394497355611</v>
      </c>
      <c r="V170" s="988"/>
      <c r="W170" s="942">
        <f>'[4]Tinh lun M1'!E13</f>
        <v>8.7999999999999995E-2</v>
      </c>
      <c r="X170" s="943">
        <f t="shared" si="18"/>
        <v>0.79768796529133423</v>
      </c>
      <c r="Y170" s="944">
        <f t="shared" si="24"/>
        <v>80.059499999999986</v>
      </c>
      <c r="Z170" s="943">
        <f t="shared" si="19"/>
        <v>9.9636890723940868E-3</v>
      </c>
      <c r="AA170" s="945">
        <f t="shared" si="25"/>
        <v>544.67999999999995</v>
      </c>
      <c r="AB170" s="945">
        <f t="shared" si="26"/>
        <v>0.06</v>
      </c>
    </row>
    <row r="171" spans="1:28" ht="17" thickBot="1">
      <c r="C171" s="892">
        <f>B170*(C170/10)^2/4*3.14</f>
        <v>9.0432000000000006</v>
      </c>
      <c r="D171" s="822" t="s">
        <v>534</v>
      </c>
      <c r="E171" s="890">
        <v>4</v>
      </c>
      <c r="F171" s="967">
        <v>2</v>
      </c>
      <c r="G171" s="969">
        <f>K162</f>
        <v>8.0675260126055406</v>
      </c>
      <c r="H171" s="990"/>
      <c r="I171" s="990"/>
      <c r="J171" s="990"/>
      <c r="K171" s="990"/>
      <c r="S171" s="330">
        <v>11</v>
      </c>
      <c r="T171" s="942">
        <f t="shared" si="22"/>
        <v>4.6999999999999984</v>
      </c>
      <c r="U171" s="942">
        <f t="shared" si="23"/>
        <v>2.5202660552617342</v>
      </c>
      <c r="V171" s="988"/>
      <c r="W171" s="942">
        <f>'[4]Tinh lun M1'!E14</f>
        <v>7.4999999999999997E-2</v>
      </c>
      <c r="X171" s="943">
        <f t="shared" si="18"/>
        <v>0.67984769769147813</v>
      </c>
      <c r="Y171" s="944">
        <f t="shared" si="24"/>
        <v>89.506499999999988</v>
      </c>
      <c r="Z171" s="943">
        <f t="shared" si="19"/>
        <v>7.5955120319918462E-3</v>
      </c>
      <c r="AA171" s="945">
        <f t="shared" si="25"/>
        <v>544.67999999999995</v>
      </c>
      <c r="AB171" s="945">
        <f t="shared" si="26"/>
        <v>0.05</v>
      </c>
    </row>
    <row r="172" spans="1:28" ht="17" thickBot="1">
      <c r="B172" s="908">
        <f>B164/(0.9*B167*B156)</f>
        <v>7.7489492455418407</v>
      </c>
      <c r="C172" s="822">
        <v>1.2999999999999999E-2</v>
      </c>
      <c r="E172" s="890">
        <v>4</v>
      </c>
      <c r="F172" s="967">
        <v>2</v>
      </c>
      <c r="G172" s="969">
        <f>G171</f>
        <v>8.0675260126055406</v>
      </c>
      <c r="H172" s="989">
        <f>G172+G173</f>
        <v>14.412771191059335</v>
      </c>
      <c r="I172" s="991">
        <v>0.8</v>
      </c>
      <c r="J172" s="991">
        <f t="shared" ref="J172" si="27">$M$43</f>
        <v>544.67999999999995</v>
      </c>
      <c r="K172" s="989">
        <f t="shared" ref="K172" si="28">I172/J172*H172*1.5*100</f>
        <v>3.1753186144655956</v>
      </c>
      <c r="S172" s="330">
        <v>12</v>
      </c>
      <c r="T172" s="942">
        <f t="shared" si="22"/>
        <v>5.1699999999999982</v>
      </c>
      <c r="U172" s="942">
        <f t="shared" si="23"/>
        <v>2.7722926607879077</v>
      </c>
      <c r="V172" s="988"/>
      <c r="W172" s="942">
        <f>'[4]Tinh lun M1'!E15</f>
        <v>6.3E-2</v>
      </c>
      <c r="X172" s="943">
        <f t="shared" si="18"/>
        <v>0.5710720660608416</v>
      </c>
      <c r="Y172" s="944">
        <f t="shared" si="24"/>
        <v>99.898199999999989</v>
      </c>
      <c r="Z172" s="943">
        <f t="shared" si="19"/>
        <v>5.7165400984286168E-3</v>
      </c>
      <c r="AA172" s="945">
        <f t="shared" si="25"/>
        <v>544.67999999999995</v>
      </c>
      <c r="AB172" s="945">
        <f t="shared" si="26"/>
        <v>0.04</v>
      </c>
    </row>
    <row r="173" spans="1:28" ht="17" thickBot="1">
      <c r="C173" s="822">
        <f>(1-SQRT(1-2*C172))/2</f>
        <v>6.5428083409869164E-3</v>
      </c>
      <c r="E173" s="890">
        <v>4</v>
      </c>
      <c r="F173" s="967">
        <v>3</v>
      </c>
      <c r="G173" s="969">
        <f>K163</f>
        <v>6.3452451784537951</v>
      </c>
      <c r="H173" s="990"/>
      <c r="I173" s="990"/>
      <c r="J173" s="990"/>
      <c r="K173" s="990"/>
      <c r="S173" s="7"/>
      <c r="T173" s="7"/>
      <c r="U173" s="7"/>
      <c r="V173" s="7"/>
      <c r="W173" s="7"/>
      <c r="X173" s="7"/>
      <c r="Y173" s="7"/>
      <c r="Z173" s="7"/>
      <c r="AA173" s="941" t="s">
        <v>1471</v>
      </c>
      <c r="AB173" s="946">
        <f>SUM(AB162:AB172)</f>
        <v>2.38</v>
      </c>
    </row>
    <row r="174" spans="1:28" ht="17" thickBot="1">
      <c r="E174" s="890">
        <v>4</v>
      </c>
      <c r="F174" s="967">
        <v>3</v>
      </c>
      <c r="G174" s="969">
        <f>G173</f>
        <v>6.3452451784537951</v>
      </c>
      <c r="H174" s="989">
        <f>G174+G175</f>
        <v>10.968209522755846</v>
      </c>
      <c r="I174" s="991">
        <v>0.8</v>
      </c>
      <c r="J174" s="991">
        <f t="shared" ref="J174" si="29">$M$43</f>
        <v>544.67999999999995</v>
      </c>
      <c r="K174" s="989">
        <f t="shared" ref="K174" si="30">I174/J174*H174*1.5*100</f>
        <v>2.4164374361656416</v>
      </c>
      <c r="R174" s="822" t="s">
        <v>1473</v>
      </c>
      <c r="S174" s="822">
        <f>S172</f>
        <v>12</v>
      </c>
      <c r="AA174" s="7"/>
      <c r="AB174" s="7"/>
    </row>
    <row r="175" spans="1:28" ht="17" thickBot="1">
      <c r="E175" s="890">
        <v>4</v>
      </c>
      <c r="F175" s="967">
        <v>4</v>
      </c>
      <c r="G175" s="968">
        <f>K164</f>
        <v>4.6229643443020514</v>
      </c>
      <c r="H175" s="990"/>
      <c r="I175" s="990"/>
      <c r="J175" s="990"/>
      <c r="K175" s="990"/>
      <c r="R175" s="822" t="s">
        <v>1243</v>
      </c>
      <c r="S175" s="935">
        <f>+T172</f>
        <v>5.1699999999999982</v>
      </c>
    </row>
    <row r="176" spans="1:28" ht="17" thickBot="1">
      <c r="A176" s="823" t="s">
        <v>1445</v>
      </c>
      <c r="E176" s="992" t="s">
        <v>1432</v>
      </c>
      <c r="F176" s="993"/>
      <c r="G176" s="993"/>
      <c r="H176" s="993"/>
      <c r="I176" s="993"/>
      <c r="J176" s="994"/>
      <c r="K176" s="968">
        <f>SUM(K170:K175)</f>
        <v>9.3661913848073226</v>
      </c>
      <c r="R176" s="822" t="s">
        <v>1474</v>
      </c>
      <c r="S176" s="822">
        <f>AB173</f>
        <v>2.38</v>
      </c>
    </row>
    <row r="180" spans="1:5">
      <c r="C180" s="822">
        <v>7.0000000000000007E-2</v>
      </c>
    </row>
    <row r="181" spans="1:5">
      <c r="C181" s="822">
        <f>0.5*(1+SQRT(1-2*C180))</f>
        <v>0.96368092477478517</v>
      </c>
      <c r="E181" s="822">
        <v>7.0000000000000007E-2</v>
      </c>
    </row>
    <row r="182" spans="1:5">
      <c r="E182" s="822">
        <f>1-SQRT(1-2*E181)</f>
        <v>7.263815045042965E-2</v>
      </c>
    </row>
    <row r="183" spans="1:5" ht="33">
      <c r="A183" s="893" t="s">
        <v>1446</v>
      </c>
      <c r="E183" s="822">
        <f>+E182*0.9*1.45*320*140/36.5</f>
        <v>116.34840624476492</v>
      </c>
    </row>
    <row r="184" spans="1:5">
      <c r="A184" s="822" t="s">
        <v>1447</v>
      </c>
      <c r="B184" s="822">
        <f>B54*0.207</f>
        <v>2.0699999999999998</v>
      </c>
      <c r="C184" s="822" t="s">
        <v>6</v>
      </c>
    </row>
    <row r="185" spans="1:5">
      <c r="A185" s="822" t="s">
        <v>225</v>
      </c>
      <c r="B185" s="822">
        <f>1.2*2.5*D39*D40</f>
        <v>0.26999999999999996</v>
      </c>
      <c r="C185" s="822" t="s">
        <v>843</v>
      </c>
    </row>
    <row r="186" spans="1:5">
      <c r="A186" s="822" t="s">
        <v>806</v>
      </c>
      <c r="B186" s="892">
        <f>0.0214*B185*B54^2</f>
        <v>0.57779999999999998</v>
      </c>
    </row>
    <row r="188" spans="1:5" ht="13.5" customHeight="1">
      <c r="A188" s="893" t="s">
        <v>1448</v>
      </c>
    </row>
    <row r="189" spans="1:5">
      <c r="A189" s="822" t="s">
        <v>1449</v>
      </c>
      <c r="B189" s="892">
        <f>0.068*B185*B54^2</f>
        <v>1.8359999999999999</v>
      </c>
    </row>
    <row r="191" spans="1:5">
      <c r="A191"/>
      <c r="B191" s="892">
        <f>1.2*B189/(H22*B192*B193^2)</f>
        <v>6.9476372924648769E-2</v>
      </c>
    </row>
    <row r="192" spans="1:5">
      <c r="A192" s="822" t="s">
        <v>241</v>
      </c>
      <c r="B192" s="822">
        <f>D39</f>
        <v>0.3</v>
      </c>
    </row>
    <row r="193" spans="1:4">
      <c r="A193" s="822" t="s">
        <v>514</v>
      </c>
      <c r="B193" s="822">
        <f>B192-0.03</f>
        <v>0.27</v>
      </c>
    </row>
    <row r="194" spans="1:4">
      <c r="A194"/>
      <c r="B194" s="822">
        <f>1-SQRT(1-2*B191)</f>
        <v>7.2073680645546867E-2</v>
      </c>
    </row>
    <row r="195" spans="1:4">
      <c r="A195"/>
      <c r="B195" s="822">
        <f>ROUND(1-0.5*B194,2)</f>
        <v>0.96</v>
      </c>
    </row>
    <row r="196" spans="1:4">
      <c r="A196" s="822" t="s">
        <v>258</v>
      </c>
      <c r="B196" s="892">
        <f>1.2*B189/(H31*B195*B193)</f>
        <v>3.0357142857142855E-4</v>
      </c>
      <c r="C196" s="892">
        <f>B196*10^4</f>
        <v>3.0357142857142856</v>
      </c>
    </row>
    <row r="197" spans="1:4">
      <c r="B197" s="822">
        <f>B41</f>
        <v>4</v>
      </c>
      <c r="C197" s="822">
        <f>D41</f>
        <v>16</v>
      </c>
    </row>
    <row r="198" spans="1:4">
      <c r="C198" s="892">
        <f>B197*(C197/10)^2/4*3.14</f>
        <v>8.0384000000000011</v>
      </c>
      <c r="D198" s="822" t="s">
        <v>534</v>
      </c>
    </row>
    <row r="200" spans="1:4" ht="16.5">
      <c r="A200" s="893" t="s">
        <v>1450</v>
      </c>
    </row>
    <row r="201" spans="1:4">
      <c r="A201" s="822" t="s">
        <v>628</v>
      </c>
      <c r="B201" s="822">
        <f>B185*B54/2</f>
        <v>1.3499999999999999</v>
      </c>
      <c r="C201" s="822" t="s">
        <v>670</v>
      </c>
    </row>
    <row r="202" spans="1:4">
      <c r="A202" s="822" t="s">
        <v>258</v>
      </c>
      <c r="B202" s="822">
        <f>1.2*B201/H31</f>
        <v>5.7857142857142855E-5</v>
      </c>
      <c r="C202" s="892">
        <f>B202*10^4</f>
        <v>0.57857142857142851</v>
      </c>
    </row>
    <row r="203" spans="1:4">
      <c r="B203" s="822">
        <v>1</v>
      </c>
      <c r="C203" s="822">
        <v>16</v>
      </c>
      <c r="D203" s="822">
        <f>(B200-0.1)/B203*1000</f>
        <v>-100</v>
      </c>
    </row>
    <row r="204" spans="1:4">
      <c r="C204" s="892">
        <f>B203*(C203/10)^2/4*3.14</f>
        <v>2.0096000000000003</v>
      </c>
      <c r="D204" s="822" t="s">
        <v>534</v>
      </c>
    </row>
  </sheetData>
  <mergeCells count="56">
    <mergeCell ref="Q107:Q108"/>
    <mergeCell ref="R107:R108"/>
    <mergeCell ref="S107:S108"/>
    <mergeCell ref="T107:T108"/>
    <mergeCell ref="U107:U108"/>
    <mergeCell ref="V107:Y107"/>
    <mergeCell ref="U58:U59"/>
    <mergeCell ref="V58:V59"/>
    <mergeCell ref="W58:W59"/>
    <mergeCell ref="Z58:Z59"/>
    <mergeCell ref="U56:AB56"/>
    <mergeCell ref="E39:E42"/>
    <mergeCell ref="K58:K59"/>
    <mergeCell ref="L58:L59"/>
    <mergeCell ref="M58:M59"/>
    <mergeCell ref="P58:P59"/>
    <mergeCell ref="K39:K42"/>
    <mergeCell ref="L39:L42"/>
    <mergeCell ref="M39:M42"/>
    <mergeCell ref="F39:F42"/>
    <mergeCell ref="G39:G42"/>
    <mergeCell ref="H39:H42"/>
    <mergeCell ref="I39:I42"/>
    <mergeCell ref="J39:J42"/>
    <mergeCell ref="E149:E150"/>
    <mergeCell ref="E155:G155"/>
    <mergeCell ref="E158:E160"/>
    <mergeCell ref="F158:F160"/>
    <mergeCell ref="G158:G159"/>
    <mergeCell ref="M158:M160"/>
    <mergeCell ref="E167:E169"/>
    <mergeCell ref="F167:F169"/>
    <mergeCell ref="G167:G168"/>
    <mergeCell ref="H167:H168"/>
    <mergeCell ref="I167:I168"/>
    <mergeCell ref="J167:J168"/>
    <mergeCell ref="K167:K168"/>
    <mergeCell ref="H158:H160"/>
    <mergeCell ref="I158:I160"/>
    <mergeCell ref="J158:J160"/>
    <mergeCell ref="K158:K159"/>
    <mergeCell ref="L158:L159"/>
    <mergeCell ref="E176:J176"/>
    <mergeCell ref="H170:H171"/>
    <mergeCell ref="I170:I171"/>
    <mergeCell ref="J170:J171"/>
    <mergeCell ref="K170:K171"/>
    <mergeCell ref="H172:H173"/>
    <mergeCell ref="I172:I173"/>
    <mergeCell ref="J172:J173"/>
    <mergeCell ref="K172:K173"/>
    <mergeCell ref="V161:V172"/>
    <mergeCell ref="H174:H175"/>
    <mergeCell ref="I174:I175"/>
    <mergeCell ref="J174:J175"/>
    <mergeCell ref="K174:K175"/>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F9B26-8544-4811-8852-D64707B35977}">
  <sheetPr codeName="Sheet6"/>
  <dimension ref="A1:AB204"/>
  <sheetViews>
    <sheetView topLeftCell="A47" zoomScaleNormal="100" workbookViewId="0">
      <selection activeCell="B76" sqref="B76"/>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13" width="9.08203125" style="822"/>
    <col min="14" max="14" width="10.6640625" style="822" bestFit="1" customWidth="1"/>
    <col min="15" max="16384" width="9.08203125" style="822"/>
  </cols>
  <sheetData>
    <row r="1" spans="1:9">
      <c r="A1" s="822" t="str">
        <f>IF([2]TH!A1&lt;&gt;"",[2]TH!A1,"")</f>
        <v>Ngày thực hiện luận văn</v>
      </c>
      <c r="B1" s="822" t="str">
        <f>IF([2]TH!B1&lt;&gt;"",[2]TH!B1,"")</f>
        <v>ngày 02 tháng 07 năm 2020</v>
      </c>
      <c r="C1" s="822" t="str">
        <f>IF([2]TH!C1&lt;&gt;"",[2]TH!C1,"")</f>
        <v/>
      </c>
      <c r="D1" s="822" t="str">
        <f>IF([2]TH!D1&lt;&gt;"",[2]TH!D1,"")</f>
        <v/>
      </c>
      <c r="E1" s="822" t="str">
        <f>IF([2]TH!E1&lt;&gt;"",[2]TH!E1,"")</f>
        <v/>
      </c>
      <c r="F1" s="822" t="str">
        <f>IF([2]TH!F1&lt;&gt;"",[2]TH!F1,"")</f>
        <v/>
      </c>
      <c r="G1" s="822" t="str">
        <f>IF([2]TH!G1&lt;&gt;"",[2]TH!G1,"")</f>
        <v/>
      </c>
      <c r="H1" s="822" t="str">
        <f>IF([2]TH!H1&lt;&gt;"",[2]TH!H1,"")</f>
        <v/>
      </c>
      <c r="I1" s="822" t="str">
        <f>IF([2]TH!I1&lt;&gt;"",[2]TH!I1,"")</f>
        <v/>
      </c>
    </row>
    <row r="2" spans="1:9">
      <c r="A2" s="822" t="str">
        <f>IF([2]TH!A2&lt;&gt;"",[2]TH!A2,"")</f>
        <v>Tên công trình:</v>
      </c>
      <c r="B2" s="822" t="str">
        <f>IF([2]TH!B2&lt;&gt;"",[2]TH!B2,"")</f>
        <v>Trụ Sở Làm Việc Xã Tân Ân -Huyện Ngọc Hiển-Tỉnh Cà Mau</v>
      </c>
      <c r="C2" s="822" t="str">
        <f>IF([2]TH!C2&lt;&gt;"",[2]TH!C2,"")</f>
        <v/>
      </c>
      <c r="D2" s="822" t="str">
        <f>IF([2]TH!D2&lt;&gt;"",[2]TH!D2,"")</f>
        <v/>
      </c>
      <c r="E2" s="822" t="str">
        <f>IF([2]TH!E2&lt;&gt;"",[2]TH!E2,"")</f>
        <v/>
      </c>
      <c r="F2" s="822" t="str">
        <f>IF([2]TH!F2&lt;&gt;"",[2]TH!F2,"")</f>
        <v/>
      </c>
      <c r="G2" s="822" t="str">
        <f>IF([2]TH!G2&lt;&gt;"",[2]TH!G2,"")</f>
        <v/>
      </c>
      <c r="H2" s="822" t="str">
        <f>IF([2]TH!H2&lt;&gt;"",[2]TH!H2,"")</f>
        <v/>
      </c>
      <c r="I2" s="822" t="str">
        <f>IF([2]TH!I2&lt;&gt;"",[2]TH!I2,"")</f>
        <v/>
      </c>
    </row>
    <row r="3" spans="1:9">
      <c r="A3" s="822" t="str">
        <f>IF([2]TH!A3&lt;&gt;"",[2]TH!A3,"")</f>
        <v>Địa điểm:</v>
      </c>
      <c r="B3" s="822" t="str">
        <f>IF([2]TH!B3&lt;&gt;"",[2]TH!B3,"")</f>
        <v>Xã Tân Ân -Huyện Ngọc Hiển-Tỉnh Cà Mau</v>
      </c>
      <c r="C3" s="822" t="str">
        <f>IF([2]TH!C3&lt;&gt;"",[2]TH!C3,"")</f>
        <v/>
      </c>
      <c r="D3" s="822" t="str">
        <f>IF([2]TH!D3&lt;&gt;"",[2]TH!D3,"")</f>
        <v/>
      </c>
      <c r="E3" s="822" t="str">
        <f>IF([2]TH!E3&lt;&gt;"",[2]TH!E3,"")</f>
        <v/>
      </c>
      <c r="F3" s="822" t="str">
        <f>IF([2]TH!F3&lt;&gt;"",[2]TH!F3,"")</f>
        <v/>
      </c>
      <c r="G3" s="822" t="str">
        <f>IF([2]TH!G3&lt;&gt;"",[2]TH!G3,"")</f>
        <v/>
      </c>
      <c r="H3" s="822" t="str">
        <f>IF([2]TH!H3&lt;&gt;"",[2]TH!H3,"")</f>
        <v/>
      </c>
      <c r="I3" s="822" t="str">
        <f>IF([2]TH!I3&lt;&gt;"",[2]TH!I3,"")</f>
        <v/>
      </c>
    </row>
    <row r="4" spans="1:9">
      <c r="A4" s="822" t="str">
        <f>IF([2]TH!A4&lt;&gt;"",[2]TH!A4,"")</f>
        <v>Đặc điểm công trình:</v>
      </c>
      <c r="B4" s="822" t="str">
        <f>IF([2]TH!B4&lt;&gt;"",[2]TH!B4,"")</f>
        <v>1 tầng trệt, 2 tầng lầu</v>
      </c>
      <c r="C4" s="822" t="str">
        <f>IF([2]TH!C4&lt;&gt;"",[2]TH!C4,"")</f>
        <v/>
      </c>
      <c r="D4" s="822" t="str">
        <f>IF([2]TH!D4&lt;&gt;"",[2]TH!D4,"")</f>
        <v/>
      </c>
      <c r="E4" s="822" t="str">
        <f>IF([2]TH!E4&lt;&gt;"",[2]TH!E4,"")</f>
        <v/>
      </c>
      <c r="F4" s="822" t="str">
        <f>IF([2]TH!F4&lt;&gt;"",[2]TH!F4,"")</f>
        <v/>
      </c>
      <c r="G4" s="822" t="str">
        <f>IF([2]TH!G4&lt;&gt;"",[2]TH!G4,"")</f>
        <v/>
      </c>
      <c r="H4" s="822" t="str">
        <f>IF([2]TH!H4&lt;&gt;"",[2]TH!H4,"")</f>
        <v/>
      </c>
      <c r="I4" s="822" t="str">
        <f>IF([2]TH!I4&lt;&gt;"",[2]TH!I4,"")</f>
        <v/>
      </c>
    </row>
    <row r="5" spans="1:9">
      <c r="A5" s="822" t="str">
        <f>IF([2]TH!A5&lt;&gt;"",[2]TH!A5,"")</f>
        <v>Cấp công trình</v>
      </c>
      <c r="B5" s="822">
        <f>IF([2]TH!B5&lt;&gt;"",[2]TH!B5,"")</f>
        <v>5000</v>
      </c>
      <c r="C5" s="822" t="str">
        <f>IF([2]TH!C5&lt;&gt;"",[2]TH!C5,"")</f>
        <v/>
      </c>
      <c r="D5" s="822" t="str">
        <f>IF([2]TH!D5&lt;&gt;"",[2]TH!D5,"")</f>
        <v/>
      </c>
      <c r="E5" s="822" t="str">
        <f>IF([2]TH!E5&lt;&gt;"",[2]TH!E5,"")</f>
        <v/>
      </c>
      <c r="F5" s="822" t="str">
        <f>IF([2]TH!F5&lt;&gt;"",[2]TH!F5,"")</f>
        <v/>
      </c>
      <c r="G5" s="822" t="str">
        <f>IF([2]TH!G5&lt;&gt;"",[2]TH!G5,"")</f>
        <v/>
      </c>
      <c r="H5" s="822" t="str">
        <f>IF([2]TH!H5&lt;&gt;"",[2]TH!H5,"")</f>
        <v/>
      </c>
      <c r="I5" s="822" t="str">
        <f>IF([2]TH!I5&lt;&gt;"",[2]TH!I5,"")</f>
        <v/>
      </c>
    </row>
    <row r="6" spans="1:9">
      <c r="A6" s="822" t="str">
        <f>IF([2]TH!A6&lt;&gt;"",[2]TH!A6,"")</f>
        <v>Số tầng:</v>
      </c>
      <c r="B6" s="822">
        <f>IF([2]TH!B6&lt;&gt;"",[2]TH!B6,"")</f>
        <v>4</v>
      </c>
      <c r="C6" s="822" t="str">
        <f>IF([2]TH!C6&lt;&gt;"",[2]TH!C6,"")</f>
        <v>tầng</v>
      </c>
      <c r="D6" s="822" t="str">
        <f>IF([2]TH!D6&lt;&gt;"",[2]TH!D6,"")</f>
        <v/>
      </c>
      <c r="E6" s="822" t="str">
        <f>IF([2]TH!E6&lt;&gt;"",[2]TH!E6,"")</f>
        <v/>
      </c>
      <c r="F6" s="822" t="str">
        <f>IF([2]TH!F6&lt;&gt;"",[2]TH!F6,"")</f>
        <v/>
      </c>
      <c r="G6" s="822" t="str">
        <f>IF([2]TH!G6&lt;&gt;"",[2]TH!G6,"")</f>
        <v/>
      </c>
      <c r="H6" s="822" t="str">
        <f>IF([2]TH!H6&lt;&gt;"",[2]TH!H6,"")</f>
        <v/>
      </c>
      <c r="I6" s="822" t="str">
        <f>IF([2]TH!I6&lt;&gt;"",[2]TH!I6,"")</f>
        <v/>
      </c>
    </row>
    <row r="7" spans="1:9">
      <c r="A7" s="822" t="str">
        <f>IF([2]TH!A7&lt;&gt;"",[2]TH!A7,"")</f>
        <v>Diện tích xây dựng</v>
      </c>
      <c r="B7" s="822">
        <f>IF([2]TH!B7&lt;&gt;"",[2]TH!B7,"")</f>
        <v>435.7</v>
      </c>
      <c r="C7" s="822" t="str">
        <f>IF([2]TH!C7&lt;&gt;"",[2]TH!C7,"")</f>
        <v>m2</v>
      </c>
      <c r="D7" s="822" t="str">
        <f>IF([2]TH!D7&lt;&gt;"",[2]TH!D7,"")</f>
        <v/>
      </c>
      <c r="E7" s="822" t="str">
        <f>IF([2]TH!E7&lt;&gt;"",[2]TH!E7,"")</f>
        <v/>
      </c>
      <c r="F7" s="822" t="str">
        <f>IF([2]TH!F7&lt;&gt;"",[2]TH!F7,"")</f>
        <v/>
      </c>
      <c r="G7" s="822" t="str">
        <f>IF([2]TH!G7&lt;&gt;"",[2]TH!G7,"")</f>
        <v/>
      </c>
      <c r="H7" s="822" t="str">
        <f>IF([2]TH!H7&lt;&gt;"",[2]TH!H7,"")</f>
        <v/>
      </c>
      <c r="I7" s="822" t="str">
        <f>IF([2]TH!I7&lt;&gt;"",[2]TH!I7,"")</f>
        <v/>
      </c>
    </row>
    <row r="8" spans="1:9">
      <c r="A8" s="822" t="str">
        <f>IF([2]TH!A8&lt;&gt;"",[2]TH!A8,"")</f>
        <v xml:space="preserve">Tổng diện tích </v>
      </c>
      <c r="B8" s="822">
        <f>IF([2]TH!B8&lt;&gt;"",[2]TH!B8,"")</f>
        <v>814.3</v>
      </c>
      <c r="C8" s="822" t="str">
        <f>IF([2]TH!C8&lt;&gt;"",[2]TH!C8,"")</f>
        <v>m2</v>
      </c>
      <c r="D8" s="822" t="str">
        <f>IF([2]TH!D8&lt;&gt;"",[2]TH!D8,"")</f>
        <v/>
      </c>
      <c r="E8" s="822" t="str">
        <f>IF([2]TH!E8&lt;&gt;"",[2]TH!E8,"")</f>
        <v/>
      </c>
      <c r="F8" s="822" t="str">
        <f>IF([2]TH!F8&lt;&gt;"",[2]TH!F8,"")</f>
        <v/>
      </c>
      <c r="G8" s="822" t="str">
        <f>IF([2]TH!G8&lt;&gt;"",[2]TH!G8,"")</f>
        <v/>
      </c>
      <c r="H8" s="822" t="str">
        <f>IF([2]TH!H8&lt;&gt;"",[2]TH!H8,"")</f>
        <v/>
      </c>
      <c r="I8" s="822" t="str">
        <f>IF([2]TH!I8&lt;&gt;"",[2]TH!I8,"")</f>
        <v/>
      </c>
    </row>
    <row r="9" spans="1:9">
      <c r="A9" s="822" t="str">
        <f>IF([2]TH!A9&lt;&gt;"",[2]TH!A9,"")</f>
        <v>Trong đó:</v>
      </c>
      <c r="B9" s="822" t="str">
        <f>IF([2]TH!B9&lt;&gt;"",[2]TH!B9,"")</f>
        <v>tầng trệt: S=435,7 m², lầu 1: S=378,6 m²</v>
      </c>
      <c r="C9" s="822" t="str">
        <f>IF([2]TH!C9&lt;&gt;"",[2]TH!C9,"")</f>
        <v/>
      </c>
      <c r="D9" s="822" t="str">
        <f>IF([2]TH!D9&lt;&gt;"",[2]TH!D9,"")</f>
        <v/>
      </c>
      <c r="E9" s="822" t="str">
        <f>IF([2]TH!E9&lt;&gt;"",[2]TH!E9,"")</f>
        <v/>
      </c>
      <c r="F9" s="822" t="str">
        <f>IF([2]TH!F9&lt;&gt;"",[2]TH!F9,"")</f>
        <v/>
      </c>
      <c r="G9" s="822" t="str">
        <f>IF([2]TH!G9&lt;&gt;"",[2]TH!G9,"")</f>
        <v/>
      </c>
      <c r="H9" s="822" t="str">
        <f>IF([2]TH!H9&lt;&gt;"",[2]TH!H9,"")</f>
        <v/>
      </c>
      <c r="I9" s="822" t="str">
        <f>IF([2]TH!I9&lt;&gt;"",[2]TH!I9,"")</f>
        <v/>
      </c>
    </row>
    <row r="10" spans="1:9">
      <c r="A10" s="822" t="str">
        <f>IF([2]TH!A10&lt;&gt;"",[2]TH!A10,"")</f>
        <v>Chiều cao nèn từ tầng trệt:</v>
      </c>
      <c r="B10" s="822" t="str">
        <f>IF([2]TH!B10&lt;&gt;"",[2]TH!B10,"")</f>
        <v/>
      </c>
      <c r="C10" s="822" t="str">
        <f>IF([2]TH!C10&lt;&gt;"",[2]TH!C10,"")</f>
        <v/>
      </c>
      <c r="D10" s="822" t="str">
        <f>IF([2]TH!D10&lt;&gt;"",[2]TH!D10,"")</f>
        <v/>
      </c>
      <c r="E10" s="822" t="str">
        <f>IF([2]TH!E10&lt;&gt;"",[2]TH!E10,"")</f>
        <v/>
      </c>
      <c r="F10" s="822" t="str">
        <f>IF([2]TH!F10&lt;&gt;"",[2]TH!F10,"")</f>
        <v/>
      </c>
      <c r="G10" s="822" t="str">
        <f>IF([2]TH!G10&lt;&gt;"",[2]TH!G10,"")</f>
        <v/>
      </c>
      <c r="H10" s="822" t="str">
        <f>IF([2]TH!H10&lt;&gt;"",[2]TH!H10,"")</f>
        <v/>
      </c>
      <c r="I10" s="822" t="str">
        <f>IF([2]TH!I10&lt;&gt;"",[2]TH!I10,"")</f>
        <v/>
      </c>
    </row>
    <row r="11" spans="1:9">
      <c r="A11" s="822" t="str">
        <f>IF([2]TH!A11&lt;&gt;"",[2]TH!A11,"")</f>
        <v>Cao độ mỗi tầng:</v>
      </c>
      <c r="B11" s="822" t="str">
        <f>IF([2]TH!B11&lt;&gt;"",[2]TH!B11,"")</f>
        <v/>
      </c>
      <c r="C11" s="822" t="str">
        <f>IF([2]TH!C11&lt;&gt;"",[2]TH!C11,"")</f>
        <v/>
      </c>
      <c r="D11" s="822" t="str">
        <f>IF([2]TH!D11&lt;&gt;"",[2]TH!D11,"")</f>
        <v/>
      </c>
      <c r="E11" s="822" t="str">
        <f>IF([2]TH!E11&lt;&gt;"",[2]TH!E11,"")</f>
        <v/>
      </c>
      <c r="F11" s="822" t="str">
        <f>IF([2]TH!F11&lt;&gt;"",[2]TH!F11,"")</f>
        <v/>
      </c>
      <c r="G11" s="822" t="str">
        <f>IF([2]TH!G11&lt;&gt;"",[2]TH!G11,"")</f>
        <v/>
      </c>
      <c r="H11" s="822" t="str">
        <f>IF([2]TH!H11&lt;&gt;"",[2]TH!H11,"")</f>
        <v/>
      </c>
      <c r="I11" s="822" t="str">
        <f>IF([2]TH!I11&lt;&gt;"",[2]TH!I11,"")</f>
        <v/>
      </c>
    </row>
    <row r="12" spans="1:9">
      <c r="A12" s="822" t="str">
        <f>IF([2]TH!A12&lt;&gt;"",[2]TH!A12,"")</f>
        <v>Tầng trệt</v>
      </c>
      <c r="B12" s="822">
        <f>IF([2]TH!B12&lt;&gt;"",[2]TH!B12,"")</f>
        <v>2.85</v>
      </c>
      <c r="C12" s="822" t="str">
        <f>IF([2]TH!C12&lt;&gt;"",[2]TH!C12,"")</f>
        <v>m</v>
      </c>
      <c r="D12" s="822" t="str">
        <f>IF([2]TH!D12&lt;&gt;"",[2]TH!D12,"")</f>
        <v/>
      </c>
      <c r="E12" s="822" t="str">
        <f>IF([2]TH!E12&lt;&gt;"",[2]TH!E12,"")</f>
        <v/>
      </c>
      <c r="F12" s="822" t="str">
        <f>IF([2]TH!F12&lt;&gt;"",[2]TH!F12,"")</f>
        <v/>
      </c>
      <c r="G12" s="822" t="str">
        <f>IF([2]TH!G12&lt;&gt;"",[2]TH!G12,"")</f>
        <v/>
      </c>
      <c r="H12" s="822" t="str">
        <f>IF([2]TH!H12&lt;&gt;"",[2]TH!H12,"")</f>
        <v/>
      </c>
      <c r="I12" s="822" t="str">
        <f>IF([2]TH!I12&lt;&gt;"",[2]TH!I12,"")</f>
        <v/>
      </c>
    </row>
    <row r="13" spans="1:9">
      <c r="A13" s="822" t="str">
        <f>IF([2]TH!A13&lt;&gt;"",[2]TH!A13,"")</f>
        <v>Tầng 1</v>
      </c>
      <c r="B13" s="822">
        <f>IF([2]TH!B13&lt;&gt;"",[2]TH!B13,"")</f>
        <v>3.6</v>
      </c>
      <c r="C13" s="822" t="str">
        <f>IF([2]TH!C13&lt;&gt;"",[2]TH!C13,"")</f>
        <v>m</v>
      </c>
      <c r="D13" s="822" t="str">
        <f>IF([2]TH!D13&lt;&gt;"",[2]TH!D13,"")</f>
        <v/>
      </c>
      <c r="E13" s="822" t="str">
        <f>IF([2]TH!E13&lt;&gt;"",[2]TH!E13,"")</f>
        <v/>
      </c>
      <c r="F13" s="822" t="str">
        <f>IF([2]TH!F13&lt;&gt;"",[2]TH!F13,"")</f>
        <v/>
      </c>
      <c r="G13" s="822" t="str">
        <f>IF([2]TH!G13&lt;&gt;"",[2]TH!G13,"")</f>
        <v/>
      </c>
      <c r="H13" s="822" t="str">
        <f>IF([2]TH!H13&lt;&gt;"",[2]TH!H13,"")</f>
        <v/>
      </c>
      <c r="I13" s="822" t="str">
        <f>IF([2]TH!I13&lt;&gt;"",[2]TH!I13,"")</f>
        <v/>
      </c>
    </row>
    <row r="14" spans="1:9">
      <c r="A14" s="822" t="str">
        <f>IF([2]TH!A14&lt;&gt;"",[2]TH!A14,"")</f>
        <v>Tầng 2</v>
      </c>
      <c r="B14" s="822">
        <f>IF([2]TH!B14&lt;&gt;"",[2]TH!B14,"")</f>
        <v>6.45</v>
      </c>
      <c r="C14" s="822" t="str">
        <f>IF([2]TH!C14&lt;&gt;"",[2]TH!C14,"")</f>
        <v>m</v>
      </c>
      <c r="D14" s="822" t="str">
        <f>IF([2]TH!D14&lt;&gt;"",[2]TH!D14,"")</f>
        <v/>
      </c>
      <c r="E14" s="822" t="str">
        <f>IF([2]TH!E14&lt;&gt;"",[2]TH!E14,"")</f>
        <v/>
      </c>
      <c r="F14" s="822" t="str">
        <f>IF([2]TH!F14&lt;&gt;"",[2]TH!F14,"")</f>
        <v/>
      </c>
      <c r="G14" s="822" t="str">
        <f>IF([2]TH!G14&lt;&gt;"",[2]TH!G14,"")</f>
        <v/>
      </c>
      <c r="H14" s="822" t="str">
        <f>IF([2]TH!H14&lt;&gt;"",[2]TH!H14,"")</f>
        <v/>
      </c>
      <c r="I14" s="822" t="str">
        <f>IF([2]TH!I14&lt;&gt;"",[2]TH!I14,"")</f>
        <v/>
      </c>
    </row>
    <row r="15" spans="1:9">
      <c r="A15" s="822" t="str">
        <f>IF([2]TH!A15&lt;&gt;"",[2]TH!A15,"")</f>
        <v>Mái</v>
      </c>
      <c r="B15" s="822">
        <f>IF([2]TH!B15&lt;&gt;"",[2]TH!B15,"")</f>
        <v>13.35</v>
      </c>
      <c r="C15" s="822" t="str">
        <f>IF([2]TH!C15&lt;&gt;"",[2]TH!C15,"")</f>
        <v>m</v>
      </c>
      <c r="D15" s="822" t="str">
        <f>IF([2]TH!D15&lt;&gt;"",[2]TH!D15,"")</f>
        <v/>
      </c>
      <c r="E15" s="822" t="str">
        <f>IF([2]TH!E15&lt;&gt;"",[2]TH!E15,"")</f>
        <v/>
      </c>
      <c r="F15" s="822" t="str">
        <f>IF([2]TH!F15&lt;&gt;"",[2]TH!F15,"")</f>
        <v/>
      </c>
      <c r="G15" s="822" t="str">
        <f>IF([2]TH!G15&lt;&gt;"",[2]TH!G15,"")</f>
        <v/>
      </c>
      <c r="H15" s="822" t="str">
        <f>IF([2]TH!H15&lt;&gt;"",[2]TH!H15,"")</f>
        <v/>
      </c>
      <c r="I15" s="822" t="str">
        <f>IF([2]TH!I15&lt;&gt;"",[2]TH!I15,"")</f>
        <v/>
      </c>
    </row>
    <row r="16" spans="1:9">
      <c r="A16" s="822" t="str">
        <f>IF([2]TH!A16&lt;&gt;"",[2]TH!A16,"")</f>
        <v>Chiều cao công trình</v>
      </c>
      <c r="B16" s="822">
        <f>IF([2]TH!B16&lt;&gt;"",[2]TH!B16,"")</f>
        <v>13.35</v>
      </c>
      <c r="C16" s="822" t="str">
        <f>IF([2]TH!C16&lt;&gt;"",[2]TH!C16,"")</f>
        <v>m</v>
      </c>
      <c r="D16" s="822" t="str">
        <f>IF([2]TH!D16&lt;&gt;"",[2]TH!D16,"")</f>
        <v/>
      </c>
      <c r="E16" s="822" t="str">
        <f>IF([2]TH!E16&lt;&gt;"",[2]TH!E16,"")</f>
        <v/>
      </c>
      <c r="F16" s="822" t="str">
        <f>IF([2]TH!F16&lt;&gt;"",[2]TH!F16,"")</f>
        <v/>
      </c>
      <c r="G16" s="822" t="str">
        <f>IF([2]TH!G16&lt;&gt;"",[2]TH!G16,"")</f>
        <v/>
      </c>
      <c r="H16" s="822" t="str">
        <f>IF([2]TH!H16&lt;&gt;"",[2]TH!H16,"")</f>
        <v/>
      </c>
      <c r="I16" s="822" t="str">
        <f>IF([2]TH!I16&lt;&gt;"",[2]TH!I16,"")</f>
        <v/>
      </c>
    </row>
    <row r="17" spans="1:9">
      <c r="A17" s="822" t="str">
        <f>IF([2]TH!A17&lt;&gt;"",[2]TH!A17,"")</f>
        <v>Sàn lầu 1</v>
      </c>
      <c r="B17" s="822">
        <f>IF([2]TH!B17&lt;&gt;"",[2]TH!B17,"")</f>
        <v>3.6</v>
      </c>
      <c r="C17" s="822" t="str">
        <f>IF([2]TH!C17&lt;&gt;"",[2]TH!C17,"")</f>
        <v>m</v>
      </c>
      <c r="D17" s="822" t="str">
        <f>IF([2]TH!D17&lt;&gt;"",[2]TH!D17,"")</f>
        <v/>
      </c>
      <c r="E17" s="822" t="str">
        <f>IF([2]TH!E17&lt;&gt;"",[2]TH!E17,"")</f>
        <v/>
      </c>
      <c r="F17" s="822" t="str">
        <f>IF([2]TH!F17&lt;&gt;"",[2]TH!F17,"")</f>
        <v/>
      </c>
      <c r="G17" s="822" t="str">
        <f>IF([2]TH!G17&lt;&gt;"",[2]TH!G17,"")</f>
        <v/>
      </c>
      <c r="H17" s="822" t="str">
        <f>IF([2]TH!H17&lt;&gt;"",[2]TH!H17,"")</f>
        <v/>
      </c>
      <c r="I17" s="822" t="str">
        <f>IF([2]TH!I17&lt;&gt;"",[2]TH!I17,"")</f>
        <v/>
      </c>
    </row>
    <row r="18" spans="1:9">
      <c r="A18" s="822" t="str">
        <f>IF([2]TH!A18&lt;&gt;"",[2]TH!A18,"")</f>
        <v>Trần lầu 2</v>
      </c>
      <c r="B18" s="822">
        <f>IF([2]TH!B18&lt;&gt;"",[2]TH!B18,"")</f>
        <v>3.6</v>
      </c>
      <c r="C18" s="822" t="str">
        <f>IF([2]TH!C18&lt;&gt;"",[2]TH!C18,"")</f>
        <v>m</v>
      </c>
      <c r="D18" s="822" t="str">
        <f>IF([2]TH!D18&lt;&gt;"",[2]TH!D18,"")</f>
        <v/>
      </c>
      <c r="E18" s="822" t="str">
        <f>IF([2]TH!E18&lt;&gt;"",[2]TH!E18,"")</f>
        <v/>
      </c>
      <c r="F18" s="822" t="str">
        <f>IF([2]TH!F18&lt;&gt;"",[2]TH!F18,"")</f>
        <v/>
      </c>
      <c r="G18" s="822" t="str">
        <f>IF([2]TH!G18&lt;&gt;"",[2]TH!G18,"")</f>
        <v/>
      </c>
      <c r="H18" s="822" t="str">
        <f>IF([2]TH!H18&lt;&gt;"",[2]TH!H18,"")</f>
        <v/>
      </c>
      <c r="I18" s="822" t="str">
        <f>IF([2]TH!I18&lt;&gt;"",[2]TH!I18,"")</f>
        <v/>
      </c>
    </row>
    <row r="19" spans="1:9">
      <c r="A19" s="822" t="str">
        <f>IF([2]TH!A19&lt;&gt;"",[2]TH!A19,"")</f>
        <v>mái</v>
      </c>
      <c r="B19" s="822">
        <f>IF([2]TH!B19&lt;&gt;"",[2]TH!B19,"")</f>
        <v>3.3</v>
      </c>
      <c r="C19" s="822" t="str">
        <f>IF([2]TH!C19&lt;&gt;"",[2]TH!C19,"")</f>
        <v>m</v>
      </c>
      <c r="D19" s="822" t="str">
        <f>IF([2]TH!D19&lt;&gt;"",[2]TH!D19,"")</f>
        <v/>
      </c>
      <c r="E19" s="822" t="str">
        <f>IF([2]TH!E19&lt;&gt;"",[2]TH!E19,"")</f>
        <v/>
      </c>
      <c r="F19" s="822" t="str">
        <f>IF([2]TH!F19&lt;&gt;"",[2]TH!F19,"")</f>
        <v/>
      </c>
      <c r="G19" s="822" t="str">
        <f>IF([2]TH!G19&lt;&gt;"",[2]TH!G19,"")</f>
        <v/>
      </c>
      <c r="H19" s="822" t="str">
        <f>IF([2]TH!H19&lt;&gt;"",[2]TH!H19,"")</f>
        <v/>
      </c>
      <c r="I19" s="822" t="str">
        <f>IF([2]TH!I19&lt;&gt;"",[2]TH!I19,"")</f>
        <v/>
      </c>
    </row>
    <row r="20" spans="1:9">
      <c r="A20" s="822" t="str">
        <f>IF([2]TH!A20&lt;&gt;"",[2]TH!A20,"")</f>
        <v>BÊ TÔNG:</v>
      </c>
      <c r="B20" s="822" t="str">
        <f>IF([2]TH!B20&lt;&gt;"",[2]TH!B20,"")</f>
        <v/>
      </c>
      <c r="C20" s="822" t="str">
        <f>IF([2]TH!C20&lt;&gt;"",[2]TH!C20,"")</f>
        <v/>
      </c>
      <c r="D20" s="822" t="str">
        <f>IF([2]TH!D20&lt;&gt;"",[2]TH!D20,"")</f>
        <v/>
      </c>
      <c r="E20" s="822" t="str">
        <f>IF([2]TH!E20&lt;&gt;"",[2]TH!E20,"")</f>
        <v/>
      </c>
      <c r="F20" s="822" t="str">
        <f>IF([2]TH!F20&lt;&gt;"",[2]TH!F20,"")</f>
        <v/>
      </c>
      <c r="G20" s="822" t="str">
        <f>IF([2]TH!G20&lt;&gt;"",[2]TH!G20,"")</f>
        <v/>
      </c>
      <c r="H20" s="822" t="str">
        <f>IF([2]TH!H20&lt;&gt;"",[2]TH!H20,"")</f>
        <v/>
      </c>
      <c r="I20" s="822" t="str">
        <f>IF([2]TH!I20&lt;&gt;"",[2]TH!I20,"")</f>
        <v/>
      </c>
    </row>
    <row r="21" spans="1:9">
      <c r="A21" s="822" t="str">
        <f>IF([2]TH!A21&lt;&gt;"",[2]TH!A21,"")</f>
        <v>Cấp độ bền</v>
      </c>
      <c r="B21" s="822" t="s">
        <v>83</v>
      </c>
      <c r="C21" s="822">
        <v>25</v>
      </c>
      <c r="D21" s="822" t="str">
        <f>IF([2]TH!D21&lt;&gt;"",[2]TH!D21,"")</f>
        <v/>
      </c>
      <c r="E21" s="822" t="str">
        <f>IF([2]TH!E21&lt;&gt;"",[2]TH!E21,"")</f>
        <v/>
      </c>
      <c r="F21" s="822" t="str">
        <f>IF([2]TH!F21&lt;&gt;"",[2]TH!F21,"")</f>
        <v/>
      </c>
      <c r="G21" s="822" t="str">
        <f>IF([2]TH!G21&lt;&gt;"",[2]TH!G21,"")</f>
        <v/>
      </c>
      <c r="H21" s="822" t="str">
        <f>IF([2]TH!H21&lt;&gt;"",[2]TH!H21,"")</f>
        <v/>
      </c>
      <c r="I21" s="822" t="str">
        <f>IF([2]TH!I21&lt;&gt;"",[2]TH!I21,"")</f>
        <v/>
      </c>
    </row>
    <row r="22" spans="1:9">
      <c r="A22" s="822" t="str">
        <f>IF([2]TH!A22&lt;&gt;"",[2]TH!A22,"")</f>
        <v>Cường độ tính toán chịu nén</v>
      </c>
      <c r="B22" s="822">
        <v>14.5</v>
      </c>
      <c r="C22" s="822" t="str">
        <f>IF([2]TH!C22&lt;&gt;"",[2]TH!C22,"")</f>
        <v>Mpa</v>
      </c>
      <c r="D22" s="822">
        <f>IF([2]TH!D22&lt;&gt;"",[2]TH!D22,"")</f>
        <v>850</v>
      </c>
      <c r="E22" s="822" t="str">
        <f>IF([2]TH!E22&lt;&gt;"",[2]TH!E22,"")</f>
        <v/>
      </c>
      <c r="F22" s="822" t="str">
        <f>IF([2]TH!F22&lt;&gt;"",[2]TH!F22,"")</f>
        <v/>
      </c>
      <c r="G22" s="822" t="str">
        <f>IF([2]TH!G22&lt;&gt;"",[2]TH!G22,"")</f>
        <v/>
      </c>
      <c r="H22" s="822">
        <f>B22*100</f>
        <v>1450</v>
      </c>
      <c r="I22" s="822" t="str">
        <f>IF([2]TH!I22&lt;&gt;"",[2]TH!I22,"")</f>
        <v>T/m2</v>
      </c>
    </row>
    <row r="23" spans="1:9">
      <c r="A23" s="822" t="str">
        <f>IF([2]TH!A23&lt;&gt;"",[2]TH!A23,"")</f>
        <v>Cường độ tính toán chịu kéo</v>
      </c>
      <c r="B23" s="822">
        <f>IF([2]TH!B23&lt;&gt;"",[2]TH!B23,"")</f>
        <v>0.75</v>
      </c>
      <c r="C23" s="822" t="str">
        <f>IF([2]TH!C23&lt;&gt;"",[2]TH!C23,"")</f>
        <v>Mpa</v>
      </c>
      <c r="D23" s="822">
        <f>IF([2]TH!D23&lt;&gt;"",[2]TH!D23,"")</f>
        <v>75</v>
      </c>
      <c r="E23" s="822" t="str">
        <f>IF([2]TH!E23&lt;&gt;"",[2]TH!E23,"")</f>
        <v/>
      </c>
      <c r="F23" s="822" t="str">
        <f>IF([2]TH!F23&lt;&gt;"",[2]TH!F23,"")</f>
        <v/>
      </c>
      <c r="G23" s="822" t="str">
        <f>IF([2]TH!G23&lt;&gt;"",[2]TH!G23,"")</f>
        <v/>
      </c>
      <c r="H23" s="822">
        <f t="shared" ref="H23:H24" si="0">B23*100</f>
        <v>75</v>
      </c>
      <c r="I23" s="822" t="str">
        <f>IF([2]TH!I23&lt;&gt;"",[2]TH!I23,"")</f>
        <v>T/m2</v>
      </c>
    </row>
    <row r="24" spans="1:9">
      <c r="A24" s="822" t="str">
        <f>IF([2]TH!A24&lt;&gt;"",[2]TH!A24,"")</f>
        <v>Modul đàn hồi</v>
      </c>
      <c r="B24" s="822">
        <f>IF([2]TH!B24&lt;&gt;"",[2]TH!B24,"")</f>
        <v>23000</v>
      </c>
      <c r="C24" s="822" t="str">
        <f>IF([2]TH!C24&lt;&gt;"",[2]TH!C24,"")</f>
        <v>Mpa</v>
      </c>
      <c r="D24" s="822">
        <f>IF([2]TH!D24&lt;&gt;"",[2]TH!D24,"")</f>
        <v>2300000</v>
      </c>
      <c r="E24" s="822" t="str">
        <f>IF([2]TH!E24&lt;&gt;"",[2]TH!E24,"")</f>
        <v/>
      </c>
      <c r="F24" s="822" t="str">
        <f>IF([2]TH!F24&lt;&gt;"",[2]TH!F24,"")</f>
        <v/>
      </c>
      <c r="G24" s="822" t="str">
        <f>IF([2]TH!G24&lt;&gt;"",[2]TH!G24,"")</f>
        <v/>
      </c>
      <c r="H24" s="822">
        <f t="shared" si="0"/>
        <v>2300000</v>
      </c>
      <c r="I24" s="822" t="str">
        <f>IF([2]TH!I24&lt;&gt;"",[2]TH!I24,"")</f>
        <v>T/m2</v>
      </c>
    </row>
    <row r="25" spans="1:9">
      <c r="A25" s="822" t="str">
        <f>IF([2]TH!A25&lt;&gt;"",[2]TH!A25,"")</f>
        <v>Cốt thép</v>
      </c>
      <c r="B25" s="822" t="str">
        <f>IF([2]TH!B25&lt;&gt;"",[2]TH!B25,"")</f>
        <v/>
      </c>
      <c r="C25" s="822" t="str">
        <f>IF([2]TH!C25&lt;&gt;"",[2]TH!C25,"")</f>
        <v/>
      </c>
      <c r="D25" s="822" t="str">
        <f>IF([2]TH!D25&lt;&gt;"",[2]TH!D25,"")</f>
        <v/>
      </c>
      <c r="E25" s="822" t="str">
        <f>IF([2]TH!E25&lt;&gt;"",[2]TH!E25,"")</f>
        <v/>
      </c>
      <c r="F25" s="822" t="str">
        <f>IF([2]TH!F25&lt;&gt;"",[2]TH!F25,"")</f>
        <v/>
      </c>
      <c r="G25" s="822" t="str">
        <f>IF([2]TH!G25&lt;&gt;"",[2]TH!G25,"")</f>
        <v/>
      </c>
      <c r="H25" s="822" t="str">
        <f>IF([2]TH!H25&lt;&gt;"",[2]TH!H25,"")</f>
        <v/>
      </c>
      <c r="I25" s="822" t="str">
        <f>IF([2]TH!I25&lt;&gt;"",[2]TH!I25,"")</f>
        <v/>
      </c>
    </row>
    <row r="26" spans="1:9">
      <c r="A26" s="822" t="str">
        <f>IF([2]TH!A26&lt;&gt;"",[2]TH!A26,"")</f>
        <v>Loại thép</v>
      </c>
      <c r="B26" s="822" t="str">
        <f>IF([2]TH!B26&lt;&gt;"",[2]TH!B26,"")</f>
        <v>CI (AI)</v>
      </c>
      <c r="C26" s="822" t="str">
        <f>IF([2]TH!C26&lt;&gt;"",[2]TH!C26,"")</f>
        <v/>
      </c>
      <c r="D26" s="822" t="str">
        <f>IF([2]TH!D26&lt;&gt;"",[2]TH!D26,"")</f>
        <v/>
      </c>
      <c r="E26" s="822" t="str">
        <f>IF([2]TH!E26&lt;&gt;"",[2]TH!E26,"")</f>
        <v/>
      </c>
      <c r="F26" s="822" t="str">
        <f>IF([2]TH!F26&lt;&gt;"",[2]TH!F26,"")</f>
        <v xml:space="preserve">CB300-T </v>
      </c>
      <c r="G26" s="822" t="str">
        <f>IF([2]TH!G26&lt;&gt;"",[2]TH!G26,"")</f>
        <v/>
      </c>
      <c r="H26" s="822" t="str">
        <f>IF([2]TH!H26&lt;&gt;"",[2]TH!H26,"")</f>
        <v/>
      </c>
      <c r="I26" s="822" t="str">
        <f>IF([2]TH!I26&lt;&gt;"",[2]TH!I26,"")</f>
        <v/>
      </c>
    </row>
    <row r="27" spans="1:9">
      <c r="A27" s="822" t="str">
        <f>IF([2]TH!A27&lt;&gt;"",[2]TH!A27,"")</f>
        <v>Cường độ tính toán chịu nén, kéo</v>
      </c>
      <c r="B27" s="822">
        <f>IF([2]TH!B27&lt;&gt;"",[2]TH!B27,"")</f>
        <v>225</v>
      </c>
      <c r="C27" s="822" t="str">
        <f>IF([2]TH!C27&lt;&gt;"",[2]TH!C27,"")</f>
        <v>Mpa</v>
      </c>
      <c r="D27" s="822">
        <f>IF([2]TH!D27&lt;&gt;"",[2]TH!D27,"")</f>
        <v>2250</v>
      </c>
      <c r="E27" s="822" t="str">
        <f>IF([2]TH!E27&lt;&gt;"",[2]TH!E27,"")</f>
        <v/>
      </c>
      <c r="F27" s="822">
        <f>IF([2]TH!F27&lt;&gt;"",[2]TH!F27,"")</f>
        <v>260</v>
      </c>
      <c r="G27" s="822" t="str">
        <f>IF([2]TH!G27&lt;&gt;"",[2]TH!G27,"")</f>
        <v>Mpa</v>
      </c>
      <c r="H27" s="822">
        <f>IF([2]TH!H27&lt;&gt;"",[2]TH!H27,"")</f>
        <v>22500</v>
      </c>
      <c r="I27" s="822" t="str">
        <f>IF([2]TH!I27&lt;&gt;"",[2]TH!I27,"")</f>
        <v>T/m2</v>
      </c>
    </row>
    <row r="28" spans="1:9">
      <c r="A28" s="822" t="str">
        <f>IF([2]TH!A28&lt;&gt;"",[2]TH!A28,"")</f>
        <v>Cường độ tính toán chịu kéo cho cốt đai</v>
      </c>
      <c r="B28" s="822">
        <f>IF([2]TH!B28&lt;&gt;"",[2]TH!B28,"")</f>
        <v>175</v>
      </c>
      <c r="C28" s="822" t="str">
        <f>IF([2]TH!C28&lt;&gt;"",[2]TH!C28,"")</f>
        <v>Mpa</v>
      </c>
      <c r="D28" s="822">
        <f>IF([2]TH!D28&lt;&gt;"",[2]TH!D28,"")</f>
        <v>1750</v>
      </c>
      <c r="E28" s="822" t="str">
        <f>IF([2]TH!E28&lt;&gt;"",[2]TH!E28,"")</f>
        <v/>
      </c>
      <c r="F28" s="822">
        <f>IF([2]TH!F28&lt;&gt;"",[2]TH!F28,"")</f>
        <v>210</v>
      </c>
      <c r="G28" s="822" t="str">
        <f>IF([2]TH!G28&lt;&gt;"",[2]TH!G28,"")</f>
        <v>Mpa</v>
      </c>
      <c r="H28" s="822">
        <f>IF([2]TH!H28&lt;&gt;"",[2]TH!H28,"")</f>
        <v>17500</v>
      </c>
      <c r="I28" s="822" t="str">
        <f>IF([2]TH!I28&lt;&gt;"",[2]TH!I28,"")</f>
        <v>T/m2</v>
      </c>
    </row>
    <row r="29" spans="1:9">
      <c r="A29" s="822" t="str">
        <f>IF([2]TH!A29&lt;&gt;"",[2]TH!A29,"")</f>
        <v>Modul đàn hồi</v>
      </c>
      <c r="B29" s="822">
        <f>IF([2]TH!B29&lt;&gt;"",[2]TH!B29,"")</f>
        <v>210000</v>
      </c>
      <c r="C29" s="822" t="str">
        <f>IF([2]TH!C29&lt;&gt;"",[2]TH!C29,"")</f>
        <v>Mpa</v>
      </c>
      <c r="D29" s="822" t="str">
        <f>IF([2]TH!D29&lt;&gt;"",[2]TH!D29,"")</f>
        <v/>
      </c>
      <c r="E29" s="822" t="str">
        <f>IF([2]TH!E29&lt;&gt;"",[2]TH!E29,"")</f>
        <v/>
      </c>
      <c r="F29" s="822">
        <f>IF([2]TH!F29&lt;&gt;"",[2]TH!F29,"")</f>
        <v>200000</v>
      </c>
      <c r="G29" s="822" t="str">
        <f>IF([2]TH!G29&lt;&gt;"",[2]TH!G29,"")</f>
        <v>Mpa</v>
      </c>
      <c r="H29" s="822">
        <f>IF([2]TH!H29&lt;&gt;"",[2]TH!H29,"")</f>
        <v>21000000</v>
      </c>
      <c r="I29" s="822" t="str">
        <f>IF([2]TH!I29&lt;&gt;"",[2]TH!I29,"")</f>
        <v>T/m2</v>
      </c>
    </row>
    <row r="30" spans="1:9">
      <c r="A30" s="822" t="str">
        <f>IF([2]TH!A30&lt;&gt;"",[2]TH!A30,"")</f>
        <v>Loại thép</v>
      </c>
      <c r="B30" s="822" t="str">
        <f>IF([2]TH!B30&lt;&gt;"",[2]TH!B30,"")</f>
        <v>CII(AII)</v>
      </c>
      <c r="C30" s="822" t="str">
        <f>IF([2]TH!C30&lt;&gt;"",[2]TH!C30,"")</f>
        <v/>
      </c>
      <c r="D30" s="822" t="str">
        <f>IF([2]TH!D30&lt;&gt;"",[2]TH!D30,"")</f>
        <v/>
      </c>
      <c r="E30" s="822" t="str">
        <f>IF([2]TH!E30&lt;&gt;"",[2]TH!E30,"")</f>
        <v/>
      </c>
      <c r="F30" s="822" t="str">
        <f>IF([2]TH!F30&lt;&gt;"",[2]TH!F30,"")</f>
        <v xml:space="preserve">CB300-V </v>
      </c>
      <c r="G30" s="822" t="str">
        <f>IF([2]TH!G30&lt;&gt;"",[2]TH!G30,"")</f>
        <v/>
      </c>
      <c r="H30" s="822" t="str">
        <f>IF([2]TH!H30&lt;&gt;"",[2]TH!H30,"")</f>
        <v/>
      </c>
      <c r="I30" s="822" t="str">
        <f>IF([2]TH!I30&lt;&gt;"",[2]TH!I30,"")</f>
        <v/>
      </c>
    </row>
    <row r="31" spans="1:9">
      <c r="A31" s="822" t="str">
        <f>IF([2]TH!A31&lt;&gt;"",[2]TH!A31,"")</f>
        <v>Cường độ tính toán chịu nén, kéo</v>
      </c>
      <c r="B31" s="822">
        <f>IF([2]TH!B31&lt;&gt;"",[2]TH!B31,"")</f>
        <v>280</v>
      </c>
      <c r="C31" s="822" t="str">
        <f>IF([2]TH!C31&lt;&gt;"",[2]TH!C31,"")</f>
        <v>Mpa</v>
      </c>
      <c r="D31" s="822">
        <f>IF([2]TH!D31&lt;&gt;"",[2]TH!D31,"")</f>
        <v>2800</v>
      </c>
      <c r="E31" s="822" t="str">
        <f>IF([2]TH!E31&lt;&gt;"",[2]TH!E31,"")</f>
        <v/>
      </c>
      <c r="F31" s="822">
        <f>IF([2]TH!F31&lt;&gt;"",[2]TH!F31,"")</f>
        <v>260</v>
      </c>
      <c r="G31" s="822" t="str">
        <f>IF([2]TH!G31&lt;&gt;"",[2]TH!G31,"")</f>
        <v>Mpa</v>
      </c>
      <c r="H31" s="822">
        <f>IF([2]TH!H31&lt;&gt;"",[2]TH!H31,"")</f>
        <v>28000</v>
      </c>
      <c r="I31" s="822" t="str">
        <f>IF([2]TH!I31&lt;&gt;"",[2]TH!I31,"")</f>
        <v>T/m2</v>
      </c>
    </row>
    <row r="32" spans="1:9">
      <c r="A32" s="822" t="str">
        <f>IF([2]TH!A32&lt;&gt;"",[2]TH!A32,"")</f>
        <v>Cường độ tính toán chịu kéo cho cốt đai</v>
      </c>
      <c r="B32" s="822">
        <f>IF([2]TH!B32&lt;&gt;"",[2]TH!B32,"")</f>
        <v>225</v>
      </c>
      <c r="C32" s="822" t="str">
        <f>IF([2]TH!C32&lt;&gt;"",[2]TH!C32,"")</f>
        <v>Mpa</v>
      </c>
      <c r="D32" s="822" t="str">
        <f>IF([2]TH!D32&lt;&gt;"",[2]TH!D32,"")</f>
        <v/>
      </c>
      <c r="E32" s="822" t="str">
        <f>IF([2]TH!E32&lt;&gt;"",[2]TH!E32,"")</f>
        <v/>
      </c>
      <c r="F32" s="822">
        <f>IF([2]TH!F32&lt;&gt;"",[2]TH!F32,"")</f>
        <v>210</v>
      </c>
      <c r="G32" s="822" t="str">
        <f>IF([2]TH!G32&lt;&gt;"",[2]TH!G32,"")</f>
        <v>Mpa</v>
      </c>
      <c r="H32" s="822">
        <f>IF([2]TH!H32&lt;&gt;"",[2]TH!H32,"")</f>
        <v>22500</v>
      </c>
      <c r="I32" s="822" t="str">
        <f>IF([2]TH!I32&lt;&gt;"",[2]TH!I32,"")</f>
        <v>T/m2</v>
      </c>
    </row>
    <row r="33" spans="1:16">
      <c r="A33" s="822" t="str">
        <f>IF([2]TH!A33&lt;&gt;"",[2]TH!A33,"")</f>
        <v>Modul đàn hồi</v>
      </c>
      <c r="B33" s="822">
        <f>IF([2]TH!B33&lt;&gt;"",[2]TH!B33,"")</f>
        <v>210000</v>
      </c>
      <c r="C33" s="822" t="str">
        <f>IF([2]TH!C33&lt;&gt;"",[2]TH!C33,"")</f>
        <v>Mpa</v>
      </c>
      <c r="D33" s="822" t="str">
        <f>IF([2]TH!D33&lt;&gt;"",[2]TH!D33,"")</f>
        <v/>
      </c>
      <c r="E33" s="822" t="str">
        <f>IF([2]TH!E33&lt;&gt;"",[2]TH!E33,"")</f>
        <v/>
      </c>
      <c r="F33" s="822">
        <f>IF([2]TH!F33&lt;&gt;"",[2]TH!F33,"")</f>
        <v>200000</v>
      </c>
      <c r="G33" s="822" t="str">
        <f>IF([2]TH!G33&lt;&gt;"",[2]TH!G33,"")</f>
        <v>Mpa</v>
      </c>
      <c r="H33" s="822">
        <f>IF([2]TH!H33&lt;&gt;"",[2]TH!H33,"")</f>
        <v>21000000</v>
      </c>
      <c r="I33" s="822" t="str">
        <f>IF([2]TH!I33&lt;&gt;"",[2]TH!I33,"")</f>
        <v>T/m2</v>
      </c>
    </row>
    <row r="34" spans="1:16">
      <c r="A34" s="822" t="str">
        <f>IF([2]TH!A34&lt;&gt;"",[2]TH!A34,"")</f>
        <v>Loại thép</v>
      </c>
      <c r="B34" s="822" t="str">
        <f>IF([2]TH!B34&lt;&gt;"",[2]TH!B34,"")</f>
        <v>CIII(AIII)</v>
      </c>
      <c r="C34" s="822" t="str">
        <f>IF([2]TH!C34&lt;&gt;"",[2]TH!C34,"")</f>
        <v/>
      </c>
      <c r="D34" s="822" t="str">
        <f>IF([2]TH!D34&lt;&gt;"",[2]TH!D34,"")</f>
        <v/>
      </c>
      <c r="E34" s="822" t="str">
        <f>IF([2]TH!E34&lt;&gt;"",[2]TH!E34,"")</f>
        <v/>
      </c>
      <c r="F34" s="822" t="str">
        <f>IF([2]TH!F34&lt;&gt;"",[2]TH!F34,"")</f>
        <v xml:space="preserve">CB400-V </v>
      </c>
      <c r="G34" s="822" t="str">
        <f>IF([2]TH!G34&lt;&gt;"",[2]TH!G34,"")</f>
        <v/>
      </c>
      <c r="H34" s="822" t="str">
        <f>IF([2]TH!H34&lt;&gt;"",[2]TH!H34,"")</f>
        <v/>
      </c>
      <c r="I34" s="822" t="str">
        <f>IF([2]TH!I34&lt;&gt;"",[2]TH!I34,"")</f>
        <v/>
      </c>
    </row>
    <row r="35" spans="1:16">
      <c r="A35" s="822" t="str">
        <f>IF([2]TH!A35&lt;&gt;"",[2]TH!A35,"")</f>
        <v>Cường độ tính toán chịu nén, kéo</v>
      </c>
      <c r="B35" s="822">
        <f>IF([2]TH!B35&lt;&gt;"",[2]TH!B35,"")</f>
        <v>365</v>
      </c>
      <c r="C35" s="822" t="str">
        <f>IF([2]TH!C35&lt;&gt;"",[2]TH!C35,"")</f>
        <v>Mpa</v>
      </c>
      <c r="D35" s="822" t="str">
        <f>IF([2]TH!D35&lt;&gt;"",[2]TH!D35,"")</f>
        <v/>
      </c>
      <c r="E35" s="822" t="str">
        <f>IF([2]TH!E35&lt;&gt;"",[2]TH!E35,"")</f>
        <v/>
      </c>
      <c r="F35" s="822">
        <f>IF([2]TH!F35&lt;&gt;"",[2]TH!F35,"")</f>
        <v>350</v>
      </c>
      <c r="G35" s="822" t="str">
        <f>IF([2]TH!G35&lt;&gt;"",[2]TH!G35,"")</f>
        <v>Mpa</v>
      </c>
      <c r="H35" s="822">
        <f>IF([2]TH!H35&lt;&gt;"",[2]TH!H35,"")</f>
        <v>36500</v>
      </c>
      <c r="I35" s="822" t="str">
        <f>IF([2]TH!I35&lt;&gt;"",[2]TH!I35,"")</f>
        <v>T/m2</v>
      </c>
    </row>
    <row r="36" spans="1:16">
      <c r="A36" s="822" t="str">
        <f>IF([2]TH!A36&lt;&gt;"",[2]TH!A36,"")</f>
        <v>Cường độ tính toán chịu kéo cho cốt đai</v>
      </c>
      <c r="B36" s="822">
        <f>IF([2]TH!B36&lt;&gt;"",[2]TH!B36,"")</f>
        <v>290</v>
      </c>
      <c r="C36" s="822" t="str">
        <f>IF([2]TH!C36&lt;&gt;"",[2]TH!C36,"")</f>
        <v>Mpa</v>
      </c>
      <c r="D36" s="822" t="str">
        <f>IF([2]TH!D36&lt;&gt;"",[2]TH!D36,"")</f>
        <v/>
      </c>
      <c r="E36" s="822" t="str">
        <f>IF([2]TH!E36&lt;&gt;"",[2]TH!E36,"")</f>
        <v/>
      </c>
      <c r="F36" s="822">
        <f>IF([2]TH!F36&lt;&gt;"",[2]TH!F36,"")</f>
        <v>280</v>
      </c>
      <c r="G36" s="822" t="str">
        <f>IF([2]TH!G36&lt;&gt;"",[2]TH!G36,"")</f>
        <v>Mpa</v>
      </c>
      <c r="H36" s="822">
        <f>IF([2]TH!H36&lt;&gt;"",[2]TH!H36,"")</f>
        <v>29000</v>
      </c>
      <c r="I36" s="822" t="str">
        <f>IF([2]TH!I36&lt;&gt;"",[2]TH!I36,"")</f>
        <v>T/m2</v>
      </c>
    </row>
    <row r="37" spans="1:16">
      <c r="A37" s="822" t="str">
        <f>IF([2]TH!A37&lt;&gt;"",[2]TH!A37,"")</f>
        <v>Modul đàn hồi</v>
      </c>
      <c r="B37" s="822">
        <f>IF([2]TH!B37&lt;&gt;"",[2]TH!B37,"")</f>
        <v>210000</v>
      </c>
      <c r="C37" s="822" t="str">
        <f>IF([2]TH!C37&lt;&gt;"",[2]TH!C37,"")</f>
        <v>Mpa</v>
      </c>
      <c r="D37" s="822" t="str">
        <f>IF([2]TH!D37&lt;&gt;"",[2]TH!D37,"")</f>
        <v/>
      </c>
      <c r="E37" s="822" t="str">
        <f>IF([2]TH!E37&lt;&gt;"",[2]TH!E37,"")</f>
        <v/>
      </c>
      <c r="F37" s="822">
        <f>IF([2]TH!F37&lt;&gt;"",[2]TH!F37,"")</f>
        <v>200000</v>
      </c>
      <c r="G37" s="822" t="str">
        <f>IF([2]TH!G37&lt;&gt;"",[2]TH!G37,"")</f>
        <v>Mpa</v>
      </c>
      <c r="H37" s="822">
        <f>IF([2]TH!H37&lt;&gt;"",[2]TH!H37,"")</f>
        <v>21000000</v>
      </c>
      <c r="I37" s="822" t="str">
        <f>IF([2]TH!I37&lt;&gt;"",[2]TH!I37,"")</f>
        <v>T/m2</v>
      </c>
    </row>
    <row r="38" spans="1:16" ht="14.5" thickBot="1">
      <c r="A38" s="823" t="s">
        <v>1198</v>
      </c>
    </row>
    <row r="39" spans="1:16">
      <c r="A39" s="822" t="s">
        <v>241</v>
      </c>
      <c r="B39" s="822">
        <v>30</v>
      </c>
      <c r="C39" s="822" t="s">
        <v>631</v>
      </c>
      <c r="D39" s="822">
        <f>B39*0.01</f>
        <v>0.3</v>
      </c>
      <c r="E39" s="1009" t="s">
        <v>1244</v>
      </c>
      <c r="F39" s="1009" t="s">
        <v>1204</v>
      </c>
      <c r="G39" s="1009" t="s">
        <v>1205</v>
      </c>
      <c r="H39" s="1009" t="s">
        <v>1206</v>
      </c>
      <c r="I39" s="1009" t="s">
        <v>1207</v>
      </c>
      <c r="J39" s="1014"/>
      <c r="K39" s="1009" t="s">
        <v>1209</v>
      </c>
      <c r="L39" s="1009" t="s">
        <v>1210</v>
      </c>
      <c r="M39" s="1009" t="s">
        <v>1211</v>
      </c>
    </row>
    <row r="40" spans="1:16">
      <c r="A40" s="822" t="s">
        <v>956</v>
      </c>
      <c r="B40" s="822">
        <v>30</v>
      </c>
      <c r="C40" s="822" t="s">
        <v>631</v>
      </c>
      <c r="D40" s="822">
        <f>B40*0.01</f>
        <v>0.3</v>
      </c>
      <c r="E40" s="1010"/>
      <c r="F40" s="1010"/>
      <c r="G40" s="1010"/>
      <c r="H40" s="1010"/>
      <c r="I40" s="1010"/>
      <c r="J40" s="1015"/>
      <c r="K40" s="1010"/>
      <c r="L40" s="1010"/>
      <c r="M40" s="1010"/>
    </row>
    <row r="41" spans="1:16">
      <c r="A41" s="822" t="s">
        <v>253</v>
      </c>
      <c r="B41" s="822">
        <v>4</v>
      </c>
      <c r="C41" s="822" t="s">
        <v>1199</v>
      </c>
      <c r="D41" s="822">
        <v>16</v>
      </c>
      <c r="E41" s="1010"/>
      <c r="F41" s="1010"/>
      <c r="G41" s="1010"/>
      <c r="H41" s="1010"/>
      <c r="I41" s="1010"/>
      <c r="J41" s="1015"/>
      <c r="K41" s="1010"/>
      <c r="L41" s="1010"/>
      <c r="M41" s="1010"/>
    </row>
    <row r="42" spans="1:16" ht="14.25" customHeight="1" thickBot="1">
      <c r="C42" s="823" t="s">
        <v>1242</v>
      </c>
      <c r="D42" s="823" t="s">
        <v>1243</v>
      </c>
      <c r="E42" s="1011" t="s">
        <v>1244</v>
      </c>
      <c r="F42" s="1011"/>
      <c r="G42" s="1011"/>
      <c r="H42" s="1011"/>
      <c r="I42" s="1011"/>
      <c r="J42" s="1016"/>
      <c r="K42" s="1011"/>
      <c r="L42" s="1011"/>
      <c r="M42" s="1011"/>
    </row>
    <row r="43" spans="1:16">
      <c r="A43" s="822" t="s">
        <v>1200</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1253</v>
      </c>
      <c r="B45" s="886">
        <f>E133</f>
        <v>0.54999999999999993</v>
      </c>
      <c r="C45" s="822" t="s">
        <v>6</v>
      </c>
      <c r="E45" s="823" t="s">
        <v>1326</v>
      </c>
    </row>
    <row r="46" spans="1:16">
      <c r="A46" s="822" t="s">
        <v>1245</v>
      </c>
      <c r="B46" s="822">
        <v>-1.5</v>
      </c>
      <c r="C46" s="822" t="s">
        <v>6</v>
      </c>
      <c r="D46" s="822">
        <f>ABS(B46)</f>
        <v>1.5</v>
      </c>
    </row>
    <row r="47" spans="1:16">
      <c r="A47" s="822" t="s">
        <v>1247</v>
      </c>
      <c r="B47" s="822">
        <f>E43</f>
        <v>10.4</v>
      </c>
      <c r="C47" s="822" t="s">
        <v>6</v>
      </c>
    </row>
    <row r="48" spans="1:16">
      <c r="A48" s="822" t="s">
        <v>1249</v>
      </c>
      <c r="B48" s="822">
        <f>-15.9</f>
        <v>-15.9</v>
      </c>
      <c r="C48" s="822" t="s">
        <v>6</v>
      </c>
    </row>
    <row r="49" spans="1:28">
      <c r="A49" s="822" t="s">
        <v>1248</v>
      </c>
      <c r="B49" s="939">
        <v>4</v>
      </c>
      <c r="C49" s="822" t="s">
        <v>6</v>
      </c>
    </row>
    <row r="50" spans="1:28">
      <c r="A50" s="822" t="s">
        <v>1259</v>
      </c>
      <c r="B50" s="822">
        <v>0.1</v>
      </c>
      <c r="C50" s="822" t="s">
        <v>6</v>
      </c>
      <c r="D50" s="822" t="s">
        <v>1327</v>
      </c>
      <c r="G50" s="822">
        <f>ABS(B46)+ABS(B48)+B49</f>
        <v>21.4</v>
      </c>
      <c r="H50" s="822">
        <f>+G50-B45</f>
        <v>20.849999999999998</v>
      </c>
    </row>
    <row r="51" spans="1:28">
      <c r="A51" s="822" t="s">
        <v>1258</v>
      </c>
      <c r="B51" s="822">
        <f>B49+ABS(B48)</f>
        <v>19.899999999999999</v>
      </c>
      <c r="C51" s="822" t="s">
        <v>6</v>
      </c>
    </row>
    <row r="52" spans="1:28">
      <c r="A52" s="822" t="s">
        <v>1260</v>
      </c>
      <c r="B52" s="822">
        <f>B51+B50</f>
        <v>20</v>
      </c>
    </row>
    <row r="53" spans="1:28">
      <c r="A53" s="822" t="s">
        <v>1250</v>
      </c>
      <c r="B53" s="822">
        <v>2</v>
      </c>
      <c r="C53" s="822" t="s">
        <v>1252</v>
      </c>
    </row>
    <row r="54" spans="1:28">
      <c r="A54" s="822" t="s">
        <v>1251</v>
      </c>
      <c r="B54" s="822">
        <f>B52/B53</f>
        <v>10</v>
      </c>
      <c r="C54" s="822" t="s">
        <v>6</v>
      </c>
    </row>
    <row r="55" spans="1:28">
      <c r="A55" s="823" t="s">
        <v>1254</v>
      </c>
    </row>
    <row r="56" spans="1:28" ht="16.5">
      <c r="A56" s="823" t="s">
        <v>1255</v>
      </c>
      <c r="U56" s="1008" t="s">
        <v>1302</v>
      </c>
      <c r="V56" s="1008"/>
      <c r="W56" s="1008"/>
      <c r="X56" s="1008"/>
      <c r="Y56" s="1008"/>
      <c r="Z56" s="1008"/>
      <c r="AA56" s="1008"/>
      <c r="AB56" s="1008"/>
    </row>
    <row r="57" spans="1:28" ht="17" thickBot="1">
      <c r="A57" s="889" t="s">
        <v>1256</v>
      </c>
      <c r="B57" s="822">
        <f>ROUND(1.028-0.0000288*B58^2-0.0016*B58,3)</f>
        <v>0.30299999999999999</v>
      </c>
    </row>
    <row r="58" spans="1:28" ht="20" customHeight="1" thickBot="1">
      <c r="A58" s="822" t="s">
        <v>1257</v>
      </c>
      <c r="B58" s="822">
        <f>ROUND(B60/D39,3)</f>
        <v>133.333</v>
      </c>
      <c r="K58" s="1012" t="s">
        <v>1338</v>
      </c>
      <c r="L58" s="1012" t="s">
        <v>1337</v>
      </c>
      <c r="M58" s="1012" t="s">
        <v>1336</v>
      </c>
      <c r="N58" s="954" t="s">
        <v>1285</v>
      </c>
      <c r="O58" s="954" t="s">
        <v>1344</v>
      </c>
      <c r="P58" s="1012" t="s">
        <v>1457</v>
      </c>
      <c r="Q58" s="957" t="s">
        <v>1345</v>
      </c>
      <c r="R58" s="954" t="s">
        <v>1346</v>
      </c>
      <c r="U58" s="1012" t="s">
        <v>1338</v>
      </c>
      <c r="V58" s="1012" t="s">
        <v>1337</v>
      </c>
      <c r="W58" s="1012" t="s">
        <v>1336</v>
      </c>
      <c r="X58" s="954" t="s">
        <v>1285</v>
      </c>
      <c r="Y58" s="954" t="s">
        <v>1344</v>
      </c>
      <c r="Z58" s="1012" t="s">
        <v>1457</v>
      </c>
      <c r="AA58" s="957" t="s">
        <v>1345</v>
      </c>
      <c r="AB58" s="954" t="s">
        <v>1346</v>
      </c>
    </row>
    <row r="59" spans="1:28" ht="19" thickBot="1">
      <c r="A59" s="822" t="s">
        <v>1261</v>
      </c>
      <c r="B59" s="822">
        <v>2</v>
      </c>
      <c r="D59" s="822" t="s">
        <v>1343</v>
      </c>
      <c r="K59" s="1013"/>
      <c r="L59" s="1013"/>
      <c r="M59" s="1013"/>
      <c r="N59" s="958" t="s">
        <v>6</v>
      </c>
      <c r="O59" s="958" t="s">
        <v>6</v>
      </c>
      <c r="P59" s="1013"/>
      <c r="Q59" s="959" t="s">
        <v>1347</v>
      </c>
      <c r="R59" s="958" t="s">
        <v>843</v>
      </c>
      <c r="U59" s="1013"/>
      <c r="V59" s="1013"/>
      <c r="W59" s="1013"/>
      <c r="X59" s="958" t="s">
        <v>6</v>
      </c>
      <c r="Y59" s="958" t="s">
        <v>6</v>
      </c>
      <c r="Z59" s="1013"/>
      <c r="AA59" s="959" t="s">
        <v>1347</v>
      </c>
      <c r="AB59" s="958" t="s">
        <v>843</v>
      </c>
    </row>
    <row r="60" spans="1:28" ht="17" thickBot="1">
      <c r="A60" s="822" t="s">
        <v>466</v>
      </c>
      <c r="B60" s="822">
        <f>B59*B52</f>
        <v>40</v>
      </c>
      <c r="C60" s="822" t="s">
        <v>6</v>
      </c>
      <c r="K60" s="890" t="s">
        <v>1330</v>
      </c>
      <c r="L60" s="252" t="s">
        <v>694</v>
      </c>
      <c r="M60" s="252" t="s">
        <v>694</v>
      </c>
      <c r="N60" s="252">
        <v>0</v>
      </c>
      <c r="O60" s="252" t="s">
        <v>694</v>
      </c>
      <c r="P60" s="252" t="s">
        <v>694</v>
      </c>
      <c r="Q60" s="252" t="s">
        <v>694</v>
      </c>
      <c r="R60" s="252" t="s">
        <v>694</v>
      </c>
      <c r="U60" s="890" t="str">
        <f>K60</f>
        <v>đất đắp</v>
      </c>
      <c r="V60" s="890" t="str">
        <f t="shared" ref="V60:AB64" si="2">L60</f>
        <v>-</v>
      </c>
      <c r="W60" s="890" t="str">
        <f t="shared" si="2"/>
        <v>-</v>
      </c>
      <c r="X60" s="890">
        <f t="shared" si="2"/>
        <v>0</v>
      </c>
      <c r="Y60" s="890" t="str">
        <f t="shared" si="2"/>
        <v>-</v>
      </c>
      <c r="Z60" s="890" t="str">
        <f t="shared" si="2"/>
        <v>-</v>
      </c>
      <c r="AA60" s="890" t="str">
        <f t="shared" si="2"/>
        <v>-</v>
      </c>
      <c r="AB60" s="890" t="str">
        <f t="shared" si="2"/>
        <v>-</v>
      </c>
    </row>
    <row r="61" spans="1:28" ht="20" thickBot="1">
      <c r="A61" s="822" t="s">
        <v>1262</v>
      </c>
      <c r="B61" s="822">
        <f>D39*D40</f>
        <v>0.09</v>
      </c>
      <c r="C61" s="822" t="s">
        <v>3</v>
      </c>
      <c r="K61" s="890" t="s">
        <v>1331</v>
      </c>
      <c r="L61" s="252" t="s">
        <v>1292</v>
      </c>
      <c r="M61" s="252" t="s">
        <v>1293</v>
      </c>
      <c r="N61" s="252">
        <f>+O61/2+N60</f>
        <v>5</v>
      </c>
      <c r="O61" s="252">
        <v>10</v>
      </c>
      <c r="P61" s="252">
        <v>1</v>
      </c>
      <c r="Q61" s="252">
        <v>0.8</v>
      </c>
      <c r="R61" s="891">
        <f>Q61*P61*O61</f>
        <v>8</v>
      </c>
      <c r="U61" s="890" t="str">
        <f t="shared" ref="U61:U64" si="3">K61</f>
        <v>lớp 1</v>
      </c>
      <c r="V61" s="890" t="str">
        <f t="shared" si="2"/>
        <v>dẻo mềm</v>
      </c>
      <c r="W61" s="890" t="str">
        <f t="shared" si="2"/>
        <v>Il=0,8</v>
      </c>
      <c r="X61" s="890">
        <f t="shared" si="2"/>
        <v>5</v>
      </c>
      <c r="Y61" s="890">
        <f t="shared" si="2"/>
        <v>10</v>
      </c>
      <c r="Z61" s="890">
        <f t="shared" si="2"/>
        <v>1</v>
      </c>
      <c r="AA61" s="890">
        <f t="shared" si="2"/>
        <v>0.8</v>
      </c>
      <c r="AB61" s="890">
        <f t="shared" si="2"/>
        <v>8</v>
      </c>
    </row>
    <row r="62" spans="1:28" ht="20" thickBot="1">
      <c r="A62" s="822" t="s">
        <v>1264</v>
      </c>
      <c r="B62" s="822">
        <f>ROUND(B41*PI()*(D41/10)^2/4,1)</f>
        <v>8</v>
      </c>
      <c r="C62" s="822" t="s">
        <v>534</v>
      </c>
      <c r="D62" s="822">
        <f>B62/10^4</f>
        <v>8.0000000000000004E-4</v>
      </c>
      <c r="E62" s="822" t="s">
        <v>3</v>
      </c>
      <c r="K62" s="890" t="s">
        <v>1332</v>
      </c>
      <c r="L62" s="252" t="s">
        <v>1292</v>
      </c>
      <c r="M62" s="252" t="s">
        <v>1294</v>
      </c>
      <c r="N62" s="252">
        <f>+N61+O62/2+O61/2</f>
        <v>12.3</v>
      </c>
      <c r="O62" s="252">
        <v>4.5999999999999996</v>
      </c>
      <c r="P62" s="252">
        <v>1</v>
      </c>
      <c r="Q62" s="252">
        <v>1.98</v>
      </c>
      <c r="R62" s="891">
        <f t="shared" ref="R62:R64" si="4">Q62*P62*O62</f>
        <v>9.1079999999999988</v>
      </c>
      <c r="U62" s="890" t="str">
        <f t="shared" si="3"/>
        <v>lớp 2</v>
      </c>
      <c r="V62" s="890" t="str">
        <f t="shared" si="2"/>
        <v>dẻo mềm</v>
      </c>
      <c r="W62" s="890" t="str">
        <f t="shared" si="2"/>
        <v>Il=0,53</v>
      </c>
      <c r="X62" s="890">
        <f t="shared" si="2"/>
        <v>12.3</v>
      </c>
      <c r="Y62" s="890">
        <f t="shared" si="2"/>
        <v>4.5999999999999996</v>
      </c>
      <c r="Z62" s="890">
        <f t="shared" si="2"/>
        <v>1</v>
      </c>
      <c r="AA62" s="890">
        <f t="shared" si="2"/>
        <v>1.98</v>
      </c>
      <c r="AB62" s="890">
        <f t="shared" si="2"/>
        <v>9.1079999999999988</v>
      </c>
    </row>
    <row r="63" spans="1:28" ht="33.5" thickBot="1">
      <c r="A63" s="822" t="s">
        <v>1263</v>
      </c>
      <c r="B63" s="886">
        <f>ROUND(B57*(H22*B61+H31*D62),0)</f>
        <v>46</v>
      </c>
      <c r="C63" s="822" t="s">
        <v>670</v>
      </c>
      <c r="K63" s="890" t="s">
        <v>1333</v>
      </c>
      <c r="L63" s="870" t="s">
        <v>1295</v>
      </c>
      <c r="M63" s="252" t="s">
        <v>1296</v>
      </c>
      <c r="N63" s="252">
        <f t="shared" ref="N63:N64" si="5">+N62+O63/2+O62/2</f>
        <v>15.25</v>
      </c>
      <c r="O63" s="252">
        <v>1.3</v>
      </c>
      <c r="P63" s="252">
        <v>1</v>
      </c>
      <c r="Q63" s="252">
        <v>5.25</v>
      </c>
      <c r="R63" s="891">
        <f t="shared" si="4"/>
        <v>6.8250000000000002</v>
      </c>
      <c r="U63" s="890" t="str">
        <f t="shared" si="3"/>
        <v>lớp 3</v>
      </c>
      <c r="V63" s="890" t="str">
        <f t="shared" si="2"/>
        <v>chặt vừa</v>
      </c>
      <c r="W63" s="890" t="str">
        <f t="shared" si="2"/>
        <v>cát hạt trung</v>
      </c>
      <c r="X63" s="890">
        <f t="shared" si="2"/>
        <v>15.25</v>
      </c>
      <c r="Y63" s="890">
        <f t="shared" si="2"/>
        <v>1.3</v>
      </c>
      <c r="Z63" s="890">
        <f t="shared" si="2"/>
        <v>1</v>
      </c>
      <c r="AA63" s="890">
        <f t="shared" si="2"/>
        <v>5.25</v>
      </c>
      <c r="AB63" s="890">
        <f t="shared" si="2"/>
        <v>6.8250000000000002</v>
      </c>
    </row>
    <row r="64" spans="1:28" ht="20" thickBot="1">
      <c r="A64" s="823" t="s">
        <v>1265</v>
      </c>
      <c r="K64" s="890" t="s">
        <v>1334</v>
      </c>
      <c r="L64" s="870" t="s">
        <v>1297</v>
      </c>
      <c r="M64" s="252" t="s">
        <v>1298</v>
      </c>
      <c r="N64" s="252">
        <f t="shared" si="5"/>
        <v>17.899999999999999</v>
      </c>
      <c r="O64" s="252">
        <f>B49</f>
        <v>4</v>
      </c>
      <c r="P64" s="252">
        <v>1</v>
      </c>
      <c r="Q64" s="252">
        <v>3.1</v>
      </c>
      <c r="R64" s="891">
        <f t="shared" si="4"/>
        <v>12.4</v>
      </c>
      <c r="U64" s="890" t="str">
        <f t="shared" si="3"/>
        <v>lớp 4</v>
      </c>
      <c r="V64" s="890" t="str">
        <f t="shared" si="2"/>
        <v>dẻo thấp</v>
      </c>
      <c r="W64" s="890" t="str">
        <f t="shared" si="2"/>
        <v>Il=0,5</v>
      </c>
      <c r="X64" s="890">
        <f t="shared" si="2"/>
        <v>17.899999999999999</v>
      </c>
      <c r="Y64" s="890">
        <f t="shared" si="2"/>
        <v>4</v>
      </c>
      <c r="Z64" s="890">
        <f t="shared" si="2"/>
        <v>1</v>
      </c>
      <c r="AA64" s="890">
        <f t="shared" si="2"/>
        <v>3.1</v>
      </c>
      <c r="AB64" s="890">
        <f t="shared" si="2"/>
        <v>12.4</v>
      </c>
    </row>
    <row r="65" spans="1:28" ht="17" thickBot="1">
      <c r="A65" s="822" t="s">
        <v>1266</v>
      </c>
      <c r="B65" s="822">
        <v>1</v>
      </c>
      <c r="D65" s="822" t="s">
        <v>1328</v>
      </c>
      <c r="K65" s="890"/>
      <c r="L65" s="870"/>
      <c r="M65" s="252"/>
      <c r="N65" s="252"/>
      <c r="O65" s="252">
        <f>SUM(O61:O64)</f>
        <v>19.899999999999999</v>
      </c>
      <c r="P65" s="252"/>
      <c r="Q65" s="252"/>
      <c r="R65" s="891"/>
      <c r="AA65" s="955" t="s">
        <v>657</v>
      </c>
      <c r="AB65" s="891">
        <f>R67</f>
        <v>36.332999999999998</v>
      </c>
    </row>
    <row r="66" spans="1:28" ht="20" thickBot="1">
      <c r="A66" s="7" t="s">
        <v>1267</v>
      </c>
      <c r="B66" s="822">
        <v>0.9</v>
      </c>
      <c r="K66" s="890"/>
      <c r="L66" s="870"/>
      <c r="M66" s="252"/>
      <c r="N66" s="252"/>
      <c r="O66" s="252"/>
      <c r="P66" s="252"/>
      <c r="Q66" s="252"/>
      <c r="R66" s="891"/>
    </row>
    <row r="67" spans="1:28" ht="17" thickBot="1">
      <c r="A67" s="822" t="s">
        <v>1268</v>
      </c>
      <c r="B67" s="822">
        <v>0.9</v>
      </c>
      <c r="K67" s="528"/>
      <c r="L67" s="528"/>
      <c r="M67" s="528"/>
      <c r="N67" s="528"/>
      <c r="O67" s="528"/>
      <c r="P67" s="528"/>
      <c r="Q67" s="955" t="s">
        <v>657</v>
      </c>
      <c r="R67" s="891">
        <f>SUM(R61:R66)</f>
        <v>36.332999999999998</v>
      </c>
    </row>
    <row r="68" spans="1:28">
      <c r="A68" s="822" t="s">
        <v>1269</v>
      </c>
      <c r="B68" s="822">
        <f>(B39+B40)*2</f>
        <v>120</v>
      </c>
      <c r="C68" s="822" t="s">
        <v>631</v>
      </c>
      <c r="D68" s="822">
        <f>B68/100</f>
        <v>1.2</v>
      </c>
      <c r="E68" s="822" t="s">
        <v>6</v>
      </c>
    </row>
    <row r="69" spans="1:28">
      <c r="A69" s="822" t="s">
        <v>1270</v>
      </c>
      <c r="B69" s="822">
        <f>N70</f>
        <v>184.2</v>
      </c>
      <c r="C69" s="822" t="s">
        <v>731</v>
      </c>
      <c r="D69" s="822">
        <f>B69*B61*B66</f>
        <v>14.920199999999999</v>
      </c>
      <c r="E69" s="822" t="s">
        <v>670</v>
      </c>
      <c r="F69" s="822">
        <f>8.8/0.9/B61</f>
        <v>108.64197530864199</v>
      </c>
      <c r="K69" s="822">
        <v>0.5</v>
      </c>
    </row>
    <row r="70" spans="1:28">
      <c r="A70" s="822" t="s">
        <v>1271</v>
      </c>
      <c r="C70" s="822">
        <v>0.5</v>
      </c>
      <c r="J70" s="822">
        <v>15</v>
      </c>
      <c r="K70" s="822">
        <v>165</v>
      </c>
      <c r="M70" s="822">
        <f>G50</f>
        <v>21.4</v>
      </c>
      <c r="N70" s="822">
        <f>(K71-K70)/(J71-J70)*(M70-J70)+K70</f>
        <v>184.2</v>
      </c>
    </row>
    <row r="71" spans="1:28">
      <c r="A71" s="822" t="s">
        <v>1272</v>
      </c>
      <c r="J71" s="822">
        <v>20</v>
      </c>
      <c r="K71" s="822">
        <v>180</v>
      </c>
    </row>
    <row r="72" spans="1:28" ht="19.5">
      <c r="A72" s="7" t="s">
        <v>1329</v>
      </c>
      <c r="B72" s="822">
        <f>D39*D40</f>
        <v>0.09</v>
      </c>
      <c r="C72" s="822" t="s">
        <v>3</v>
      </c>
    </row>
    <row r="73" spans="1:28">
      <c r="A73" s="822" t="s">
        <v>1339</v>
      </c>
      <c r="B73" s="892">
        <f>B65*(B66*B69*B72+D68*E74)</f>
        <v>58.519799999999996</v>
      </c>
    </row>
    <row r="74" spans="1:28">
      <c r="A74" s="822" t="s">
        <v>1340</v>
      </c>
      <c r="B74" s="892">
        <v>1.55</v>
      </c>
      <c r="D74" s="822" t="s">
        <v>1307</v>
      </c>
      <c r="E74" s="892">
        <f>R67</f>
        <v>36.332999999999998</v>
      </c>
      <c r="F74" s="822" t="s">
        <v>670</v>
      </c>
    </row>
    <row r="75" spans="1:28">
      <c r="A75" s="822" t="s">
        <v>1341</v>
      </c>
      <c r="B75" s="892">
        <f>B73/B74</f>
        <v>37.754709677419349</v>
      </c>
    </row>
    <row r="76" spans="1:28">
      <c r="A76" s="823" t="s">
        <v>1342</v>
      </c>
      <c r="B76" s="931" t="str">
        <f>[3]Locsolieu!$AD$4</f>
        <v>C3</v>
      </c>
      <c r="C76" s="822" t="s">
        <v>445</v>
      </c>
    </row>
    <row r="77" spans="1:28" ht="16.5">
      <c r="A77" s="893" t="s">
        <v>1348</v>
      </c>
      <c r="J77" s="822">
        <v>6.7750000000000004</v>
      </c>
      <c r="K77" s="822">
        <f>+J77+1.5</f>
        <v>8.2750000000000004</v>
      </c>
      <c r="L77" s="822">
        <f>10-K77</f>
        <v>1.7249999999999996</v>
      </c>
    </row>
    <row r="78" spans="1:28">
      <c r="A78" s="822" t="s">
        <v>177</v>
      </c>
      <c r="B78" s="822">
        <v>300</v>
      </c>
      <c r="L78" s="822">
        <f>10-J77</f>
        <v>3.2249999999999996</v>
      </c>
    </row>
    <row r="79" spans="1:28">
      <c r="A79" s="822" t="s">
        <v>628</v>
      </c>
      <c r="B79" s="822">
        <f>I43</f>
        <v>16</v>
      </c>
      <c r="L79" s="822">
        <f>1.5+10/2</f>
        <v>6.5</v>
      </c>
    </row>
    <row r="83" spans="1:13">
      <c r="M83" s="892"/>
    </row>
    <row r="86" spans="1:13">
      <c r="A86" s="822" t="s">
        <v>1349</v>
      </c>
      <c r="B86" s="907">
        <f>MIN(B75,B63)</f>
        <v>37.754709677419349</v>
      </c>
      <c r="C86" s="822" t="s">
        <v>670</v>
      </c>
    </row>
    <row r="87" spans="1:13">
      <c r="A87" s="822" t="s">
        <v>1350</v>
      </c>
      <c r="B87" s="822">
        <f>+B72*B52*2.5</f>
        <v>4.5</v>
      </c>
    </row>
    <row r="88" spans="1:13" ht="14.5" thickBot="1">
      <c r="A88" s="822" t="s">
        <v>1351</v>
      </c>
      <c r="B88" s="929">
        <f>B86-B87</f>
        <v>33.254709677419349</v>
      </c>
    </row>
    <row r="89" spans="1:13" ht="14.5" thickBot="1">
      <c r="A89" s="823" t="s">
        <v>1364</v>
      </c>
      <c r="E89" s="909" t="s">
        <v>1352</v>
      </c>
      <c r="F89" s="910" t="s">
        <v>1353</v>
      </c>
      <c r="G89" s="910" t="s">
        <v>1354</v>
      </c>
      <c r="H89" s="910" t="s">
        <v>1355</v>
      </c>
      <c r="I89" s="910" t="s">
        <v>1356</v>
      </c>
      <c r="J89" s="910" t="s">
        <v>1357</v>
      </c>
      <c r="K89" s="910" t="s">
        <v>1358</v>
      </c>
      <c r="L89" s="822" t="s">
        <v>1376</v>
      </c>
      <c r="M89" s="822" t="s">
        <v>1377</v>
      </c>
    </row>
    <row r="90" spans="1:13" ht="26.5" thickBot="1">
      <c r="A90" s="889" t="s">
        <v>241</v>
      </c>
      <c r="B90" s="822">
        <v>1.2</v>
      </c>
      <c r="C90" s="822">
        <v>1.6</v>
      </c>
      <c r="E90" s="930" t="str">
        <f>[3]Locsolieu!$AD$4</f>
        <v>C3</v>
      </c>
      <c r="F90" s="911" t="s">
        <v>1359</v>
      </c>
      <c r="G90" s="932">
        <f>[3]Locsolieu!AF5</f>
        <v>29.074000000000002</v>
      </c>
      <c r="H90" s="932">
        <f>[3]Locsolieu!AG5</f>
        <v>0.14024</v>
      </c>
      <c r="I90" s="932">
        <f>[3]Locsolieu!AH5</f>
        <v>0.54979</v>
      </c>
      <c r="J90" s="932">
        <f>[3]Locsolieu!AI5</f>
        <v>-4.0899999999999999E-2</v>
      </c>
      <c r="K90" s="932">
        <f>[3]Locsolieu!AJ5</f>
        <v>0.62190000000000001</v>
      </c>
      <c r="L90" s="822">
        <f>I90+J90*$B$45</f>
        <v>0.52729499999999996</v>
      </c>
      <c r="M90" s="822">
        <f>H90+K90*$B$45</f>
        <v>0.48228499999999996</v>
      </c>
    </row>
    <row r="91" spans="1:13" ht="39.5" thickBot="1">
      <c r="A91" s="822" t="s">
        <v>1365</v>
      </c>
      <c r="B91" s="912">
        <f>B90*G90/$B$88</f>
        <v>1.0491386134003822</v>
      </c>
      <c r="C91" s="912">
        <f>C90*G90/$B$88</f>
        <v>1.3988514845338429</v>
      </c>
      <c r="E91" s="930" t="str">
        <f>[3]Locsolieu!$AD$4</f>
        <v>C3</v>
      </c>
      <c r="F91" s="911" t="s">
        <v>1360</v>
      </c>
      <c r="G91" s="932">
        <f>[3]Locsolieu!AF6</f>
        <v>-1.2934000000000001</v>
      </c>
      <c r="H91" s="932">
        <f>[3]Locsolieu!AG6</f>
        <v>0.83650000000000002</v>
      </c>
      <c r="I91" s="932">
        <f>[3]Locsolieu!AH6</f>
        <v>2.572E-2</v>
      </c>
      <c r="J91" s="932">
        <f>[3]Locsolieu!AI6</f>
        <v>-0.74529999999999996</v>
      </c>
      <c r="K91" s="932">
        <f>[3]Locsolieu!AJ6</f>
        <v>1.7299999999999999E-2</v>
      </c>
      <c r="L91" s="822">
        <f t="shared" ref="L91:L94" si="6">I91+J91*$B$45</f>
        <v>-0.3841949999999999</v>
      </c>
      <c r="M91" s="822">
        <f t="shared" ref="M91:M94" si="7">H91+K91*$B$45</f>
        <v>0.84601500000000007</v>
      </c>
    </row>
    <row r="92" spans="1:13" ht="26.5" thickBot="1">
      <c r="A92" s="822" t="s">
        <v>248</v>
      </c>
      <c r="B92" s="822">
        <v>2</v>
      </c>
      <c r="E92" s="930" t="str">
        <f>[3]Locsolieu!$AD$4</f>
        <v>C3</v>
      </c>
      <c r="F92" s="911" t="s">
        <v>1361</v>
      </c>
      <c r="G92" s="932">
        <f>[3]Locsolieu!AF7</f>
        <v>24.658100000000001</v>
      </c>
      <c r="H92" s="932">
        <f>[3]Locsolieu!AG7</f>
        <v>0.72621999999999998</v>
      </c>
      <c r="I92" s="932">
        <f>[3]Locsolieu!AH7</f>
        <v>1.0924400000000001</v>
      </c>
      <c r="J92" s="932">
        <f>[3]Locsolieu!AI7</f>
        <v>0.75109999999999999</v>
      </c>
      <c r="K92" s="932">
        <f>[3]Locsolieu!AJ7</f>
        <v>1.0811999999999999</v>
      </c>
      <c r="L92" s="822">
        <f t="shared" si="6"/>
        <v>1.5055450000000001</v>
      </c>
      <c r="M92" s="822">
        <f t="shared" si="7"/>
        <v>1.3208799999999998</v>
      </c>
    </row>
    <row r="93" spans="1:13" ht="26.5" thickBot="1">
      <c r="A93" s="822" t="s">
        <v>1366</v>
      </c>
      <c r="B93" s="822">
        <f>3*D39</f>
        <v>0.89999999999999991</v>
      </c>
      <c r="E93" s="930" t="str">
        <f>[3]Locsolieu!$AD$4</f>
        <v>C3</v>
      </c>
      <c r="F93" s="911" t="s">
        <v>1362</v>
      </c>
      <c r="G93" s="932">
        <f>[3]Locsolieu!AF8</f>
        <v>24.658100000000001</v>
      </c>
      <c r="H93" s="932">
        <f>[3]Locsolieu!AG8</f>
        <v>0.72621999999999998</v>
      </c>
      <c r="I93" s="932">
        <f>[3]Locsolieu!AH8</f>
        <v>1.0924400000000001</v>
      </c>
      <c r="J93" s="932">
        <f>[3]Locsolieu!AI8</f>
        <v>1.0811999999999999</v>
      </c>
      <c r="K93" s="932">
        <f>[3]Locsolieu!AJ8</f>
        <v>0.75109999999999999</v>
      </c>
      <c r="L93" s="822">
        <f t="shared" si="6"/>
        <v>1.6871</v>
      </c>
      <c r="M93" s="822">
        <f t="shared" si="7"/>
        <v>1.1393249999999999</v>
      </c>
    </row>
    <row r="94" spans="1:13" ht="26.5" thickBot="1">
      <c r="A94" s="822" t="s">
        <v>1367</v>
      </c>
      <c r="B94" s="822">
        <f>3*D39</f>
        <v>0.89999999999999991</v>
      </c>
      <c r="E94" s="930" t="str">
        <f>[3]Locsolieu!$AD$4</f>
        <v>C3</v>
      </c>
      <c r="F94" s="911" t="s">
        <v>1363</v>
      </c>
      <c r="G94" s="932">
        <f>[3]Locsolieu!AF9</f>
        <v>24.658100000000001</v>
      </c>
      <c r="H94" s="932">
        <f>[3]Locsolieu!AG9</f>
        <v>0.72621999999999998</v>
      </c>
      <c r="I94" s="932">
        <f>[3]Locsolieu!AH9</f>
        <v>1.0924400000000001</v>
      </c>
      <c r="J94" s="932">
        <f>[3]Locsolieu!AI9</f>
        <v>1.0811999999999999</v>
      </c>
      <c r="K94" s="932">
        <f>[3]Locsolieu!AJ9</f>
        <v>0.75109999999999999</v>
      </c>
      <c r="L94" s="822">
        <f t="shared" si="6"/>
        <v>1.6871</v>
      </c>
      <c r="M94" s="822">
        <f t="shared" si="7"/>
        <v>1.1393249999999999</v>
      </c>
    </row>
    <row r="95" spans="1:13">
      <c r="A95" s="822" t="s">
        <v>1368</v>
      </c>
      <c r="B95" s="822">
        <f>D39/2</f>
        <v>0.15</v>
      </c>
    </row>
    <row r="96" spans="1:13">
      <c r="A96" s="822" t="s">
        <v>621</v>
      </c>
      <c r="B96" s="822">
        <f>D39+B95*2</f>
        <v>0.6</v>
      </c>
      <c r="C96" s="822" t="s">
        <v>6</v>
      </c>
    </row>
    <row r="97" spans="1:25">
      <c r="A97" s="822" t="s">
        <v>228</v>
      </c>
      <c r="B97" s="822">
        <v>1.5</v>
      </c>
      <c r="C97" s="822" t="s">
        <v>6</v>
      </c>
    </row>
    <row r="98" spans="1:25">
      <c r="A98" s="822" t="s">
        <v>1373</v>
      </c>
      <c r="B98" s="822">
        <f>B96*B97</f>
        <v>0.89999999999999991</v>
      </c>
      <c r="C98" s="822" t="s">
        <v>3</v>
      </c>
    </row>
    <row r="100" spans="1:25">
      <c r="A100" s="823" t="s">
        <v>1369</v>
      </c>
    </row>
    <row r="101" spans="1:25" ht="19.5">
      <c r="A101" s="7" t="s">
        <v>1370</v>
      </c>
      <c r="B101" s="822">
        <v>1.1499999999999999</v>
      </c>
      <c r="E101" s="913" t="s">
        <v>1378</v>
      </c>
      <c r="F101" s="913" t="s">
        <v>1379</v>
      </c>
      <c r="G101" s="913" t="s">
        <v>1380</v>
      </c>
      <c r="H101" s="913" t="s">
        <v>1381</v>
      </c>
      <c r="I101" s="913" t="s">
        <v>1382</v>
      </c>
      <c r="J101" s="913" t="s">
        <v>1385</v>
      </c>
      <c r="K101" s="913" t="s">
        <v>1383</v>
      </c>
      <c r="L101" s="913" t="s">
        <v>1384</v>
      </c>
      <c r="Q101" s="925" t="str">
        <f>E101</f>
        <v>Tên cọc</v>
      </c>
      <c r="R101" s="925" t="s">
        <v>1458</v>
      </c>
      <c r="S101" s="925" t="s">
        <v>1459</v>
      </c>
      <c r="T101" s="925" t="s">
        <v>1460</v>
      </c>
      <c r="U101" s="925" t="s">
        <v>1461</v>
      </c>
      <c r="V101" s="925" t="s">
        <v>1462</v>
      </c>
    </row>
    <row r="102" spans="1:25">
      <c r="A102" s="822" t="s">
        <v>1371</v>
      </c>
      <c r="B102" s="822">
        <v>2.5</v>
      </c>
      <c r="C102" s="822" t="s">
        <v>670</v>
      </c>
      <c r="E102" s="913">
        <v>1</v>
      </c>
      <c r="F102" s="913">
        <f>-B93/2</f>
        <v>-0.44999999999999996</v>
      </c>
      <c r="G102" s="913">
        <v>0</v>
      </c>
      <c r="H102" s="914">
        <f>F102^2</f>
        <v>0.20249999999999996</v>
      </c>
      <c r="I102" s="914">
        <f>G102^2</f>
        <v>0</v>
      </c>
      <c r="J102" s="915"/>
      <c r="K102" s="913"/>
      <c r="L102" s="916">
        <f>$B$105/$B$92+M90*F102/$H$104</f>
        <v>14.619877777777779</v>
      </c>
      <c r="Q102" s="926">
        <f t="shared" ref="Q102:U103" si="8">E102</f>
        <v>1</v>
      </c>
      <c r="R102" s="933">
        <f t="shared" si="8"/>
        <v>-0.44999999999999996</v>
      </c>
      <c r="S102" s="933">
        <f t="shared" si="8"/>
        <v>0</v>
      </c>
      <c r="T102" s="933">
        <f t="shared" si="8"/>
        <v>0.20249999999999996</v>
      </c>
      <c r="U102" s="933">
        <f>I102</f>
        <v>0</v>
      </c>
      <c r="V102" s="933">
        <f>L102</f>
        <v>14.619877777777779</v>
      </c>
    </row>
    <row r="103" spans="1:25">
      <c r="A103" s="822" t="s">
        <v>1372</v>
      </c>
      <c r="B103" s="822">
        <v>1.1499999999999999</v>
      </c>
      <c r="E103" s="913">
        <v>2</v>
      </c>
      <c r="F103" s="913">
        <f>+B93/2</f>
        <v>0.44999999999999996</v>
      </c>
      <c r="G103" s="913">
        <v>0</v>
      </c>
      <c r="H103" s="914">
        <f>F103^2</f>
        <v>0.20249999999999996</v>
      </c>
      <c r="I103" s="914">
        <f>G103^2</f>
        <v>0</v>
      </c>
      <c r="J103" s="913"/>
      <c r="K103" s="913"/>
      <c r="L103" s="916">
        <f>$B$105/$B$92+M90*F103/$H$104</f>
        <v>15.691622222222223</v>
      </c>
      <c r="Q103" s="926">
        <f t="shared" si="8"/>
        <v>2</v>
      </c>
      <c r="R103" s="933">
        <f t="shared" si="8"/>
        <v>0.44999999999999996</v>
      </c>
      <c r="S103" s="933">
        <f t="shared" si="8"/>
        <v>0</v>
      </c>
      <c r="T103" s="933">
        <f t="shared" si="8"/>
        <v>0.20249999999999996</v>
      </c>
      <c r="U103" s="933">
        <f t="shared" si="8"/>
        <v>0</v>
      </c>
      <c r="V103" s="933">
        <f t="shared" ref="V103" si="9">L103</f>
        <v>15.691622222222223</v>
      </c>
    </row>
    <row r="104" spans="1:25">
      <c r="A104" s="822" t="s">
        <v>1374</v>
      </c>
      <c r="B104" s="822">
        <f>B102*B98*B45</f>
        <v>1.2374999999999998</v>
      </c>
      <c r="C104" s="822" t="s">
        <v>670</v>
      </c>
      <c r="H104" s="907">
        <f>SUM(H102:H103)</f>
        <v>0.40499999999999992</v>
      </c>
      <c r="I104" s="907">
        <f>SUM(I102:I103)</f>
        <v>0</v>
      </c>
      <c r="K104" s="822" t="s">
        <v>1386</v>
      </c>
      <c r="L104" s="892">
        <f>MAX(L102:L103)</f>
        <v>15.691622222222223</v>
      </c>
      <c r="Q104" s="926"/>
      <c r="R104" s="933"/>
      <c r="S104" s="933"/>
      <c r="T104" s="933"/>
      <c r="U104" s="933"/>
      <c r="V104" s="933"/>
    </row>
    <row r="105" spans="1:25">
      <c r="A105" s="822" t="s">
        <v>1375</v>
      </c>
      <c r="B105" s="822">
        <f>B104+G90</f>
        <v>30.311500000000002</v>
      </c>
      <c r="C105" s="822" t="s">
        <v>670</v>
      </c>
      <c r="K105" s="822" t="s">
        <v>1388</v>
      </c>
      <c r="L105" s="892">
        <f>MIN(L102:L103)</f>
        <v>14.619877777777779</v>
      </c>
    </row>
    <row r="106" spans="1:25">
      <c r="A106" s="822" t="s">
        <v>1387</v>
      </c>
      <c r="B106" s="929">
        <f>B101/B103*B88</f>
        <v>33.254709677419349</v>
      </c>
      <c r="K106" s="822">
        <f>1.2*1.2</f>
        <v>1.44</v>
      </c>
    </row>
    <row r="107" spans="1:25" ht="16">
      <c r="I107" s="822">
        <f>1.44*4</f>
        <v>5.76</v>
      </c>
      <c r="Q107" s="1018" t="str">
        <f>E108</f>
        <v>Tên cọc</v>
      </c>
      <c r="R107" s="1018" t="s">
        <v>1458</v>
      </c>
      <c r="S107" s="1018" t="s">
        <v>1459</v>
      </c>
      <c r="T107" s="1018" t="s">
        <v>1460</v>
      </c>
      <c r="U107" s="1018" t="s">
        <v>1461</v>
      </c>
      <c r="V107" s="1017" t="s">
        <v>1462</v>
      </c>
      <c r="W107" s="1017"/>
      <c r="X107" s="1017"/>
      <c r="Y107" s="1017"/>
    </row>
    <row r="108" spans="1:25" ht="16">
      <c r="E108" s="913" t="s">
        <v>1378</v>
      </c>
      <c r="F108" s="913" t="s">
        <v>1379</v>
      </c>
      <c r="G108" s="913" t="s">
        <v>1380</v>
      </c>
      <c r="H108" s="913" t="s">
        <v>1381</v>
      </c>
      <c r="I108" s="913" t="s">
        <v>1382</v>
      </c>
      <c r="J108" s="913" t="s">
        <v>1385</v>
      </c>
      <c r="K108" s="913" t="s">
        <v>1383</v>
      </c>
      <c r="L108" s="913" t="s">
        <v>1389</v>
      </c>
      <c r="M108" s="822" t="s">
        <v>1390</v>
      </c>
      <c r="N108" s="822" t="s">
        <v>1391</v>
      </c>
      <c r="O108" s="822" t="s">
        <v>1392</v>
      </c>
      <c r="Q108" s="1019"/>
      <c r="R108" s="1019"/>
      <c r="S108" s="1019"/>
      <c r="T108" s="1019"/>
      <c r="U108" s="1019"/>
      <c r="V108" s="927" t="s">
        <v>1463</v>
      </c>
      <c r="W108" s="927" t="s">
        <v>1464</v>
      </c>
      <c r="X108" s="927" t="s">
        <v>1465</v>
      </c>
      <c r="Y108" s="927" t="s">
        <v>1466</v>
      </c>
    </row>
    <row r="109" spans="1:25">
      <c r="E109" s="913">
        <v>1</v>
      </c>
      <c r="F109" s="913">
        <f>-B93/2</f>
        <v>-0.44999999999999996</v>
      </c>
      <c r="G109" s="913">
        <v>0</v>
      </c>
      <c r="H109" s="914">
        <f>F109^2</f>
        <v>0.20249999999999996</v>
      </c>
      <c r="I109" s="914">
        <f>G109^2</f>
        <v>0</v>
      </c>
      <c r="J109" s="915"/>
      <c r="K109" s="913"/>
      <c r="L109" s="916">
        <f>$B$105/$B$92+M91*F109/$H$104</f>
        <v>14.215733333333334</v>
      </c>
      <c r="M109" s="908">
        <f>$B$105/$B$92+M92*F109/$H$104</f>
        <v>13.688105555555557</v>
      </c>
      <c r="N109" s="908">
        <f>$B$105/$B$92+M93*F109/$H$104</f>
        <v>13.889833333333334</v>
      </c>
      <c r="O109" s="908">
        <f>$B$105/$B$92+M94*F109/$H$104</f>
        <v>13.889833333333334</v>
      </c>
      <c r="Q109" s="926">
        <f t="shared" ref="Q109:S110" si="10">E109</f>
        <v>1</v>
      </c>
      <c r="R109" s="933">
        <f t="shared" si="10"/>
        <v>-0.44999999999999996</v>
      </c>
      <c r="S109" s="933">
        <f t="shared" si="10"/>
        <v>0</v>
      </c>
      <c r="T109" s="933">
        <f>ROUND(H109,2)</f>
        <v>0.2</v>
      </c>
      <c r="U109" s="933">
        <f>ROUND(I109,2)</f>
        <v>0</v>
      </c>
      <c r="V109" s="933">
        <f>L109</f>
        <v>14.215733333333334</v>
      </c>
      <c r="W109" s="933">
        <f t="shared" ref="W109:Y110" si="11">M109</f>
        <v>13.688105555555557</v>
      </c>
      <c r="X109" s="933">
        <f t="shared" si="11"/>
        <v>13.889833333333334</v>
      </c>
      <c r="Y109" s="933">
        <f t="shared" si="11"/>
        <v>13.889833333333334</v>
      </c>
    </row>
    <row r="110" spans="1:25">
      <c r="E110" s="913">
        <v>2</v>
      </c>
      <c r="F110" s="913">
        <f>+B93/2</f>
        <v>0.44999999999999996</v>
      </c>
      <c r="G110" s="913">
        <v>0</v>
      </c>
      <c r="H110" s="914">
        <f>F110^2</f>
        <v>0.20249999999999996</v>
      </c>
      <c r="I110" s="914">
        <f>G110^2</f>
        <v>0</v>
      </c>
      <c r="J110" s="913"/>
      <c r="K110" s="913"/>
      <c r="L110" s="916">
        <f>$B$105/$B$92+M91*F110/$H$104</f>
        <v>16.09576666666667</v>
      </c>
      <c r="M110" s="908">
        <f>$B$105/$B$92+M92*F110/$H$104</f>
        <v>16.623394444444447</v>
      </c>
      <c r="N110" s="908">
        <f>$B$105/$B$92+M93*F110/$H$104</f>
        <v>16.421666666666667</v>
      </c>
      <c r="O110" s="908">
        <f>$B$105/$B$92+M94*F110/$H$104</f>
        <v>16.421666666666667</v>
      </c>
      <c r="Q110" s="926">
        <f t="shared" si="10"/>
        <v>2</v>
      </c>
      <c r="R110" s="933">
        <f t="shared" si="10"/>
        <v>0.44999999999999996</v>
      </c>
      <c r="S110" s="933">
        <f t="shared" si="10"/>
        <v>0</v>
      </c>
      <c r="T110" s="933">
        <f t="shared" ref="T110:U110" si="12">ROUND(H110,2)</f>
        <v>0.2</v>
      </c>
      <c r="U110" s="933">
        <f t="shared" si="12"/>
        <v>0</v>
      </c>
      <c r="V110" s="933">
        <f t="shared" ref="V110" si="13">L110</f>
        <v>16.09576666666667</v>
      </c>
      <c r="W110" s="933">
        <f t="shared" si="11"/>
        <v>16.623394444444447</v>
      </c>
      <c r="X110" s="933">
        <f t="shared" si="11"/>
        <v>16.421666666666667</v>
      </c>
      <c r="Y110" s="933">
        <f t="shared" si="11"/>
        <v>16.421666666666667</v>
      </c>
    </row>
    <row r="111" spans="1:25">
      <c r="H111" s="907">
        <f>SUM(H109:H110)</f>
        <v>0.40499999999999992</v>
      </c>
      <c r="I111" s="907">
        <f>SUM(I109:I110)</f>
        <v>0</v>
      </c>
      <c r="Q111" s="926"/>
      <c r="R111" s="933"/>
      <c r="S111" s="933"/>
      <c r="T111" s="933"/>
      <c r="U111" s="933"/>
      <c r="V111" s="933"/>
      <c r="W111" s="933"/>
      <c r="X111" s="933"/>
      <c r="Y111" s="933"/>
    </row>
    <row r="112" spans="1:25">
      <c r="A112" s="823" t="s">
        <v>1393</v>
      </c>
      <c r="L112" s="914"/>
    </row>
    <row r="113" spans="1:11">
      <c r="A113"/>
      <c r="B113" s="892">
        <f>'[2]Co Ly dat'!W15</f>
        <v>2.251633165829146</v>
      </c>
      <c r="C113" s="822">
        <f>ROUNDDOWN(B113,0)</f>
        <v>2</v>
      </c>
      <c r="D113" s="917">
        <f>+(B113-C113)*60</f>
        <v>15.097989949748758</v>
      </c>
      <c r="F113" s="6">
        <f>'[2]Co Ly dat'!V15</f>
        <v>9.0065326633165839</v>
      </c>
      <c r="G113" s="907">
        <f>ROUNDDOWN(F113,0)</f>
        <v>9</v>
      </c>
      <c r="H113" s="917">
        <f>+(F113-G113)*60</f>
        <v>0.39195979899503186</v>
      </c>
    </row>
    <row r="114" spans="1:11">
      <c r="A114" s="822" t="s">
        <v>1394</v>
      </c>
      <c r="B114" s="822">
        <f>B51</f>
        <v>19.899999999999999</v>
      </c>
    </row>
    <row r="115" spans="1:11">
      <c r="A115" s="822" t="s">
        <v>1395</v>
      </c>
      <c r="B115" s="892">
        <f>D115+2*B114*TAN(RADIANS(B113))</f>
        <v>1.8648824754781275</v>
      </c>
      <c r="D115" s="822">
        <f>B96-B95*2</f>
        <v>0.3</v>
      </c>
      <c r="E115" s="822">
        <f>B97-B95*2</f>
        <v>1.2</v>
      </c>
    </row>
    <row r="116" spans="1:11">
      <c r="A116" s="822" t="s">
        <v>1396</v>
      </c>
      <c r="B116" s="892">
        <f>E115+2*B114*TAN(RADIANS(B113))</f>
        <v>2.7648824754781272</v>
      </c>
      <c r="C116" s="940"/>
      <c r="F116" s="822">
        <f>TAN(PI()*RADIANS(B113))</f>
        <v>0.12409071984357102</v>
      </c>
    </row>
    <row r="117" spans="1:11">
      <c r="A117" s="822" t="s">
        <v>1397</v>
      </c>
      <c r="B117" s="892">
        <f>B115*B116</f>
        <v>5.1561808752757425</v>
      </c>
      <c r="C117" s="822" t="s">
        <v>3</v>
      </c>
    </row>
    <row r="118" spans="1:11">
      <c r="A118" s="822" t="s">
        <v>1398</v>
      </c>
      <c r="B118" s="822">
        <v>2</v>
      </c>
      <c r="I118" s="822">
        <f>SIN(J118*PI()/180)</f>
        <v>3.925981575906861E-2</v>
      </c>
      <c r="J118" s="907">
        <v>2.25</v>
      </c>
      <c r="K118" s="908">
        <f>(J118*PI()/180)</f>
        <v>3.9269908169872414E-2</v>
      </c>
    </row>
    <row r="119" spans="1:11">
      <c r="A119" s="822" t="s">
        <v>1399</v>
      </c>
      <c r="B119" s="935">
        <f>B117*D46*B118</f>
        <v>15.468542625827228</v>
      </c>
      <c r="C119" s="822" t="s">
        <v>670</v>
      </c>
      <c r="I119" s="822">
        <f>SIN((K119))</f>
        <v>3.925981575906861E-2</v>
      </c>
      <c r="K119" s="822">
        <f>RADIANS(J118)</f>
        <v>3.9269908169872414E-2</v>
      </c>
    </row>
    <row r="120" spans="1:11">
      <c r="A120" s="822" t="s">
        <v>1400</v>
      </c>
      <c r="B120" s="935">
        <f>B92*B72*B51*2.5</f>
        <v>8.9549999999999983</v>
      </c>
      <c r="C120" s="822" t="s">
        <v>670</v>
      </c>
    </row>
    <row r="121" spans="1:11">
      <c r="A121" s="822" t="s">
        <v>1401</v>
      </c>
      <c r="B121" s="936">
        <f>'[2]Co Ly dat'!N16</f>
        <v>37.548000000000002</v>
      </c>
      <c r="C121" s="822" t="s">
        <v>670</v>
      </c>
    </row>
    <row r="122" spans="1:11">
      <c r="A122" s="822" t="s">
        <v>1402</v>
      </c>
      <c r="B122" s="936">
        <f>(B117-B92*B61)*B121*1</f>
        <v>186.84563950485361</v>
      </c>
      <c r="C122" s="822" t="s">
        <v>670</v>
      </c>
      <c r="D122" s="908">
        <f>(B117-B92*B61)*B121*1</f>
        <v>186.84563950485361</v>
      </c>
    </row>
    <row r="123" spans="1:11">
      <c r="A123" s="822" t="s">
        <v>1403</v>
      </c>
      <c r="B123" s="936">
        <f>B119+B120+B122</f>
        <v>211.26918213068083</v>
      </c>
      <c r="C123" s="822" t="s">
        <v>670</v>
      </c>
    </row>
    <row r="124" spans="1:11">
      <c r="A124" s="823" t="s">
        <v>1404</v>
      </c>
    </row>
    <row r="125" spans="1:11">
      <c r="A125" s="822" t="s">
        <v>1405</v>
      </c>
      <c r="B125" s="892">
        <f>B123+G90</f>
        <v>240.34318213068084</v>
      </c>
      <c r="C125" s="822" t="s">
        <v>670</v>
      </c>
    </row>
    <row r="126" spans="1:11">
      <c r="A126" s="822" t="s">
        <v>1406</v>
      </c>
      <c r="B126" s="892">
        <f>L90/B101</f>
        <v>0.45851739130434782</v>
      </c>
      <c r="C126" s="822" t="s">
        <v>670</v>
      </c>
    </row>
    <row r="127" spans="1:11">
      <c r="A127" s="822" t="s">
        <v>1407</v>
      </c>
      <c r="B127" s="892">
        <f>M90/B101</f>
        <v>0.4193782608695652</v>
      </c>
      <c r="C127" s="822" t="s">
        <v>670</v>
      </c>
    </row>
    <row r="128" spans="1:11">
      <c r="A128" s="822" t="s">
        <v>1408</v>
      </c>
      <c r="B128" s="892">
        <f>B115^2*B116/6</f>
        <v>1.6026118924495343</v>
      </c>
    </row>
    <row r="129" spans="1:11">
      <c r="A129" s="822" t="s">
        <v>1409</v>
      </c>
      <c r="B129" s="892">
        <f>B115*B116^2/6</f>
        <v>2.3760390237408955</v>
      </c>
    </row>
    <row r="130" spans="1:11">
      <c r="A130" s="892"/>
      <c r="C130" s="823" t="s">
        <v>1442</v>
      </c>
    </row>
    <row r="131" spans="1:11">
      <c r="A131" s="822" t="s">
        <v>1410</v>
      </c>
      <c r="B131" s="822">
        <v>1.1000000000000001</v>
      </c>
      <c r="D131" s="822" t="s">
        <v>1452</v>
      </c>
      <c r="E131" s="822">
        <f>[2]TinhMongM2!E131</f>
        <v>1.5</v>
      </c>
      <c r="F131" s="822" t="str">
        <f>[2]TinhMong!F131</f>
        <v>bc</v>
      </c>
      <c r="G131" s="822">
        <f>C153</f>
        <v>0.3</v>
      </c>
      <c r="H131" s="822" t="s">
        <v>1454</v>
      </c>
      <c r="I131" s="822">
        <f>(E131-G131)/2-($H$134-$D$39/2)</f>
        <v>0.44999999999999996</v>
      </c>
      <c r="J131" s="822">
        <f>[2]TinhMong!J131</f>
        <v>0</v>
      </c>
    </row>
    <row r="132" spans="1:11">
      <c r="A132" s="822" t="s">
        <v>428</v>
      </c>
      <c r="B132" s="822">
        <v>1.4</v>
      </c>
      <c r="D132" s="822" t="s">
        <v>1451</v>
      </c>
      <c r="E132" s="822">
        <f>[2]TinhMongM2!E132</f>
        <v>1.5</v>
      </c>
      <c r="F132" s="822" t="str">
        <f>[2]TinhMong!F132</f>
        <v>hc</v>
      </c>
      <c r="G132" s="822">
        <f>C154</f>
        <v>0.3</v>
      </c>
      <c r="H132" s="822" t="s">
        <v>1453</v>
      </c>
      <c r="I132" s="822">
        <f>(E132-G132)/2-($H$134-$D$39/2)</f>
        <v>0.44999999999999996</v>
      </c>
      <c r="J132" s="822">
        <f>[2]TinhMong!J132</f>
        <v>0</v>
      </c>
    </row>
    <row r="133" spans="1:11">
      <c r="A133" s="822" t="s">
        <v>3</v>
      </c>
      <c r="B133" s="822">
        <v>1</v>
      </c>
      <c r="D133" s="822" t="s">
        <v>1455</v>
      </c>
      <c r="E133" s="928">
        <f>J133+H133</f>
        <v>0.54999999999999993</v>
      </c>
      <c r="F133" s="822" t="str">
        <f>[2]TinhMong!F133</f>
        <v>m</v>
      </c>
      <c r="G133" s="822" t="s">
        <v>1456</v>
      </c>
      <c r="H133" s="822">
        <f>B50</f>
        <v>0.1</v>
      </c>
      <c r="I133" s="822" t="s">
        <v>6</v>
      </c>
      <c r="J133" s="822">
        <f>MAX(I131:I132)</f>
        <v>0.44999999999999996</v>
      </c>
    </row>
    <row r="134" spans="1:11">
      <c r="A134" s="822" t="s">
        <v>1411</v>
      </c>
      <c r="B134" s="822">
        <f>'[2]Co Ly dat'!O11</f>
        <v>1.01</v>
      </c>
      <c r="H134" s="822">
        <f>0.9-0.6</f>
        <v>0.30000000000000004</v>
      </c>
    </row>
    <row r="135" spans="1:11">
      <c r="A135" s="822" t="s">
        <v>1412</v>
      </c>
      <c r="B135" s="936">
        <f>'[2]Co Ly dat'!M16</f>
        <v>0.87085427135678373</v>
      </c>
      <c r="H135" s="822">
        <f>+H134/2+0.2</f>
        <v>0.35000000000000003</v>
      </c>
      <c r="I135" s="822">
        <f>1.2-0.3</f>
        <v>0.89999999999999991</v>
      </c>
      <c r="J135" s="822">
        <f>1.2-0.3</f>
        <v>0.89999999999999991</v>
      </c>
    </row>
    <row r="136" spans="1:11">
      <c r="A136" s="822" t="s">
        <v>1413</v>
      </c>
      <c r="B136" s="822">
        <f>'[2]TinhMongM2 (2)'!K43</f>
        <v>2.75</v>
      </c>
      <c r="J136" s="822">
        <f>514.4*3*0.9</f>
        <v>1388.8799999999999</v>
      </c>
    </row>
    <row r="137" spans="1:11">
      <c r="A137" s="822" t="s">
        <v>514</v>
      </c>
      <c r="B137" s="822">
        <v>0</v>
      </c>
    </row>
    <row r="138" spans="1:11" ht="19">
      <c r="A138" s="889" t="s">
        <v>1414</v>
      </c>
      <c r="B138" s="822">
        <f>'[2]Co Ly dat'!V11</f>
        <v>9.67</v>
      </c>
      <c r="H138" s="822">
        <v>7657</v>
      </c>
    </row>
    <row r="139" spans="1:11">
      <c r="A139" s="822" t="s">
        <v>515</v>
      </c>
      <c r="B139" s="822">
        <v>0.17</v>
      </c>
      <c r="H139" s="822">
        <f>+H138*3.2*(3.2-0.6)^2/8</f>
        <v>20704.528000000002</v>
      </c>
      <c r="I139" s="822">
        <f>3.2*(3.2-0.6)^2/8</f>
        <v>2.7040000000000006</v>
      </c>
      <c r="J139" s="822">
        <f>1388.9</f>
        <v>1388.9</v>
      </c>
      <c r="K139" s="822">
        <f>+J139/I139</f>
        <v>513.6464497041419</v>
      </c>
    </row>
    <row r="140" spans="1:11">
      <c r="A140" s="822" t="s">
        <v>621</v>
      </c>
      <c r="B140" s="822">
        <v>1.7</v>
      </c>
      <c r="H140" s="822">
        <f>1918*1.1</f>
        <v>2109.8000000000002</v>
      </c>
      <c r="J140" s="822">
        <f>+J139/3</f>
        <v>462.9666666666667</v>
      </c>
    </row>
    <row r="141" spans="1:11">
      <c r="A141" s="822" t="s">
        <v>599</v>
      </c>
      <c r="B141" s="822">
        <v>4.0999999999999996</v>
      </c>
    </row>
    <row r="142" spans="1:11">
      <c r="A142" s="822" t="s">
        <v>1415</v>
      </c>
      <c r="B142" s="908">
        <f>B132*B133/B131*(B139*B115*B134+B140*B51*B135+B141*B136)</f>
        <v>52.253345863141277</v>
      </c>
      <c r="J142" s="822">
        <f>+J140/1.2</f>
        <v>385.8055555555556</v>
      </c>
    </row>
    <row r="143" spans="1:11">
      <c r="A143" s="822" t="s">
        <v>1416</v>
      </c>
      <c r="H143" s="822">
        <f>650.76*4</f>
        <v>2603.04</v>
      </c>
    </row>
    <row r="144" spans="1:11">
      <c r="A144" s="822" t="s">
        <v>1417</v>
      </c>
      <c r="B144" s="938">
        <f>B125/B117</f>
        <v>46.61263596921971</v>
      </c>
      <c r="H144" s="822">
        <f>548.03*4</f>
        <v>2192.12</v>
      </c>
    </row>
    <row r="145" spans="1:28">
      <c r="A145" s="822" t="s">
        <v>1418</v>
      </c>
      <c r="B145" s="892">
        <f>B125/B117+B126/B128+B127/B129</f>
        <v>47.075245392587924</v>
      </c>
      <c r="K145" s="822">
        <f>514.4*3</f>
        <v>1543.1999999999998</v>
      </c>
      <c r="L145" s="822">
        <f>+K145*1.2</f>
        <v>1851.8399999999997</v>
      </c>
    </row>
    <row r="146" spans="1:28">
      <c r="A146" s="822" t="s">
        <v>1419</v>
      </c>
      <c r="B146" s="892">
        <f>B125/B117-B126/B128-B127/B129</f>
        <v>46.150026545851496</v>
      </c>
    </row>
    <row r="147" spans="1:28">
      <c r="A147" s="822" t="s">
        <v>1420</v>
      </c>
      <c r="B147" s="892">
        <f>1.2*B142</f>
        <v>62.70401503576953</v>
      </c>
    </row>
    <row r="148" spans="1:28" ht="14.5" thickBot="1"/>
    <row r="149" spans="1:28" ht="101" thickBot="1">
      <c r="A149" s="823" t="s">
        <v>1421</v>
      </c>
      <c r="E149" s="1003" t="s">
        <v>1338</v>
      </c>
      <c r="F149" s="960" t="s">
        <v>1468</v>
      </c>
      <c r="G149" s="961" t="s">
        <v>1467</v>
      </c>
      <c r="H149" s="962" t="s">
        <v>1422</v>
      </c>
    </row>
    <row r="150" spans="1:28" ht="19" thickBot="1">
      <c r="A150"/>
      <c r="B150" s="937">
        <f>B144-H155</f>
        <v>9.064635969219708</v>
      </c>
      <c r="C150" s="822" t="s">
        <v>670</v>
      </c>
      <c r="E150" s="1004"/>
      <c r="F150" s="963" t="s">
        <v>6</v>
      </c>
      <c r="G150" s="963" t="s">
        <v>1424</v>
      </c>
      <c r="H150" s="963" t="s">
        <v>1347</v>
      </c>
    </row>
    <row r="151" spans="1:28" ht="17" thickBot="1">
      <c r="E151" s="890">
        <v>1</v>
      </c>
      <c r="F151" s="252">
        <v>10</v>
      </c>
      <c r="G151" s="252">
        <v>1.74</v>
      </c>
      <c r="H151" s="891">
        <f>G151*F151</f>
        <v>17.399999999999999</v>
      </c>
    </row>
    <row r="152" spans="1:28" ht="17" thickBot="1">
      <c r="A152" s="823" t="s">
        <v>1433</v>
      </c>
      <c r="E152" s="890">
        <v>2</v>
      </c>
      <c r="F152" s="252">
        <v>4.5999999999999996</v>
      </c>
      <c r="G152" s="252">
        <v>2.0499999999999998</v>
      </c>
      <c r="H152" s="891">
        <f>G152*F152</f>
        <v>9.4299999999999979</v>
      </c>
    </row>
    <row r="153" spans="1:28" ht="17" thickBot="1">
      <c r="A153" s="822" t="s">
        <v>1434</v>
      </c>
      <c r="B153" s="822">
        <f>[2]TH!B199</f>
        <v>30</v>
      </c>
      <c r="C153" s="822">
        <f>B153/100</f>
        <v>0.3</v>
      </c>
      <c r="D153" s="822" t="s">
        <v>6</v>
      </c>
      <c r="E153" s="890">
        <v>3</v>
      </c>
      <c r="F153" s="252">
        <v>1.3</v>
      </c>
      <c r="G153" s="252">
        <v>2.06</v>
      </c>
      <c r="H153" s="891">
        <f t="shared" ref="H153:H154" si="14">G153*F153</f>
        <v>2.6780000000000004</v>
      </c>
    </row>
    <row r="154" spans="1:28" ht="17" thickBot="1">
      <c r="A154" s="822" t="s">
        <v>1435</v>
      </c>
      <c r="B154" s="822">
        <f>[2]TH!B200</f>
        <v>30</v>
      </c>
      <c r="C154" s="822">
        <f>B154/100</f>
        <v>0.3</v>
      </c>
      <c r="D154" s="822" t="s">
        <v>6</v>
      </c>
      <c r="E154" s="890">
        <v>4</v>
      </c>
      <c r="F154" s="252">
        <f>B49</f>
        <v>4</v>
      </c>
      <c r="G154" s="252">
        <v>2.0099999999999998</v>
      </c>
      <c r="H154" s="891">
        <f t="shared" si="14"/>
        <v>8.0399999999999991</v>
      </c>
    </row>
    <row r="155" spans="1:28" ht="17" thickBot="1">
      <c r="A155" s="822" t="s">
        <v>513</v>
      </c>
      <c r="B155" s="822">
        <v>10</v>
      </c>
      <c r="C155" s="822">
        <f>B155/100</f>
        <v>0.1</v>
      </c>
      <c r="D155" s="822" t="s">
        <v>6</v>
      </c>
      <c r="E155" s="1005" t="s">
        <v>1423</v>
      </c>
      <c r="F155" s="1006"/>
      <c r="G155" s="1007"/>
      <c r="H155" s="918">
        <f>SUM(H151:H154)</f>
        <v>37.548000000000002</v>
      </c>
    </row>
    <row r="156" spans="1:28">
      <c r="A156" s="822" t="s">
        <v>514</v>
      </c>
      <c r="B156" s="822">
        <f>E133-C155</f>
        <v>0.44999999999999996</v>
      </c>
      <c r="C156" s="822" t="s">
        <v>6</v>
      </c>
    </row>
    <row r="157" spans="1:28" ht="14.5" thickBot="1">
      <c r="A157" s="822" t="s">
        <v>1436</v>
      </c>
      <c r="B157" s="822">
        <f>C153+2*B156</f>
        <v>1.2</v>
      </c>
      <c r="C157" s="822" t="s">
        <v>6</v>
      </c>
    </row>
    <row r="158" spans="1:28" ht="14" customHeight="1">
      <c r="A158" s="822" t="s">
        <v>1437</v>
      </c>
      <c r="B158" s="822">
        <f>C154+2*B156</f>
        <v>1.2</v>
      </c>
      <c r="C158" s="822" t="s">
        <v>6</v>
      </c>
      <c r="E158" s="995" t="s">
        <v>1282</v>
      </c>
      <c r="F158" s="995" t="s">
        <v>1425</v>
      </c>
      <c r="G158" s="995" t="s">
        <v>1426</v>
      </c>
      <c r="H158" s="999" t="s">
        <v>1427</v>
      </c>
      <c r="I158" s="999" t="s">
        <v>1428</v>
      </c>
      <c r="J158" s="995" t="s">
        <v>1429</v>
      </c>
      <c r="K158" s="995"/>
      <c r="L158" s="995"/>
      <c r="M158" s="995"/>
    </row>
    <row r="159" spans="1:28" ht="14.5" customHeight="1" thickBot="1">
      <c r="A159" s="822" t="s">
        <v>1438</v>
      </c>
      <c r="B159" s="822">
        <f>(2*(C153+C154)+2*(B157+B158))/2</f>
        <v>3</v>
      </c>
      <c r="C159" s="822" t="s">
        <v>6</v>
      </c>
      <c r="E159" s="996"/>
      <c r="F159" s="996"/>
      <c r="G159" s="997"/>
      <c r="H159" s="1000"/>
      <c r="I159" s="1000"/>
      <c r="J159" s="996"/>
      <c r="K159" s="997"/>
      <c r="L159" s="997"/>
      <c r="M159" s="996"/>
    </row>
    <row r="160" spans="1:28" ht="33.5" thickBot="1">
      <c r="A160"/>
      <c r="B160" s="822">
        <f>1*H23*B159*B156</f>
        <v>101.24999999999999</v>
      </c>
      <c r="C160" s="822" t="s">
        <v>670</v>
      </c>
      <c r="E160" s="997"/>
      <c r="F160" s="997"/>
      <c r="G160" s="867" t="s">
        <v>6</v>
      </c>
      <c r="H160" s="1001"/>
      <c r="I160" s="1002"/>
      <c r="J160" s="997"/>
      <c r="K160" s="867" t="s">
        <v>1347</v>
      </c>
      <c r="L160" s="867" t="s">
        <v>1347</v>
      </c>
      <c r="M160" s="997"/>
      <c r="S160" s="964" t="s">
        <v>1430</v>
      </c>
      <c r="T160" s="965" t="s">
        <v>1470</v>
      </c>
      <c r="U160" s="964" t="s">
        <v>1472</v>
      </c>
      <c r="V160" s="964"/>
      <c r="W160" s="965"/>
      <c r="X160" s="964"/>
      <c r="Y160" s="964"/>
      <c r="Z160" s="965"/>
      <c r="AA160" s="965"/>
      <c r="AB160" s="965"/>
    </row>
    <row r="161" spans="1:28" ht="17" thickBot="1">
      <c r="A161" s="822" t="s">
        <v>1469</v>
      </c>
      <c r="B161" s="908">
        <f>ROUND(B115/4,2)</f>
        <v>0.47</v>
      </c>
      <c r="C161" s="822" t="s">
        <v>6</v>
      </c>
      <c r="E161" s="869">
        <v>4</v>
      </c>
      <c r="F161" s="252">
        <v>1</v>
      </c>
      <c r="G161" s="252">
        <v>0</v>
      </c>
      <c r="H161" s="891">
        <f>$B$116/$B$115</f>
        <v>1.4826041382416086</v>
      </c>
      <c r="I161" s="919">
        <f>G161/H161</f>
        <v>0</v>
      </c>
      <c r="J161" s="252">
        <v>1</v>
      </c>
      <c r="K161" s="920">
        <f>J161*$B$150</f>
        <v>9.064635969219708</v>
      </c>
      <c r="L161" s="921">
        <f>H155</f>
        <v>37.548000000000002</v>
      </c>
      <c r="M161" s="920">
        <f>K161/L161</f>
        <v>0.24141461513848161</v>
      </c>
      <c r="N161" s="908">
        <f>M161-0.2</f>
        <v>4.1414615138481603E-2</v>
      </c>
      <c r="S161" s="966">
        <v>1</v>
      </c>
      <c r="T161" s="947">
        <v>0</v>
      </c>
      <c r="U161" s="947">
        <f>T161/$B$115</f>
        <v>0</v>
      </c>
      <c r="V161" s="987">
        <f>$B$116/$B$115</f>
        <v>1.4826041382416086</v>
      </c>
      <c r="W161" s="947">
        <f>'[4]Tinh lun M1'!E4</f>
        <v>1</v>
      </c>
      <c r="X161" s="948">
        <f>W161*$B$150</f>
        <v>9.064635969219708</v>
      </c>
      <c r="Y161" s="949">
        <f>$H$155</f>
        <v>37.548000000000002</v>
      </c>
      <c r="Z161" s="948">
        <f>X161/Y161</f>
        <v>0.24141461513848161</v>
      </c>
      <c r="AA161" s="950"/>
      <c r="AB161" s="950"/>
    </row>
    <row r="162" spans="1:28" ht="17" thickBot="1">
      <c r="A162" s="823" t="s">
        <v>1439</v>
      </c>
      <c r="E162" s="869">
        <v>4</v>
      </c>
      <c r="F162" s="252">
        <v>2</v>
      </c>
      <c r="G162" s="252">
        <v>1.5</v>
      </c>
      <c r="H162" s="891">
        <f t="shared" ref="H162:H164" si="15">$B$116/$B$115</f>
        <v>1.4826041382416086</v>
      </c>
      <c r="I162" s="919">
        <f t="shared" ref="I162:I164" si="16">G162/H162</f>
        <v>1.0117333152590706</v>
      </c>
      <c r="J162" s="252">
        <v>0.89</v>
      </c>
      <c r="K162" s="920">
        <f>J162*$B$150</f>
        <v>8.0675260126055406</v>
      </c>
      <c r="L162" s="921">
        <f>L161+$G$154*G162</f>
        <v>40.563000000000002</v>
      </c>
      <c r="M162" s="920">
        <f t="shared" ref="M162:M164" si="17">K162/L162</f>
        <v>0.19888879058761777</v>
      </c>
      <c r="N162" s="908">
        <f>M162-0.2</f>
        <v>-1.1112094123822414E-3</v>
      </c>
      <c r="S162" s="330">
        <v>2</v>
      </c>
      <c r="T162" s="942">
        <f>+T161+$B$161</f>
        <v>0.47</v>
      </c>
      <c r="U162" s="942">
        <f>T162/$B$115</f>
        <v>0.25202660552617351</v>
      </c>
      <c r="V162" s="988"/>
      <c r="W162" s="942">
        <f>'[4]Tinh lun M1'!E5</f>
        <v>0.92</v>
      </c>
      <c r="X162" s="943">
        <f t="shared" ref="X162:X172" si="18">W162*$B$150</f>
        <v>8.3394650916821309</v>
      </c>
      <c r="Y162" s="944">
        <f>Y161+$G$154*T162</f>
        <v>38.492699999999999</v>
      </c>
      <c r="Z162" s="943">
        <f t="shared" ref="Z162:Z172" si="19">X162/Y162</f>
        <v>0.21665056209832334</v>
      </c>
      <c r="AA162" s="945">
        <f>$M$43</f>
        <v>544.67999999999995</v>
      </c>
      <c r="AB162" s="945">
        <f>ROUND(0.8*(X161+X162)/2*$B$161/AA162*100,2)</f>
        <v>0.6</v>
      </c>
    </row>
    <row r="163" spans="1:28" ht="17" thickBot="1">
      <c r="A163" s="822" t="s">
        <v>1440</v>
      </c>
      <c r="B163" s="822">
        <v>1</v>
      </c>
      <c r="E163" s="869">
        <v>4</v>
      </c>
      <c r="F163" s="252">
        <v>3</v>
      </c>
      <c r="G163" s="252">
        <v>3</v>
      </c>
      <c r="H163" s="891">
        <f t="shared" si="15"/>
        <v>1.4826041382416086</v>
      </c>
      <c r="I163" s="919">
        <f t="shared" si="16"/>
        <v>2.0234666305181412</v>
      </c>
      <c r="J163" s="252">
        <v>0.7</v>
      </c>
      <c r="K163" s="920">
        <f t="shared" ref="K163:K164" si="20">J163*$B$150</f>
        <v>6.3452451784537951</v>
      </c>
      <c r="L163" s="921">
        <f t="shared" ref="L163:L164" si="21">L162+$G$154*G163</f>
        <v>46.593000000000004</v>
      </c>
      <c r="M163" s="920">
        <f t="shared" si="17"/>
        <v>0.13618451652509592</v>
      </c>
      <c r="N163" s="908">
        <f>M163-0.2</f>
        <v>-6.3815483474904094E-2</v>
      </c>
      <c r="S163" s="330">
        <v>3</v>
      </c>
      <c r="T163" s="942">
        <f t="shared" ref="T163:T172" si="22">+T162+$B$161</f>
        <v>0.94</v>
      </c>
      <c r="U163" s="942">
        <f t="shared" ref="U163:U172" si="23">T163/$B$115</f>
        <v>0.50405321105234702</v>
      </c>
      <c r="V163" s="988"/>
      <c r="W163" s="942">
        <f>'[4]Tinh lun M1'!E6</f>
        <v>0.70599999999999996</v>
      </c>
      <c r="X163" s="943">
        <f t="shared" si="18"/>
        <v>6.3996329942691137</v>
      </c>
      <c r="Y163" s="944">
        <f t="shared" ref="Y163:Y172" si="24">Y162+$G$154*T163</f>
        <v>40.382100000000001</v>
      </c>
      <c r="Z163" s="943">
        <f t="shared" si="19"/>
        <v>0.15847697356673163</v>
      </c>
      <c r="AA163" s="945">
        <f t="shared" ref="AA163:AA172" si="25">$M$43</f>
        <v>544.67999999999995</v>
      </c>
      <c r="AB163" s="945">
        <f t="shared" ref="AB163:AB172" si="26">ROUND(0.8*(X162+X163)/2*$B$161/AA163*100,2)</f>
        <v>0.51</v>
      </c>
    </row>
    <row r="164" spans="1:28" ht="17" thickBot="1">
      <c r="A164" s="822" t="s">
        <v>522</v>
      </c>
      <c r="B164" s="892">
        <f>B163*$L$104*B165</f>
        <v>4.7074866666666679</v>
      </c>
      <c r="C164" s="822" t="s">
        <v>672</v>
      </c>
      <c r="E164" s="869">
        <v>4</v>
      </c>
      <c r="F164" s="252">
        <v>4</v>
      </c>
      <c r="G164" s="252">
        <v>4.5</v>
      </c>
      <c r="H164" s="891">
        <f t="shared" si="15"/>
        <v>1.4826041382416086</v>
      </c>
      <c r="I164" s="919">
        <f t="shared" si="16"/>
        <v>3.0351999457772116</v>
      </c>
      <c r="J164" s="252">
        <v>0.51</v>
      </c>
      <c r="K164" s="920">
        <f t="shared" si="20"/>
        <v>4.6229643443020514</v>
      </c>
      <c r="L164" s="921">
        <f t="shared" si="21"/>
        <v>55.638000000000005</v>
      </c>
      <c r="M164" s="920">
        <f t="shared" si="17"/>
        <v>8.3090052559438715E-2</v>
      </c>
      <c r="S164" s="330">
        <v>4</v>
      </c>
      <c r="T164" s="942">
        <f t="shared" si="22"/>
        <v>1.41</v>
      </c>
      <c r="U164" s="942">
        <f t="shared" si="23"/>
        <v>0.75607981657852052</v>
      </c>
      <c r="V164" s="988"/>
      <c r="W164" s="942">
        <f>'[4]Tinh lun M1'!E7</f>
        <v>0.49099999999999999</v>
      </c>
      <c r="X164" s="943">
        <f t="shared" si="18"/>
        <v>4.4507362608868766</v>
      </c>
      <c r="Y164" s="944">
        <f t="shared" si="24"/>
        <v>43.216200000000001</v>
      </c>
      <c r="Z164" s="943">
        <f t="shared" si="19"/>
        <v>0.10298768195461139</v>
      </c>
      <c r="AA164" s="945">
        <f t="shared" si="25"/>
        <v>544.67999999999995</v>
      </c>
      <c r="AB164" s="945">
        <f t="shared" si="26"/>
        <v>0.37</v>
      </c>
    </row>
    <row r="165" spans="1:28" ht="16.5">
      <c r="A165" s="822" t="s">
        <v>99</v>
      </c>
      <c r="B165" s="822">
        <f>0.9/2-$D$39/2</f>
        <v>0.30000000000000004</v>
      </c>
      <c r="C165" s="822" t="s">
        <v>6</v>
      </c>
      <c r="S165" s="330">
        <v>5</v>
      </c>
      <c r="T165" s="942">
        <f t="shared" si="22"/>
        <v>1.88</v>
      </c>
      <c r="U165" s="942">
        <f t="shared" si="23"/>
        <v>1.008106422104694</v>
      </c>
      <c r="V165" s="988"/>
      <c r="W165" s="942">
        <f>'[4]Tinh lun M1'!E8</f>
        <v>0.34100000000000003</v>
      </c>
      <c r="X165" s="943">
        <f t="shared" si="18"/>
        <v>3.0910408655039205</v>
      </c>
      <c r="Y165" s="944">
        <f t="shared" si="24"/>
        <v>46.994999999999997</v>
      </c>
      <c r="Z165" s="943">
        <f t="shared" si="19"/>
        <v>6.5773824140949483E-2</v>
      </c>
      <c r="AA165" s="945">
        <f t="shared" si="25"/>
        <v>544.67999999999995</v>
      </c>
      <c r="AB165" s="945">
        <f t="shared" si="26"/>
        <v>0.26</v>
      </c>
    </row>
    <row r="166" spans="1:28" ht="17" thickBot="1">
      <c r="A166"/>
      <c r="B166" s="922">
        <f>B164/(0.9*$H$22*$B$167*$B$156^2)</f>
        <v>1.1875784284355314E-2</v>
      </c>
      <c r="D166" s="892"/>
      <c r="S166" s="330">
        <v>6</v>
      </c>
      <c r="T166" s="942">
        <f t="shared" si="22"/>
        <v>2.3499999999999996</v>
      </c>
      <c r="U166" s="942">
        <f t="shared" si="23"/>
        <v>1.2601330276308673</v>
      </c>
      <c r="V166" s="988"/>
      <c r="W166" s="942">
        <f>'[4]Tinh lun M1'!E9</f>
        <v>0.246</v>
      </c>
      <c r="X166" s="943">
        <f t="shared" si="18"/>
        <v>2.2299004484280482</v>
      </c>
      <c r="Y166" s="944">
        <f t="shared" si="24"/>
        <v>51.718499999999999</v>
      </c>
      <c r="Z166" s="943">
        <f t="shared" si="19"/>
        <v>4.3116108325416402E-2</v>
      </c>
      <c r="AA166" s="945">
        <f t="shared" si="25"/>
        <v>544.67999999999995</v>
      </c>
      <c r="AB166" s="945">
        <f t="shared" si="26"/>
        <v>0.18</v>
      </c>
    </row>
    <row r="167" spans="1:28" ht="14" customHeight="1">
      <c r="A167" s="822" t="s">
        <v>1441</v>
      </c>
      <c r="B167" s="822">
        <v>1.5</v>
      </c>
      <c r="E167" s="991" t="s">
        <v>1201</v>
      </c>
      <c r="F167" s="991" t="s">
        <v>1430</v>
      </c>
      <c r="G167" s="991"/>
      <c r="H167" s="991"/>
      <c r="I167" s="991"/>
      <c r="J167" s="991" t="s">
        <v>1431</v>
      </c>
      <c r="K167" s="991" t="s">
        <v>111</v>
      </c>
      <c r="S167" s="330">
        <v>7</v>
      </c>
      <c r="T167" s="942">
        <f t="shared" si="22"/>
        <v>2.8199999999999994</v>
      </c>
      <c r="U167" s="942">
        <f t="shared" si="23"/>
        <v>1.5121596331570408</v>
      </c>
      <c r="V167" s="988"/>
      <c r="W167" s="942">
        <f>'[4]Tinh lun M1'!E10</f>
        <v>0.18099999999999999</v>
      </c>
      <c r="X167" s="943">
        <f t="shared" si="18"/>
        <v>1.6406991104287671</v>
      </c>
      <c r="Y167" s="944">
        <f t="shared" si="24"/>
        <v>57.386699999999998</v>
      </c>
      <c r="Z167" s="943">
        <f t="shared" si="19"/>
        <v>2.8590232761750847E-2</v>
      </c>
      <c r="AA167" s="945">
        <f t="shared" si="25"/>
        <v>544.67999999999995</v>
      </c>
      <c r="AB167" s="945">
        <f t="shared" si="26"/>
        <v>0.13</v>
      </c>
    </row>
    <row r="168" spans="1:28" ht="14.5" customHeight="1" thickBot="1">
      <c r="A168"/>
      <c r="B168" s="923">
        <f>(1-SQRT(1-2*B166))</f>
        <v>1.1947151498823194E-2</v>
      </c>
      <c r="E168" s="998"/>
      <c r="F168" s="998"/>
      <c r="G168" s="990"/>
      <c r="H168" s="990"/>
      <c r="I168" s="990"/>
      <c r="J168" s="990"/>
      <c r="K168" s="990"/>
      <c r="S168" s="330">
        <v>8</v>
      </c>
      <c r="T168" s="942">
        <f t="shared" si="22"/>
        <v>3.2899999999999991</v>
      </c>
      <c r="U168" s="942">
        <f t="shared" si="23"/>
        <v>1.7641862386832141</v>
      </c>
      <c r="V168" s="988"/>
      <c r="W168" s="942">
        <f>'[4]Tinh lun M1'!E11</f>
        <v>0.13800000000000001</v>
      </c>
      <c r="X168" s="943">
        <f t="shared" si="18"/>
        <v>1.2509197637523197</v>
      </c>
      <c r="Y168" s="944">
        <f t="shared" si="24"/>
        <v>63.999599999999994</v>
      </c>
      <c r="Z168" s="943">
        <f t="shared" si="19"/>
        <v>1.9545743469526682E-2</v>
      </c>
      <c r="AA168" s="945">
        <f t="shared" si="25"/>
        <v>544.67999999999995</v>
      </c>
      <c r="AB168" s="945">
        <f t="shared" si="26"/>
        <v>0.1</v>
      </c>
    </row>
    <row r="169" spans="1:28" ht="19" thickBot="1">
      <c r="A169" s="822" t="s">
        <v>258</v>
      </c>
      <c r="B169" s="924">
        <f>B168*0.9*$H$22*$B$167*$B$156/$H$31</f>
        <v>3.7585525273306714E-4</v>
      </c>
      <c r="C169" s="892">
        <f>B169*10^4</f>
        <v>3.7585525273306715</v>
      </c>
      <c r="D169" s="822" t="s">
        <v>534</v>
      </c>
      <c r="E169" s="990"/>
      <c r="F169" s="990"/>
      <c r="G169" s="967" t="s">
        <v>1347</v>
      </c>
      <c r="H169" s="967" t="s">
        <v>1347</v>
      </c>
      <c r="I169" s="967"/>
      <c r="J169" s="967" t="s">
        <v>1347</v>
      </c>
      <c r="K169" s="967" t="s">
        <v>631</v>
      </c>
      <c r="S169" s="330">
        <v>9</v>
      </c>
      <c r="T169" s="942">
        <f t="shared" si="22"/>
        <v>3.7599999999999989</v>
      </c>
      <c r="U169" s="942">
        <f t="shared" si="23"/>
        <v>2.0162128442093876</v>
      </c>
      <c r="V169" s="988"/>
      <c r="W169" s="942">
        <f>'[4]Tinh lun M1'!E12</f>
        <v>0.11</v>
      </c>
      <c r="X169" s="943">
        <f t="shared" si="18"/>
        <v>0.9971099566141679</v>
      </c>
      <c r="Y169" s="944">
        <f t="shared" si="24"/>
        <v>71.557199999999995</v>
      </c>
      <c r="Z169" s="943">
        <f t="shared" si="19"/>
        <v>1.3934446241806108E-2</v>
      </c>
      <c r="AA169" s="945">
        <f t="shared" si="25"/>
        <v>544.67999999999995</v>
      </c>
      <c r="AB169" s="945">
        <f t="shared" si="26"/>
        <v>0.08</v>
      </c>
    </row>
    <row r="170" spans="1:28" ht="17" thickBot="1">
      <c r="B170" s="822">
        <v>8</v>
      </c>
      <c r="C170" s="822">
        <v>12</v>
      </c>
      <c r="D170" s="822">
        <f>(B167-0.1)/(B170-1)*1000</f>
        <v>199.99999999999997</v>
      </c>
      <c r="E170" s="890">
        <v>4</v>
      </c>
      <c r="F170" s="967">
        <v>1</v>
      </c>
      <c r="G170" s="968">
        <f>K161</f>
        <v>9.064635969219708</v>
      </c>
      <c r="H170" s="989">
        <f>G170+G171</f>
        <v>17.132161981825249</v>
      </c>
      <c r="I170" s="991">
        <v>0.8</v>
      </c>
      <c r="J170" s="991">
        <f>$M$43</f>
        <v>544.67999999999995</v>
      </c>
      <c r="K170" s="989">
        <f>I170/J170*H170*1.5*100</f>
        <v>3.7744353341760859</v>
      </c>
      <c r="M170" s="822">
        <f>0.8/11420*336.99*1.5</f>
        <v>3.5410507880910685E-2</v>
      </c>
      <c r="N170" s="822">
        <f>+M170*100</f>
        <v>3.5410507880910687</v>
      </c>
      <c r="S170" s="330">
        <v>10</v>
      </c>
      <c r="T170" s="942">
        <f t="shared" si="22"/>
        <v>4.2299999999999986</v>
      </c>
      <c r="U170" s="942">
        <f t="shared" si="23"/>
        <v>2.2682394497355611</v>
      </c>
      <c r="V170" s="988"/>
      <c r="W170" s="942">
        <f>'[4]Tinh lun M1'!E13</f>
        <v>8.7999999999999995E-2</v>
      </c>
      <c r="X170" s="943">
        <f t="shared" si="18"/>
        <v>0.79768796529133423</v>
      </c>
      <c r="Y170" s="944">
        <f t="shared" si="24"/>
        <v>80.059499999999986</v>
      </c>
      <c r="Z170" s="943">
        <f t="shared" si="19"/>
        <v>9.9636890723940868E-3</v>
      </c>
      <c r="AA170" s="945">
        <f t="shared" si="25"/>
        <v>544.67999999999995</v>
      </c>
      <c r="AB170" s="945">
        <f t="shared" si="26"/>
        <v>0.06</v>
      </c>
    </row>
    <row r="171" spans="1:28" ht="17" thickBot="1">
      <c r="C171" s="892">
        <f>B170*(C170/10)^2/4*3.14</f>
        <v>9.0432000000000006</v>
      </c>
      <c r="D171" s="822" t="s">
        <v>534</v>
      </c>
      <c r="E171" s="890">
        <v>4</v>
      </c>
      <c r="F171" s="967">
        <v>2</v>
      </c>
      <c r="G171" s="969">
        <f>K162</f>
        <v>8.0675260126055406</v>
      </c>
      <c r="H171" s="990"/>
      <c r="I171" s="990"/>
      <c r="J171" s="990"/>
      <c r="K171" s="990"/>
      <c r="S171" s="330">
        <v>11</v>
      </c>
      <c r="T171" s="942">
        <f t="shared" si="22"/>
        <v>4.6999999999999984</v>
      </c>
      <c r="U171" s="942">
        <f t="shared" si="23"/>
        <v>2.5202660552617342</v>
      </c>
      <c r="V171" s="988"/>
      <c r="W171" s="942">
        <f>'[4]Tinh lun M1'!E14</f>
        <v>7.4999999999999997E-2</v>
      </c>
      <c r="X171" s="943">
        <f t="shared" si="18"/>
        <v>0.67984769769147813</v>
      </c>
      <c r="Y171" s="944">
        <f t="shared" si="24"/>
        <v>89.506499999999988</v>
      </c>
      <c r="Z171" s="943">
        <f t="shared" si="19"/>
        <v>7.5955120319918462E-3</v>
      </c>
      <c r="AA171" s="945">
        <f t="shared" si="25"/>
        <v>544.67999999999995</v>
      </c>
      <c r="AB171" s="945">
        <f t="shared" si="26"/>
        <v>0.05</v>
      </c>
    </row>
    <row r="172" spans="1:28" ht="17" thickBot="1">
      <c r="B172" s="908">
        <f>B164/(0.9*B167*B156)</f>
        <v>7.7489492455418407</v>
      </c>
      <c r="C172" s="822">
        <v>1.2999999999999999E-2</v>
      </c>
      <c r="E172" s="890">
        <v>4</v>
      </c>
      <c r="F172" s="967">
        <v>2</v>
      </c>
      <c r="G172" s="969">
        <f>G171</f>
        <v>8.0675260126055406</v>
      </c>
      <c r="H172" s="989">
        <f>G172+G173</f>
        <v>14.412771191059335</v>
      </c>
      <c r="I172" s="991">
        <v>0.8</v>
      </c>
      <c r="J172" s="991">
        <f t="shared" ref="J172" si="27">$M$43</f>
        <v>544.67999999999995</v>
      </c>
      <c r="K172" s="989">
        <f t="shared" ref="K172" si="28">I172/J172*H172*1.5*100</f>
        <v>3.1753186144655956</v>
      </c>
      <c r="S172" s="330">
        <v>12</v>
      </c>
      <c r="T172" s="942">
        <f t="shared" si="22"/>
        <v>5.1699999999999982</v>
      </c>
      <c r="U172" s="942">
        <f t="shared" si="23"/>
        <v>2.7722926607879077</v>
      </c>
      <c r="V172" s="988"/>
      <c r="W172" s="942">
        <f>'[4]Tinh lun M1'!E15</f>
        <v>6.3E-2</v>
      </c>
      <c r="X172" s="943">
        <f t="shared" si="18"/>
        <v>0.5710720660608416</v>
      </c>
      <c r="Y172" s="944">
        <f t="shared" si="24"/>
        <v>99.898199999999989</v>
      </c>
      <c r="Z172" s="943">
        <f t="shared" si="19"/>
        <v>5.7165400984286168E-3</v>
      </c>
      <c r="AA172" s="945">
        <f t="shared" si="25"/>
        <v>544.67999999999995</v>
      </c>
      <c r="AB172" s="945">
        <f t="shared" si="26"/>
        <v>0.04</v>
      </c>
    </row>
    <row r="173" spans="1:28" ht="17" thickBot="1">
      <c r="C173" s="822">
        <f>(1-SQRT(1-2*C172))/2</f>
        <v>6.5428083409869164E-3</v>
      </c>
      <c r="E173" s="890">
        <v>4</v>
      </c>
      <c r="F173" s="967">
        <v>3</v>
      </c>
      <c r="G173" s="969">
        <f>K163</f>
        <v>6.3452451784537951</v>
      </c>
      <c r="H173" s="990"/>
      <c r="I173" s="990"/>
      <c r="J173" s="990"/>
      <c r="K173" s="990"/>
      <c r="S173" s="7"/>
      <c r="T173" s="7"/>
      <c r="U173" s="7"/>
      <c r="V173" s="7"/>
      <c r="W173" s="7"/>
      <c r="X173" s="7"/>
      <c r="Y173" s="7"/>
      <c r="Z173" s="7"/>
      <c r="AA173" s="941" t="s">
        <v>1471</v>
      </c>
      <c r="AB173" s="946">
        <f>SUM(AB162:AB172)</f>
        <v>2.38</v>
      </c>
    </row>
    <row r="174" spans="1:28" ht="17" thickBot="1">
      <c r="E174" s="890">
        <v>4</v>
      </c>
      <c r="F174" s="967">
        <v>3</v>
      </c>
      <c r="G174" s="969">
        <f>G173</f>
        <v>6.3452451784537951</v>
      </c>
      <c r="H174" s="989">
        <f>G174+G175</f>
        <v>10.968209522755846</v>
      </c>
      <c r="I174" s="991">
        <v>0.8</v>
      </c>
      <c r="J174" s="991">
        <f t="shared" ref="J174" si="29">$M$43</f>
        <v>544.67999999999995</v>
      </c>
      <c r="K174" s="989">
        <f t="shared" ref="K174" si="30">I174/J174*H174*1.5*100</f>
        <v>2.4164374361656416</v>
      </c>
      <c r="R174" s="822" t="s">
        <v>1473</v>
      </c>
      <c r="S174" s="822">
        <f>S172</f>
        <v>12</v>
      </c>
      <c r="AA174" s="7"/>
      <c r="AB174" s="7"/>
    </row>
    <row r="175" spans="1:28" ht="17" thickBot="1">
      <c r="E175" s="890">
        <v>4</v>
      </c>
      <c r="F175" s="967">
        <v>4</v>
      </c>
      <c r="G175" s="968">
        <f>K164</f>
        <v>4.6229643443020514</v>
      </c>
      <c r="H175" s="990"/>
      <c r="I175" s="990"/>
      <c r="J175" s="990"/>
      <c r="K175" s="990"/>
      <c r="R175" s="822" t="s">
        <v>1243</v>
      </c>
      <c r="S175" s="935">
        <f>+T172</f>
        <v>5.1699999999999982</v>
      </c>
    </row>
    <row r="176" spans="1:28" ht="17" thickBot="1">
      <c r="A176" s="823" t="s">
        <v>1445</v>
      </c>
      <c r="E176" s="992" t="s">
        <v>1432</v>
      </c>
      <c r="F176" s="993"/>
      <c r="G176" s="993"/>
      <c r="H176" s="993"/>
      <c r="I176" s="993"/>
      <c r="J176" s="994"/>
      <c r="K176" s="968">
        <f>SUM(K170:K175)</f>
        <v>9.3661913848073226</v>
      </c>
      <c r="R176" s="822" t="s">
        <v>1474</v>
      </c>
      <c r="S176" s="822">
        <f>AB173</f>
        <v>2.38</v>
      </c>
    </row>
    <row r="180" spans="1:5">
      <c r="C180" s="822">
        <v>7.0000000000000007E-2</v>
      </c>
    </row>
    <row r="181" spans="1:5">
      <c r="C181" s="822">
        <f>0.5*(1+SQRT(1-2*C180))</f>
        <v>0.96368092477478517</v>
      </c>
      <c r="E181" s="822">
        <v>7.0000000000000007E-2</v>
      </c>
    </row>
    <row r="182" spans="1:5">
      <c r="E182" s="822">
        <f>1-SQRT(1-2*E181)</f>
        <v>7.263815045042965E-2</v>
      </c>
    </row>
    <row r="183" spans="1:5" ht="33">
      <c r="A183" s="893" t="s">
        <v>1446</v>
      </c>
      <c r="E183" s="822">
        <f>+E182*0.9*1.45*320*140/36.5</f>
        <v>116.34840624476492</v>
      </c>
    </row>
    <row r="184" spans="1:5">
      <c r="A184" s="822" t="s">
        <v>1447</v>
      </c>
      <c r="B184" s="822">
        <f>B54*0.207</f>
        <v>2.0699999999999998</v>
      </c>
      <c r="C184" s="822" t="s">
        <v>6</v>
      </c>
    </row>
    <row r="185" spans="1:5">
      <c r="A185" s="822" t="s">
        <v>225</v>
      </c>
      <c r="B185" s="822">
        <f>1.2*2.5*D39*D40</f>
        <v>0.26999999999999996</v>
      </c>
      <c r="C185" s="822" t="s">
        <v>843</v>
      </c>
    </row>
    <row r="186" spans="1:5">
      <c r="A186" s="822" t="s">
        <v>806</v>
      </c>
      <c r="B186" s="892">
        <f>0.0214*B185*B54^2</f>
        <v>0.57779999999999998</v>
      </c>
    </row>
    <row r="188" spans="1:5" ht="13.5" customHeight="1">
      <c r="A188" s="893" t="s">
        <v>1448</v>
      </c>
    </row>
    <row r="189" spans="1:5">
      <c r="A189" s="822" t="s">
        <v>1449</v>
      </c>
      <c r="B189" s="892">
        <f>0.068*B185*B54^2</f>
        <v>1.8359999999999999</v>
      </c>
    </row>
    <row r="191" spans="1:5">
      <c r="A191"/>
      <c r="B191" s="892">
        <f>1.2*B189/(H22*B192*B193^2)</f>
        <v>6.9476372924648769E-2</v>
      </c>
    </row>
    <row r="192" spans="1:5">
      <c r="A192" s="822" t="s">
        <v>241</v>
      </c>
      <c r="B192" s="822">
        <f>D39</f>
        <v>0.3</v>
      </c>
    </row>
    <row r="193" spans="1:4">
      <c r="A193" s="822" t="s">
        <v>514</v>
      </c>
      <c r="B193" s="822">
        <f>B192-0.03</f>
        <v>0.27</v>
      </c>
    </row>
    <row r="194" spans="1:4">
      <c r="A194"/>
      <c r="B194" s="822">
        <f>1-SQRT(1-2*B191)</f>
        <v>7.2073680645546867E-2</v>
      </c>
    </row>
    <row r="195" spans="1:4">
      <c r="A195"/>
      <c r="B195" s="822">
        <f>ROUND(1-0.5*B194,2)</f>
        <v>0.96</v>
      </c>
    </row>
    <row r="196" spans="1:4">
      <c r="A196" s="822" t="s">
        <v>258</v>
      </c>
      <c r="B196" s="892">
        <f>1.2*B189/(H31*B195*B193)</f>
        <v>3.0357142857142855E-4</v>
      </c>
      <c r="C196" s="892">
        <f>B196*10^4</f>
        <v>3.0357142857142856</v>
      </c>
    </row>
    <row r="197" spans="1:4">
      <c r="B197" s="822">
        <f>B41</f>
        <v>4</v>
      </c>
      <c r="C197" s="822">
        <f>D41</f>
        <v>16</v>
      </c>
    </row>
    <row r="198" spans="1:4">
      <c r="C198" s="892">
        <f>B197*(C197/10)^2/4*3.14</f>
        <v>8.0384000000000011</v>
      </c>
      <c r="D198" s="822" t="s">
        <v>534</v>
      </c>
    </row>
    <row r="200" spans="1:4" ht="16.5">
      <c r="A200" s="893" t="s">
        <v>1450</v>
      </c>
    </row>
    <row r="201" spans="1:4">
      <c r="A201" s="822" t="s">
        <v>628</v>
      </c>
      <c r="B201" s="822">
        <f>B185*B54/2</f>
        <v>1.3499999999999999</v>
      </c>
      <c r="C201" s="822" t="s">
        <v>670</v>
      </c>
    </row>
    <row r="202" spans="1:4">
      <c r="A202" s="822" t="s">
        <v>258</v>
      </c>
      <c r="B202" s="822">
        <f>1.2*B201/H31</f>
        <v>5.7857142857142855E-5</v>
      </c>
      <c r="C202" s="892">
        <f>B202*10^4</f>
        <v>0.57857142857142851</v>
      </c>
    </row>
    <row r="203" spans="1:4">
      <c r="B203" s="822">
        <v>1</v>
      </c>
      <c r="C203" s="822">
        <v>16</v>
      </c>
      <c r="D203" s="822">
        <f>(B200-0.1)/B203*1000</f>
        <v>-100</v>
      </c>
    </row>
    <row r="204" spans="1:4">
      <c r="C204" s="892">
        <f>B203*(C203/10)^2/4*3.14</f>
        <v>2.0096000000000003</v>
      </c>
      <c r="D204" s="822" t="s">
        <v>534</v>
      </c>
    </row>
  </sheetData>
  <mergeCells count="56">
    <mergeCell ref="U56:AB56"/>
    <mergeCell ref="U58:U59"/>
    <mergeCell ref="V58:V59"/>
    <mergeCell ref="W58:W59"/>
    <mergeCell ref="Z58:Z59"/>
    <mergeCell ref="P58:P59"/>
    <mergeCell ref="E149:E150"/>
    <mergeCell ref="E155:G155"/>
    <mergeCell ref="K39:K42"/>
    <mergeCell ref="L39:L42"/>
    <mergeCell ref="M39:M42"/>
    <mergeCell ref="K58:K59"/>
    <mergeCell ref="L58:L59"/>
    <mergeCell ref="M58:M59"/>
    <mergeCell ref="J39:J42"/>
    <mergeCell ref="E39:E42"/>
    <mergeCell ref="F39:F42"/>
    <mergeCell ref="G39:G42"/>
    <mergeCell ref="H39:H42"/>
    <mergeCell ref="I39:I42"/>
    <mergeCell ref="E158:E160"/>
    <mergeCell ref="F158:F160"/>
    <mergeCell ref="G158:G159"/>
    <mergeCell ref="H158:H160"/>
    <mergeCell ref="I158:I160"/>
    <mergeCell ref="E167:E169"/>
    <mergeCell ref="F167:F169"/>
    <mergeCell ref="G167:G168"/>
    <mergeCell ref="H167:H168"/>
    <mergeCell ref="I167:I168"/>
    <mergeCell ref="E176:J176"/>
    <mergeCell ref="Q107:Q108"/>
    <mergeCell ref="R107:R108"/>
    <mergeCell ref="S107:S108"/>
    <mergeCell ref="T107:T108"/>
    <mergeCell ref="H170:H171"/>
    <mergeCell ref="I170:I171"/>
    <mergeCell ref="J170:J171"/>
    <mergeCell ref="K170:K171"/>
    <mergeCell ref="H172:H173"/>
    <mergeCell ref="I172:I173"/>
    <mergeCell ref="J172:J173"/>
    <mergeCell ref="K172:K173"/>
    <mergeCell ref="L158:L159"/>
    <mergeCell ref="M158:M160"/>
    <mergeCell ref="H174:H175"/>
    <mergeCell ref="I174:I175"/>
    <mergeCell ref="J174:J175"/>
    <mergeCell ref="K174:K175"/>
    <mergeCell ref="J167:J168"/>
    <mergeCell ref="K167:K168"/>
    <mergeCell ref="V161:V172"/>
    <mergeCell ref="J158:J160"/>
    <mergeCell ref="K158:K159"/>
    <mergeCell ref="U107:U108"/>
    <mergeCell ref="V107:Y107"/>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C51F9-D295-4D54-B7BE-DC8EC9F9E35D}">
  <sheetPr codeName="Sheet7"/>
  <dimension ref="A1:AB187"/>
  <sheetViews>
    <sheetView topLeftCell="A110" zoomScaleNormal="100" workbookViewId="0">
      <selection activeCell="T117" sqref="T117"/>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9" width="11.08203125" style="822" bestFit="1" customWidth="1"/>
    <col min="10" max="13" width="9.08203125" style="822"/>
    <col min="14" max="14" width="10.6640625" style="822" bestFit="1" customWidth="1"/>
    <col min="15" max="16384" width="9.08203125" style="822"/>
  </cols>
  <sheetData>
    <row r="1" spans="1:9">
      <c r="A1" s="822" t="str">
        <f>IF([2]TH!A1&lt;&gt;"",[2]TH!A1,"")</f>
        <v>Ngày thực hiện luận văn</v>
      </c>
      <c r="B1" s="822" t="str">
        <f>IF([2]TH!B1&lt;&gt;"",[2]TH!B1,"")</f>
        <v>ngày 02 tháng 07 năm 2020</v>
      </c>
      <c r="C1" s="822" t="str">
        <f>IF([2]TH!C1&lt;&gt;"",[2]TH!C1,"")</f>
        <v/>
      </c>
      <c r="D1" s="822" t="str">
        <f>IF([2]TH!D1&lt;&gt;"",[2]TH!D1,"")</f>
        <v/>
      </c>
      <c r="E1" s="822" t="str">
        <f>IF([2]TH!E1&lt;&gt;"",[2]TH!E1,"")</f>
        <v/>
      </c>
      <c r="F1" s="822" t="str">
        <f>IF([2]TH!F1&lt;&gt;"",[2]TH!F1,"")</f>
        <v/>
      </c>
      <c r="G1" s="822" t="str">
        <f>IF([2]TH!G1&lt;&gt;"",[2]TH!G1,"")</f>
        <v/>
      </c>
      <c r="H1" s="822" t="str">
        <f>IF([2]TH!H1&lt;&gt;"",[2]TH!H1,"")</f>
        <v/>
      </c>
      <c r="I1" s="822" t="str">
        <f>IF([2]TH!I1&lt;&gt;"",[2]TH!I1,"")</f>
        <v/>
      </c>
    </row>
    <row r="2" spans="1:9">
      <c r="A2" s="822" t="str">
        <f>IF([2]TH!A2&lt;&gt;"",[2]TH!A2,"")</f>
        <v>Tên công trình:</v>
      </c>
      <c r="B2" s="822" t="str">
        <f>IF([2]TH!B2&lt;&gt;"",[2]TH!B2,"")</f>
        <v>Trụ Sở Làm Việc Xã Tân Ân -Huyện Ngọc Hiển-Tỉnh Cà Mau</v>
      </c>
      <c r="C2" s="822" t="str">
        <f>IF([2]TH!C2&lt;&gt;"",[2]TH!C2,"")</f>
        <v/>
      </c>
      <c r="D2" s="822" t="str">
        <f>IF([2]TH!D2&lt;&gt;"",[2]TH!D2,"")</f>
        <v/>
      </c>
      <c r="E2" s="822" t="str">
        <f>IF([2]TH!E2&lt;&gt;"",[2]TH!E2,"")</f>
        <v/>
      </c>
      <c r="F2" s="822" t="str">
        <f>IF([2]TH!F2&lt;&gt;"",[2]TH!F2,"")</f>
        <v/>
      </c>
      <c r="G2" s="822" t="str">
        <f>IF([2]TH!G2&lt;&gt;"",[2]TH!G2,"")</f>
        <v/>
      </c>
      <c r="H2" s="822" t="str">
        <f>IF([2]TH!H2&lt;&gt;"",[2]TH!H2,"")</f>
        <v/>
      </c>
      <c r="I2" s="822" t="str">
        <f>IF([2]TH!I2&lt;&gt;"",[2]TH!I2,"")</f>
        <v/>
      </c>
    </row>
    <row r="3" spans="1:9">
      <c r="A3" s="822" t="str">
        <f>IF([2]TH!A3&lt;&gt;"",[2]TH!A3,"")</f>
        <v>Địa điểm:</v>
      </c>
      <c r="B3" s="822" t="str">
        <f>IF([2]TH!B3&lt;&gt;"",[2]TH!B3,"")</f>
        <v>Xã Tân Ân -Huyện Ngọc Hiển-Tỉnh Cà Mau</v>
      </c>
      <c r="C3" s="822" t="str">
        <f>IF([2]TH!C3&lt;&gt;"",[2]TH!C3,"")</f>
        <v/>
      </c>
      <c r="D3" s="822" t="str">
        <f>IF([2]TH!D3&lt;&gt;"",[2]TH!D3,"")</f>
        <v/>
      </c>
      <c r="E3" s="822" t="str">
        <f>IF([2]TH!E3&lt;&gt;"",[2]TH!E3,"")</f>
        <v/>
      </c>
      <c r="F3" s="822" t="str">
        <f>IF([2]TH!F3&lt;&gt;"",[2]TH!F3,"")</f>
        <v/>
      </c>
      <c r="G3" s="822" t="str">
        <f>IF([2]TH!G3&lt;&gt;"",[2]TH!G3,"")</f>
        <v/>
      </c>
      <c r="H3" s="822" t="str">
        <f>IF([2]TH!H3&lt;&gt;"",[2]TH!H3,"")</f>
        <v/>
      </c>
      <c r="I3" s="822" t="str">
        <f>IF([2]TH!I3&lt;&gt;"",[2]TH!I3,"")</f>
        <v/>
      </c>
    </row>
    <row r="4" spans="1:9">
      <c r="A4" s="822" t="str">
        <f>IF([2]TH!A4&lt;&gt;"",[2]TH!A4,"")</f>
        <v>Đặc điểm công trình:</v>
      </c>
      <c r="B4" s="822" t="str">
        <f>IF([2]TH!B4&lt;&gt;"",[2]TH!B4,"")</f>
        <v>1 tầng trệt, 2 tầng lầu</v>
      </c>
      <c r="C4" s="822" t="str">
        <f>IF([2]TH!C4&lt;&gt;"",[2]TH!C4,"")</f>
        <v/>
      </c>
      <c r="D4" s="822" t="str">
        <f>IF([2]TH!D4&lt;&gt;"",[2]TH!D4,"")</f>
        <v/>
      </c>
      <c r="E4" s="822" t="str">
        <f>IF([2]TH!E4&lt;&gt;"",[2]TH!E4,"")</f>
        <v/>
      </c>
      <c r="F4" s="822" t="str">
        <f>IF([2]TH!F4&lt;&gt;"",[2]TH!F4,"")</f>
        <v/>
      </c>
      <c r="G4" s="822" t="str">
        <f>IF([2]TH!G4&lt;&gt;"",[2]TH!G4,"")</f>
        <v/>
      </c>
      <c r="H4" s="822" t="str">
        <f>IF([2]TH!H4&lt;&gt;"",[2]TH!H4,"")</f>
        <v/>
      </c>
      <c r="I4" s="822" t="str">
        <f>IF([2]TH!I4&lt;&gt;"",[2]TH!I4,"")</f>
        <v/>
      </c>
    </row>
    <row r="5" spans="1:9">
      <c r="A5" s="822" t="str">
        <f>IF([2]TH!A5&lt;&gt;"",[2]TH!A5,"")</f>
        <v>Cấp công trình</v>
      </c>
      <c r="B5" s="822">
        <f>IF([2]TH!B5&lt;&gt;"",[2]TH!B5,"")</f>
        <v>5000</v>
      </c>
      <c r="C5" s="822" t="str">
        <f>IF([2]TH!C5&lt;&gt;"",[2]TH!C5,"")</f>
        <v/>
      </c>
      <c r="D5" s="822" t="str">
        <f>IF([2]TH!D5&lt;&gt;"",[2]TH!D5,"")</f>
        <v/>
      </c>
      <c r="E5" s="822" t="str">
        <f>IF([2]TH!E5&lt;&gt;"",[2]TH!E5,"")</f>
        <v/>
      </c>
      <c r="F5" s="822" t="str">
        <f>IF([2]TH!F5&lt;&gt;"",[2]TH!F5,"")</f>
        <v/>
      </c>
      <c r="G5" s="822" t="str">
        <f>IF([2]TH!G5&lt;&gt;"",[2]TH!G5,"")</f>
        <v/>
      </c>
      <c r="H5" s="822" t="str">
        <f>IF([2]TH!H5&lt;&gt;"",[2]TH!H5,"")</f>
        <v/>
      </c>
      <c r="I5" s="822" t="str">
        <f>IF([2]TH!I5&lt;&gt;"",[2]TH!I5,"")</f>
        <v/>
      </c>
    </row>
    <row r="6" spans="1:9">
      <c r="A6" s="822" t="str">
        <f>IF([2]TH!A6&lt;&gt;"",[2]TH!A6,"")</f>
        <v>Số tầng:</v>
      </c>
      <c r="B6" s="822">
        <f>IF([2]TH!B6&lt;&gt;"",[2]TH!B6,"")</f>
        <v>4</v>
      </c>
      <c r="C6" s="822" t="str">
        <f>IF([2]TH!C6&lt;&gt;"",[2]TH!C6,"")</f>
        <v>tầng</v>
      </c>
      <c r="D6" s="822" t="str">
        <f>IF([2]TH!D6&lt;&gt;"",[2]TH!D6,"")</f>
        <v/>
      </c>
      <c r="E6" s="822" t="str">
        <f>IF([2]TH!E6&lt;&gt;"",[2]TH!E6,"")</f>
        <v/>
      </c>
      <c r="F6" s="822" t="str">
        <f>IF([2]TH!F6&lt;&gt;"",[2]TH!F6,"")</f>
        <v/>
      </c>
      <c r="G6" s="822" t="str">
        <f>IF([2]TH!G6&lt;&gt;"",[2]TH!G6,"")</f>
        <v/>
      </c>
      <c r="H6" s="822" t="str">
        <f>IF([2]TH!H6&lt;&gt;"",[2]TH!H6,"")</f>
        <v/>
      </c>
      <c r="I6" s="822" t="str">
        <f>IF([2]TH!I6&lt;&gt;"",[2]TH!I6,"")</f>
        <v/>
      </c>
    </row>
    <row r="7" spans="1:9">
      <c r="A7" s="822" t="str">
        <f>IF([2]TH!A7&lt;&gt;"",[2]TH!A7,"")</f>
        <v>Diện tích xây dựng</v>
      </c>
      <c r="B7" s="822">
        <f>IF([2]TH!B7&lt;&gt;"",[2]TH!B7,"")</f>
        <v>435.7</v>
      </c>
      <c r="C7" s="822" t="str">
        <f>IF([2]TH!C7&lt;&gt;"",[2]TH!C7,"")</f>
        <v>m2</v>
      </c>
      <c r="D7" s="822" t="str">
        <f>IF([2]TH!D7&lt;&gt;"",[2]TH!D7,"")</f>
        <v/>
      </c>
      <c r="E7" s="822" t="str">
        <f>IF([2]TH!E7&lt;&gt;"",[2]TH!E7,"")</f>
        <v/>
      </c>
      <c r="F7" s="822" t="str">
        <f>IF([2]TH!F7&lt;&gt;"",[2]TH!F7,"")</f>
        <v/>
      </c>
      <c r="G7" s="822" t="str">
        <f>IF([2]TH!G7&lt;&gt;"",[2]TH!G7,"")</f>
        <v/>
      </c>
      <c r="H7" s="822" t="str">
        <f>IF([2]TH!H7&lt;&gt;"",[2]TH!H7,"")</f>
        <v/>
      </c>
      <c r="I7" s="822" t="str">
        <f>IF([2]TH!I7&lt;&gt;"",[2]TH!I7,"")</f>
        <v/>
      </c>
    </row>
    <row r="8" spans="1:9">
      <c r="A8" s="822" t="str">
        <f>IF([2]TH!A8&lt;&gt;"",[2]TH!A8,"")</f>
        <v xml:space="preserve">Tổng diện tích </v>
      </c>
      <c r="B8" s="822">
        <f>IF([2]TH!B8&lt;&gt;"",[2]TH!B8,"")</f>
        <v>814.3</v>
      </c>
      <c r="C8" s="822" t="str">
        <f>IF([2]TH!C8&lt;&gt;"",[2]TH!C8,"")</f>
        <v>m2</v>
      </c>
      <c r="D8" s="822" t="str">
        <f>IF([2]TH!D8&lt;&gt;"",[2]TH!D8,"")</f>
        <v/>
      </c>
      <c r="E8" s="822" t="str">
        <f>IF([2]TH!E8&lt;&gt;"",[2]TH!E8,"")</f>
        <v/>
      </c>
      <c r="F8" s="822" t="str">
        <f>IF([2]TH!F8&lt;&gt;"",[2]TH!F8,"")</f>
        <v/>
      </c>
      <c r="G8" s="822" t="str">
        <f>IF([2]TH!G8&lt;&gt;"",[2]TH!G8,"")</f>
        <v/>
      </c>
      <c r="H8" s="822" t="str">
        <f>IF([2]TH!H8&lt;&gt;"",[2]TH!H8,"")</f>
        <v/>
      </c>
      <c r="I8" s="822" t="str">
        <f>IF([2]TH!I8&lt;&gt;"",[2]TH!I8,"")</f>
        <v/>
      </c>
    </row>
    <row r="9" spans="1:9">
      <c r="A9" s="822" t="str">
        <f>IF([2]TH!A9&lt;&gt;"",[2]TH!A9,"")</f>
        <v>Trong đó:</v>
      </c>
      <c r="B9" s="822" t="str">
        <f>IF([2]TH!B9&lt;&gt;"",[2]TH!B9,"")</f>
        <v>tầng trệt: S=435,7 m², lầu 1: S=378,6 m²</v>
      </c>
      <c r="C9" s="822" t="str">
        <f>IF([2]TH!C9&lt;&gt;"",[2]TH!C9,"")</f>
        <v/>
      </c>
      <c r="D9" s="822" t="str">
        <f>IF([2]TH!D9&lt;&gt;"",[2]TH!D9,"")</f>
        <v/>
      </c>
      <c r="E9" s="822" t="str">
        <f>IF([2]TH!E9&lt;&gt;"",[2]TH!E9,"")</f>
        <v/>
      </c>
      <c r="F9" s="822" t="str">
        <f>IF([2]TH!F9&lt;&gt;"",[2]TH!F9,"")</f>
        <v/>
      </c>
      <c r="G9" s="822" t="str">
        <f>IF([2]TH!G9&lt;&gt;"",[2]TH!G9,"")</f>
        <v/>
      </c>
      <c r="H9" s="822" t="str">
        <f>IF([2]TH!H9&lt;&gt;"",[2]TH!H9,"")</f>
        <v/>
      </c>
      <c r="I9" s="822" t="str">
        <f>IF([2]TH!I9&lt;&gt;"",[2]TH!I9,"")</f>
        <v/>
      </c>
    </row>
    <row r="10" spans="1:9">
      <c r="A10" s="822" t="str">
        <f>IF([2]TH!A10&lt;&gt;"",[2]TH!A10,"")</f>
        <v>Chiều cao nèn từ tầng trệt:</v>
      </c>
      <c r="B10" s="822" t="str">
        <f>IF([2]TH!B10&lt;&gt;"",[2]TH!B10,"")</f>
        <v/>
      </c>
      <c r="C10" s="822" t="str">
        <f>IF([2]TH!C10&lt;&gt;"",[2]TH!C10,"")</f>
        <v/>
      </c>
      <c r="D10" s="822" t="str">
        <f>IF([2]TH!D10&lt;&gt;"",[2]TH!D10,"")</f>
        <v/>
      </c>
      <c r="E10" s="822" t="str">
        <f>IF([2]TH!E10&lt;&gt;"",[2]TH!E10,"")</f>
        <v/>
      </c>
      <c r="F10" s="822" t="str">
        <f>IF([2]TH!F10&lt;&gt;"",[2]TH!F10,"")</f>
        <v/>
      </c>
      <c r="G10" s="822" t="str">
        <f>IF([2]TH!G10&lt;&gt;"",[2]TH!G10,"")</f>
        <v/>
      </c>
      <c r="H10" s="822" t="str">
        <f>IF([2]TH!H10&lt;&gt;"",[2]TH!H10,"")</f>
        <v/>
      </c>
      <c r="I10" s="822" t="str">
        <f>IF([2]TH!I10&lt;&gt;"",[2]TH!I10,"")</f>
        <v/>
      </c>
    </row>
    <row r="11" spans="1:9">
      <c r="A11" s="822" t="str">
        <f>IF([2]TH!A11&lt;&gt;"",[2]TH!A11,"")</f>
        <v>Cao độ mỗi tầng:</v>
      </c>
      <c r="B11" s="822" t="str">
        <f>IF([2]TH!B11&lt;&gt;"",[2]TH!B11,"")</f>
        <v/>
      </c>
      <c r="C11" s="822" t="str">
        <f>IF([2]TH!C11&lt;&gt;"",[2]TH!C11,"")</f>
        <v/>
      </c>
      <c r="D11" s="822" t="str">
        <f>IF([2]TH!D11&lt;&gt;"",[2]TH!D11,"")</f>
        <v/>
      </c>
      <c r="E11" s="822" t="str">
        <f>IF([2]TH!E11&lt;&gt;"",[2]TH!E11,"")</f>
        <v/>
      </c>
      <c r="F11" s="822" t="str">
        <f>IF([2]TH!F11&lt;&gt;"",[2]TH!F11,"")</f>
        <v/>
      </c>
      <c r="G11" s="822" t="str">
        <f>IF([2]TH!G11&lt;&gt;"",[2]TH!G11,"")</f>
        <v/>
      </c>
      <c r="H11" s="822" t="str">
        <f>IF([2]TH!H11&lt;&gt;"",[2]TH!H11,"")</f>
        <v/>
      </c>
      <c r="I11" s="822" t="str">
        <f>IF([2]TH!I11&lt;&gt;"",[2]TH!I11,"")</f>
        <v/>
      </c>
    </row>
    <row r="12" spans="1:9">
      <c r="A12" s="822" t="str">
        <f>IF([2]TH!A12&lt;&gt;"",[2]TH!A12,"")</f>
        <v>Tầng trệt</v>
      </c>
      <c r="B12" s="822">
        <f>IF([2]TH!B12&lt;&gt;"",[2]TH!B12,"")</f>
        <v>2.85</v>
      </c>
      <c r="C12" s="822" t="str">
        <f>IF([2]TH!C12&lt;&gt;"",[2]TH!C12,"")</f>
        <v>m</v>
      </c>
      <c r="D12" s="822" t="str">
        <f>IF([2]TH!D12&lt;&gt;"",[2]TH!D12,"")</f>
        <v/>
      </c>
      <c r="E12" s="822" t="str">
        <f>IF([2]TH!E12&lt;&gt;"",[2]TH!E12,"")</f>
        <v/>
      </c>
      <c r="F12" s="822" t="str">
        <f>IF([2]TH!F12&lt;&gt;"",[2]TH!F12,"")</f>
        <v/>
      </c>
      <c r="G12" s="822" t="str">
        <f>IF([2]TH!G12&lt;&gt;"",[2]TH!G12,"")</f>
        <v/>
      </c>
      <c r="H12" s="822" t="str">
        <f>IF([2]TH!H12&lt;&gt;"",[2]TH!H12,"")</f>
        <v/>
      </c>
      <c r="I12" s="822" t="str">
        <f>IF([2]TH!I12&lt;&gt;"",[2]TH!I12,"")</f>
        <v/>
      </c>
    </row>
    <row r="13" spans="1:9">
      <c r="A13" s="822" t="str">
        <f>IF([2]TH!A13&lt;&gt;"",[2]TH!A13,"")</f>
        <v>Tầng 1</v>
      </c>
      <c r="B13" s="822">
        <f>IF([2]TH!B13&lt;&gt;"",[2]TH!B13,"")</f>
        <v>3.6</v>
      </c>
      <c r="C13" s="822" t="str">
        <f>IF([2]TH!C13&lt;&gt;"",[2]TH!C13,"")</f>
        <v>m</v>
      </c>
      <c r="D13" s="822" t="str">
        <f>IF([2]TH!D13&lt;&gt;"",[2]TH!D13,"")</f>
        <v/>
      </c>
      <c r="E13" s="822" t="str">
        <f>IF([2]TH!E13&lt;&gt;"",[2]TH!E13,"")</f>
        <v/>
      </c>
      <c r="F13" s="822" t="str">
        <f>IF([2]TH!F13&lt;&gt;"",[2]TH!F13,"")</f>
        <v/>
      </c>
      <c r="G13" s="822" t="str">
        <f>IF([2]TH!G13&lt;&gt;"",[2]TH!G13,"")</f>
        <v/>
      </c>
      <c r="H13" s="822" t="str">
        <f>IF([2]TH!H13&lt;&gt;"",[2]TH!H13,"")</f>
        <v/>
      </c>
      <c r="I13" s="822" t="str">
        <f>IF([2]TH!I13&lt;&gt;"",[2]TH!I13,"")</f>
        <v/>
      </c>
    </row>
    <row r="14" spans="1:9">
      <c r="A14" s="822" t="str">
        <f>IF([2]TH!A14&lt;&gt;"",[2]TH!A14,"")</f>
        <v>Tầng 2</v>
      </c>
      <c r="B14" s="822">
        <f>IF([2]TH!B14&lt;&gt;"",[2]TH!B14,"")</f>
        <v>6.45</v>
      </c>
      <c r="C14" s="822" t="str">
        <f>IF([2]TH!C14&lt;&gt;"",[2]TH!C14,"")</f>
        <v>m</v>
      </c>
      <c r="D14" s="822" t="str">
        <f>IF([2]TH!D14&lt;&gt;"",[2]TH!D14,"")</f>
        <v/>
      </c>
      <c r="E14" s="822" t="str">
        <f>IF([2]TH!E14&lt;&gt;"",[2]TH!E14,"")</f>
        <v/>
      </c>
      <c r="F14" s="822" t="str">
        <f>IF([2]TH!F14&lt;&gt;"",[2]TH!F14,"")</f>
        <v/>
      </c>
      <c r="G14" s="822" t="str">
        <f>IF([2]TH!G14&lt;&gt;"",[2]TH!G14,"")</f>
        <v/>
      </c>
      <c r="H14" s="822" t="str">
        <f>IF([2]TH!H14&lt;&gt;"",[2]TH!H14,"")</f>
        <v/>
      </c>
      <c r="I14" s="822" t="str">
        <f>IF([2]TH!I14&lt;&gt;"",[2]TH!I14,"")</f>
        <v/>
      </c>
    </row>
    <row r="15" spans="1:9">
      <c r="A15" s="822" t="str">
        <f>IF([2]TH!A15&lt;&gt;"",[2]TH!A15,"")</f>
        <v>Mái</v>
      </c>
      <c r="B15" s="822">
        <f>IF([2]TH!B15&lt;&gt;"",[2]TH!B15,"")</f>
        <v>13.35</v>
      </c>
      <c r="C15" s="822" t="str">
        <f>IF([2]TH!C15&lt;&gt;"",[2]TH!C15,"")</f>
        <v>m</v>
      </c>
      <c r="D15" s="822" t="str">
        <f>IF([2]TH!D15&lt;&gt;"",[2]TH!D15,"")</f>
        <v/>
      </c>
      <c r="E15" s="822" t="str">
        <f>IF([2]TH!E15&lt;&gt;"",[2]TH!E15,"")</f>
        <v/>
      </c>
      <c r="F15" s="822" t="str">
        <f>IF([2]TH!F15&lt;&gt;"",[2]TH!F15,"")</f>
        <v/>
      </c>
      <c r="G15" s="822" t="str">
        <f>IF([2]TH!G15&lt;&gt;"",[2]TH!G15,"")</f>
        <v/>
      </c>
      <c r="H15" s="822" t="str">
        <f>IF([2]TH!H15&lt;&gt;"",[2]TH!H15,"")</f>
        <v/>
      </c>
      <c r="I15" s="822" t="str">
        <f>IF([2]TH!I15&lt;&gt;"",[2]TH!I15,"")</f>
        <v/>
      </c>
    </row>
    <row r="16" spans="1:9">
      <c r="A16" s="822" t="str">
        <f>IF([2]TH!A16&lt;&gt;"",[2]TH!A16,"")</f>
        <v>Chiều cao công trình</v>
      </c>
      <c r="B16" s="822">
        <f>IF([2]TH!B16&lt;&gt;"",[2]TH!B16,"")</f>
        <v>13.35</v>
      </c>
      <c r="C16" s="822" t="str">
        <f>IF([2]TH!C16&lt;&gt;"",[2]TH!C16,"")</f>
        <v>m</v>
      </c>
      <c r="D16" s="822" t="str">
        <f>IF([2]TH!D16&lt;&gt;"",[2]TH!D16,"")</f>
        <v/>
      </c>
      <c r="E16" s="822" t="str">
        <f>IF([2]TH!E16&lt;&gt;"",[2]TH!E16,"")</f>
        <v/>
      </c>
      <c r="F16" s="822" t="str">
        <f>IF([2]TH!F16&lt;&gt;"",[2]TH!F16,"")</f>
        <v/>
      </c>
      <c r="G16" s="822" t="str">
        <f>IF([2]TH!G16&lt;&gt;"",[2]TH!G16,"")</f>
        <v/>
      </c>
      <c r="H16" s="822" t="str">
        <f>IF([2]TH!H16&lt;&gt;"",[2]TH!H16,"")</f>
        <v/>
      </c>
      <c r="I16" s="822" t="str">
        <f>IF([2]TH!I16&lt;&gt;"",[2]TH!I16,"")</f>
        <v/>
      </c>
    </row>
    <row r="17" spans="1:9">
      <c r="A17" s="822" t="str">
        <f>IF([2]TH!A17&lt;&gt;"",[2]TH!A17,"")</f>
        <v>Sàn lầu 1</v>
      </c>
      <c r="B17" s="822">
        <f>IF([2]TH!B17&lt;&gt;"",[2]TH!B17,"")</f>
        <v>3.6</v>
      </c>
      <c r="C17" s="822" t="str">
        <f>IF([2]TH!C17&lt;&gt;"",[2]TH!C17,"")</f>
        <v>m</v>
      </c>
      <c r="D17" s="822" t="str">
        <f>IF([2]TH!D17&lt;&gt;"",[2]TH!D17,"")</f>
        <v/>
      </c>
      <c r="E17" s="822" t="str">
        <f>IF([2]TH!E17&lt;&gt;"",[2]TH!E17,"")</f>
        <v/>
      </c>
      <c r="F17" s="822" t="str">
        <f>IF([2]TH!F17&lt;&gt;"",[2]TH!F17,"")</f>
        <v/>
      </c>
      <c r="G17" s="822" t="str">
        <f>IF([2]TH!G17&lt;&gt;"",[2]TH!G17,"")</f>
        <v/>
      </c>
      <c r="H17" s="822" t="str">
        <f>IF([2]TH!H17&lt;&gt;"",[2]TH!H17,"")</f>
        <v/>
      </c>
      <c r="I17" s="822" t="str">
        <f>IF([2]TH!I17&lt;&gt;"",[2]TH!I17,"")</f>
        <v/>
      </c>
    </row>
    <row r="18" spans="1:9">
      <c r="A18" s="822" t="str">
        <f>IF([2]TH!A18&lt;&gt;"",[2]TH!A18,"")</f>
        <v>Trần lầu 2</v>
      </c>
      <c r="B18" s="822">
        <f>IF([2]TH!B18&lt;&gt;"",[2]TH!B18,"")</f>
        <v>3.6</v>
      </c>
      <c r="C18" s="822" t="str">
        <f>IF([2]TH!C18&lt;&gt;"",[2]TH!C18,"")</f>
        <v>m</v>
      </c>
      <c r="D18" s="822" t="str">
        <f>IF([2]TH!D18&lt;&gt;"",[2]TH!D18,"")</f>
        <v/>
      </c>
      <c r="E18" s="822" t="str">
        <f>IF([2]TH!E18&lt;&gt;"",[2]TH!E18,"")</f>
        <v/>
      </c>
      <c r="F18" s="822" t="str">
        <f>IF([2]TH!F18&lt;&gt;"",[2]TH!F18,"")</f>
        <v/>
      </c>
      <c r="G18" s="822" t="str">
        <f>IF([2]TH!G18&lt;&gt;"",[2]TH!G18,"")</f>
        <v/>
      </c>
      <c r="H18" s="822" t="str">
        <f>IF([2]TH!H18&lt;&gt;"",[2]TH!H18,"")</f>
        <v/>
      </c>
      <c r="I18" s="822" t="str">
        <f>IF([2]TH!I18&lt;&gt;"",[2]TH!I18,"")</f>
        <v/>
      </c>
    </row>
    <row r="19" spans="1:9">
      <c r="A19" s="822" t="str">
        <f>IF([2]TH!A19&lt;&gt;"",[2]TH!A19,"")</f>
        <v>mái</v>
      </c>
      <c r="B19" s="822">
        <f>IF([2]TH!B19&lt;&gt;"",[2]TH!B19,"")</f>
        <v>3.3</v>
      </c>
      <c r="C19" s="822" t="str">
        <f>IF([2]TH!C19&lt;&gt;"",[2]TH!C19,"")</f>
        <v>m</v>
      </c>
      <c r="D19" s="822" t="str">
        <f>IF([2]TH!D19&lt;&gt;"",[2]TH!D19,"")</f>
        <v/>
      </c>
      <c r="E19" s="822" t="str">
        <f>IF([2]TH!E19&lt;&gt;"",[2]TH!E19,"")</f>
        <v/>
      </c>
      <c r="F19" s="822" t="str">
        <f>IF([2]TH!F19&lt;&gt;"",[2]TH!F19,"")</f>
        <v/>
      </c>
      <c r="G19" s="822" t="str">
        <f>IF([2]TH!G19&lt;&gt;"",[2]TH!G19,"")</f>
        <v/>
      </c>
      <c r="H19" s="822" t="str">
        <f>IF([2]TH!H19&lt;&gt;"",[2]TH!H19,"")</f>
        <v/>
      </c>
      <c r="I19" s="822" t="str">
        <f>IF([2]TH!I19&lt;&gt;"",[2]TH!I19,"")</f>
        <v/>
      </c>
    </row>
    <row r="20" spans="1:9">
      <c r="A20" s="822" t="str">
        <f>IF([2]TH!A20&lt;&gt;"",[2]TH!A20,"")</f>
        <v>BÊ TÔNG:</v>
      </c>
      <c r="B20" s="822" t="str">
        <f>IF([2]TH!B20&lt;&gt;"",[2]TH!B20,"")</f>
        <v/>
      </c>
      <c r="C20" s="822" t="str">
        <f>IF([2]TH!C20&lt;&gt;"",[2]TH!C20,"")</f>
        <v/>
      </c>
      <c r="D20" s="822" t="str">
        <f>IF([2]TH!D20&lt;&gt;"",[2]TH!D20,"")</f>
        <v/>
      </c>
      <c r="E20" s="822" t="str">
        <f>IF([2]TH!E20&lt;&gt;"",[2]TH!E20,"")</f>
        <v/>
      </c>
      <c r="F20" s="822" t="str">
        <f>IF([2]TH!F20&lt;&gt;"",[2]TH!F20,"")</f>
        <v/>
      </c>
      <c r="G20" s="822" t="str">
        <f>IF([2]TH!G20&lt;&gt;"",[2]TH!G20,"")</f>
        <v/>
      </c>
      <c r="H20" s="822" t="str">
        <f>IF([2]TH!H20&lt;&gt;"",[2]TH!H20,"")</f>
        <v/>
      </c>
      <c r="I20" s="822" t="str">
        <f>IF([2]TH!I20&lt;&gt;"",[2]TH!I20,"")</f>
        <v/>
      </c>
    </row>
    <row r="21" spans="1:9">
      <c r="A21" s="822" t="str">
        <f>IF([2]TH!A21&lt;&gt;"",[2]TH!A21,"")</f>
        <v>Cấp độ bền</v>
      </c>
      <c r="B21" s="822" t="s">
        <v>83</v>
      </c>
      <c r="C21" s="822">
        <v>25</v>
      </c>
      <c r="D21" s="822" t="str">
        <f>IF([2]TH!D21&lt;&gt;"",[2]TH!D21,"")</f>
        <v/>
      </c>
      <c r="E21" s="822" t="str">
        <f>IF([2]TH!E21&lt;&gt;"",[2]TH!E21,"")</f>
        <v/>
      </c>
      <c r="F21" s="822" t="str">
        <f>IF([2]TH!F21&lt;&gt;"",[2]TH!F21,"")</f>
        <v/>
      </c>
      <c r="G21" s="822" t="str">
        <f>IF([2]TH!G21&lt;&gt;"",[2]TH!G21,"")</f>
        <v/>
      </c>
      <c r="H21" s="822" t="str">
        <f>IF([2]TH!H21&lt;&gt;"",[2]TH!H21,"")</f>
        <v/>
      </c>
      <c r="I21" s="822" t="str">
        <f>IF([2]TH!I21&lt;&gt;"",[2]TH!I21,"")</f>
        <v/>
      </c>
    </row>
    <row r="22" spans="1:9">
      <c r="A22" s="822" t="str">
        <f>IF([2]TH!A22&lt;&gt;"",[2]TH!A22,"")</f>
        <v>Cường độ tính toán chịu nén</v>
      </c>
      <c r="B22" s="822">
        <v>14.5</v>
      </c>
      <c r="C22" s="822" t="str">
        <f>IF([2]TH!C22&lt;&gt;"",[2]TH!C22,"")</f>
        <v>Mpa</v>
      </c>
      <c r="D22" s="822">
        <f>IF([2]TH!D22&lt;&gt;"",[2]TH!D22,"")</f>
        <v>850</v>
      </c>
      <c r="E22" s="822" t="str">
        <f>IF([2]TH!E22&lt;&gt;"",[2]TH!E22,"")</f>
        <v/>
      </c>
      <c r="F22" s="822" t="str">
        <f>IF([2]TH!F22&lt;&gt;"",[2]TH!F22,"")</f>
        <v/>
      </c>
      <c r="G22" s="822" t="str">
        <f>IF([2]TH!G22&lt;&gt;"",[2]TH!G22,"")</f>
        <v/>
      </c>
      <c r="H22" s="822">
        <f>B22*100</f>
        <v>1450</v>
      </c>
      <c r="I22" s="822" t="str">
        <f>IF([2]TH!I22&lt;&gt;"",[2]TH!I22,"")</f>
        <v>T/m2</v>
      </c>
    </row>
    <row r="23" spans="1:9">
      <c r="A23" s="822" t="str">
        <f>IF([2]TH!A23&lt;&gt;"",[2]TH!A23,"")</f>
        <v>Cường độ tính toán chịu kéo</v>
      </c>
      <c r="B23" s="822">
        <f>IF([2]TH!B23&lt;&gt;"",[2]TH!B23,"")</f>
        <v>0.75</v>
      </c>
      <c r="C23" s="822" t="str">
        <f>IF([2]TH!C23&lt;&gt;"",[2]TH!C23,"")</f>
        <v>Mpa</v>
      </c>
      <c r="D23" s="822">
        <f>IF([2]TH!D23&lt;&gt;"",[2]TH!D23,"")</f>
        <v>75</v>
      </c>
      <c r="E23" s="822" t="str">
        <f>IF([2]TH!E23&lt;&gt;"",[2]TH!E23,"")</f>
        <v/>
      </c>
      <c r="F23" s="822" t="str">
        <f>IF([2]TH!F23&lt;&gt;"",[2]TH!F23,"")</f>
        <v/>
      </c>
      <c r="G23" s="822" t="str">
        <f>IF([2]TH!G23&lt;&gt;"",[2]TH!G23,"")</f>
        <v/>
      </c>
      <c r="H23" s="822">
        <f t="shared" ref="H23:H24" si="0">B23*100</f>
        <v>75</v>
      </c>
      <c r="I23" s="822" t="str">
        <f>IF([2]TH!I23&lt;&gt;"",[2]TH!I23,"")</f>
        <v>T/m2</v>
      </c>
    </row>
    <row r="24" spans="1:9">
      <c r="A24" s="822" t="str">
        <f>IF([2]TH!A24&lt;&gt;"",[2]TH!A24,"")</f>
        <v>Modul đàn hồi</v>
      </c>
      <c r="B24" s="822">
        <f>IF([2]TH!B24&lt;&gt;"",[2]TH!B24,"")</f>
        <v>23000</v>
      </c>
      <c r="C24" s="822" t="str">
        <f>IF([2]TH!C24&lt;&gt;"",[2]TH!C24,"")</f>
        <v>Mpa</v>
      </c>
      <c r="D24" s="822">
        <f>IF([2]TH!D24&lt;&gt;"",[2]TH!D24,"")</f>
        <v>2300000</v>
      </c>
      <c r="E24" s="822" t="str">
        <f>IF([2]TH!E24&lt;&gt;"",[2]TH!E24,"")</f>
        <v/>
      </c>
      <c r="F24" s="822" t="str">
        <f>IF([2]TH!F24&lt;&gt;"",[2]TH!F24,"")</f>
        <v/>
      </c>
      <c r="G24" s="822" t="str">
        <f>IF([2]TH!G24&lt;&gt;"",[2]TH!G24,"")</f>
        <v/>
      </c>
      <c r="H24" s="822">
        <f t="shared" si="0"/>
        <v>2300000</v>
      </c>
      <c r="I24" s="822" t="str">
        <f>IF([2]TH!I24&lt;&gt;"",[2]TH!I24,"")</f>
        <v>T/m2</v>
      </c>
    </row>
    <row r="25" spans="1:9">
      <c r="A25" s="822" t="str">
        <f>IF([2]TH!A25&lt;&gt;"",[2]TH!A25,"")</f>
        <v>Cốt thép</v>
      </c>
      <c r="B25" s="822" t="str">
        <f>IF([2]TH!B25&lt;&gt;"",[2]TH!B25,"")</f>
        <v/>
      </c>
      <c r="C25" s="822" t="str">
        <f>IF([2]TH!C25&lt;&gt;"",[2]TH!C25,"")</f>
        <v/>
      </c>
      <c r="D25" s="822" t="str">
        <f>IF([2]TH!D25&lt;&gt;"",[2]TH!D25,"")</f>
        <v/>
      </c>
      <c r="E25" s="822" t="str">
        <f>IF([2]TH!E25&lt;&gt;"",[2]TH!E25,"")</f>
        <v/>
      </c>
      <c r="F25" s="822" t="str">
        <f>IF([2]TH!F25&lt;&gt;"",[2]TH!F25,"")</f>
        <v/>
      </c>
      <c r="G25" s="822" t="str">
        <f>IF([2]TH!G25&lt;&gt;"",[2]TH!G25,"")</f>
        <v/>
      </c>
      <c r="H25" s="822" t="str">
        <f>IF([2]TH!H25&lt;&gt;"",[2]TH!H25,"")</f>
        <v/>
      </c>
      <c r="I25" s="822" t="str">
        <f>IF([2]TH!I25&lt;&gt;"",[2]TH!I25,"")</f>
        <v/>
      </c>
    </row>
    <row r="26" spans="1:9">
      <c r="A26" s="822" t="str">
        <f>IF([2]TH!A26&lt;&gt;"",[2]TH!A26,"")</f>
        <v>Loại thép</v>
      </c>
      <c r="B26" s="822" t="str">
        <f>IF([2]TH!B26&lt;&gt;"",[2]TH!B26,"")</f>
        <v>CI (AI)</v>
      </c>
      <c r="C26" s="822" t="str">
        <f>IF([2]TH!C26&lt;&gt;"",[2]TH!C26,"")</f>
        <v/>
      </c>
      <c r="D26" s="822" t="str">
        <f>IF([2]TH!D26&lt;&gt;"",[2]TH!D26,"")</f>
        <v/>
      </c>
      <c r="E26" s="822" t="str">
        <f>IF([2]TH!E26&lt;&gt;"",[2]TH!E26,"")</f>
        <v/>
      </c>
      <c r="F26" s="822" t="str">
        <f>IF([2]TH!F26&lt;&gt;"",[2]TH!F26,"")</f>
        <v xml:space="preserve">CB300-T </v>
      </c>
      <c r="G26" s="822" t="str">
        <f>IF([2]TH!G26&lt;&gt;"",[2]TH!G26,"")</f>
        <v/>
      </c>
      <c r="H26" s="822" t="str">
        <f>IF([2]TH!H26&lt;&gt;"",[2]TH!H26,"")</f>
        <v/>
      </c>
      <c r="I26" s="822" t="str">
        <f>IF([2]TH!I26&lt;&gt;"",[2]TH!I26,"")</f>
        <v/>
      </c>
    </row>
    <row r="27" spans="1:9">
      <c r="A27" s="822" t="str">
        <f>IF([2]TH!A27&lt;&gt;"",[2]TH!A27,"")</f>
        <v>Cường độ tính toán chịu nén, kéo</v>
      </c>
      <c r="B27" s="822">
        <f>IF([2]TH!B27&lt;&gt;"",[2]TH!B27,"")</f>
        <v>225</v>
      </c>
      <c r="C27" s="822" t="str">
        <f>IF([2]TH!C27&lt;&gt;"",[2]TH!C27,"")</f>
        <v>Mpa</v>
      </c>
      <c r="D27" s="822">
        <f>IF([2]TH!D27&lt;&gt;"",[2]TH!D27,"")</f>
        <v>2250</v>
      </c>
      <c r="E27" s="822" t="str">
        <f>IF([2]TH!E27&lt;&gt;"",[2]TH!E27,"")</f>
        <v/>
      </c>
      <c r="F27" s="822">
        <f>IF([2]TH!F27&lt;&gt;"",[2]TH!F27,"")</f>
        <v>260</v>
      </c>
      <c r="G27" s="822" t="str">
        <f>IF([2]TH!G27&lt;&gt;"",[2]TH!G27,"")</f>
        <v>Mpa</v>
      </c>
      <c r="H27" s="822">
        <f>IF([2]TH!H27&lt;&gt;"",[2]TH!H27,"")</f>
        <v>22500</v>
      </c>
      <c r="I27" s="822" t="str">
        <f>IF([2]TH!I27&lt;&gt;"",[2]TH!I27,"")</f>
        <v>T/m2</v>
      </c>
    </row>
    <row r="28" spans="1:9">
      <c r="A28" s="822" t="str">
        <f>IF([2]TH!A28&lt;&gt;"",[2]TH!A28,"")</f>
        <v>Cường độ tính toán chịu kéo cho cốt đai</v>
      </c>
      <c r="B28" s="822">
        <f>IF([2]TH!B28&lt;&gt;"",[2]TH!B28,"")</f>
        <v>175</v>
      </c>
      <c r="C28" s="822" t="str">
        <f>IF([2]TH!C28&lt;&gt;"",[2]TH!C28,"")</f>
        <v>Mpa</v>
      </c>
      <c r="D28" s="822">
        <f>IF([2]TH!D28&lt;&gt;"",[2]TH!D28,"")</f>
        <v>1750</v>
      </c>
      <c r="E28" s="822" t="str">
        <f>IF([2]TH!E28&lt;&gt;"",[2]TH!E28,"")</f>
        <v/>
      </c>
      <c r="F28" s="822">
        <f>IF([2]TH!F28&lt;&gt;"",[2]TH!F28,"")</f>
        <v>210</v>
      </c>
      <c r="G28" s="822" t="str">
        <f>IF([2]TH!G28&lt;&gt;"",[2]TH!G28,"")</f>
        <v>Mpa</v>
      </c>
      <c r="H28" s="822">
        <f>IF([2]TH!H28&lt;&gt;"",[2]TH!H28,"")</f>
        <v>17500</v>
      </c>
      <c r="I28" s="822" t="str">
        <f>IF([2]TH!I28&lt;&gt;"",[2]TH!I28,"")</f>
        <v>T/m2</v>
      </c>
    </row>
    <row r="29" spans="1:9">
      <c r="A29" s="822" t="str">
        <f>IF([2]TH!A29&lt;&gt;"",[2]TH!A29,"")</f>
        <v>Modul đàn hồi</v>
      </c>
      <c r="B29" s="822">
        <f>IF([2]TH!B29&lt;&gt;"",[2]TH!B29,"")</f>
        <v>210000</v>
      </c>
      <c r="C29" s="822" t="str">
        <f>IF([2]TH!C29&lt;&gt;"",[2]TH!C29,"")</f>
        <v>Mpa</v>
      </c>
      <c r="D29" s="822" t="str">
        <f>IF([2]TH!D29&lt;&gt;"",[2]TH!D29,"")</f>
        <v/>
      </c>
      <c r="E29" s="822" t="str">
        <f>IF([2]TH!E29&lt;&gt;"",[2]TH!E29,"")</f>
        <v/>
      </c>
      <c r="F29" s="822">
        <f>IF([2]TH!F29&lt;&gt;"",[2]TH!F29,"")</f>
        <v>200000</v>
      </c>
      <c r="G29" s="822" t="str">
        <f>IF([2]TH!G29&lt;&gt;"",[2]TH!G29,"")</f>
        <v>Mpa</v>
      </c>
      <c r="H29" s="822">
        <f>IF([2]TH!H29&lt;&gt;"",[2]TH!H29,"")</f>
        <v>21000000</v>
      </c>
      <c r="I29" s="822" t="str">
        <f>IF([2]TH!I29&lt;&gt;"",[2]TH!I29,"")</f>
        <v>T/m2</v>
      </c>
    </row>
    <row r="30" spans="1:9">
      <c r="A30" s="822" t="str">
        <f>IF([2]TH!A30&lt;&gt;"",[2]TH!A30,"")</f>
        <v>Loại thép</v>
      </c>
      <c r="B30" s="822" t="str">
        <f>IF([2]TH!B30&lt;&gt;"",[2]TH!B30,"")</f>
        <v>CII(AII)</v>
      </c>
      <c r="C30" s="822" t="str">
        <f>IF([2]TH!C30&lt;&gt;"",[2]TH!C30,"")</f>
        <v/>
      </c>
      <c r="D30" s="822" t="str">
        <f>IF([2]TH!D30&lt;&gt;"",[2]TH!D30,"")</f>
        <v/>
      </c>
      <c r="E30" s="822" t="str">
        <f>IF([2]TH!E30&lt;&gt;"",[2]TH!E30,"")</f>
        <v/>
      </c>
      <c r="F30" s="822" t="str">
        <f>IF([2]TH!F30&lt;&gt;"",[2]TH!F30,"")</f>
        <v xml:space="preserve">CB300-V </v>
      </c>
      <c r="G30" s="822" t="str">
        <f>IF([2]TH!G30&lt;&gt;"",[2]TH!G30,"")</f>
        <v/>
      </c>
      <c r="H30" s="822" t="str">
        <f>IF([2]TH!H30&lt;&gt;"",[2]TH!H30,"")</f>
        <v/>
      </c>
      <c r="I30" s="822" t="str">
        <f>IF([2]TH!I30&lt;&gt;"",[2]TH!I30,"")</f>
        <v/>
      </c>
    </row>
    <row r="31" spans="1:9">
      <c r="A31" s="822" t="str">
        <f>IF([2]TH!A31&lt;&gt;"",[2]TH!A31,"")</f>
        <v>Cường độ tính toán chịu nén, kéo</v>
      </c>
      <c r="B31" s="822">
        <f>IF([2]TH!B31&lt;&gt;"",[2]TH!B31,"")</f>
        <v>280</v>
      </c>
      <c r="C31" s="822" t="str">
        <f>IF([2]TH!C31&lt;&gt;"",[2]TH!C31,"")</f>
        <v>Mpa</v>
      </c>
      <c r="D31" s="822">
        <f>IF([2]TH!D31&lt;&gt;"",[2]TH!D31,"")</f>
        <v>2800</v>
      </c>
      <c r="E31" s="822" t="str">
        <f>IF([2]TH!E31&lt;&gt;"",[2]TH!E31,"")</f>
        <v/>
      </c>
      <c r="F31" s="822">
        <f>IF([2]TH!F31&lt;&gt;"",[2]TH!F31,"")</f>
        <v>260</v>
      </c>
      <c r="G31" s="822" t="str">
        <f>IF([2]TH!G31&lt;&gt;"",[2]TH!G31,"")</f>
        <v>Mpa</v>
      </c>
      <c r="H31" s="822">
        <f>IF([2]TH!H31&lt;&gt;"",[2]TH!H31,"")</f>
        <v>28000</v>
      </c>
      <c r="I31" s="822" t="str">
        <f>IF([2]TH!I31&lt;&gt;"",[2]TH!I31,"")</f>
        <v>T/m2</v>
      </c>
    </row>
    <row r="32" spans="1:9">
      <c r="A32" s="822" t="str">
        <f>IF([2]TH!A32&lt;&gt;"",[2]TH!A32,"")</f>
        <v>Cường độ tính toán chịu kéo cho cốt đai</v>
      </c>
      <c r="B32" s="822">
        <f>IF([2]TH!B32&lt;&gt;"",[2]TH!B32,"")</f>
        <v>225</v>
      </c>
      <c r="C32" s="822" t="str">
        <f>IF([2]TH!C32&lt;&gt;"",[2]TH!C32,"")</f>
        <v>Mpa</v>
      </c>
      <c r="D32" s="822" t="str">
        <f>IF([2]TH!D32&lt;&gt;"",[2]TH!D32,"")</f>
        <v/>
      </c>
      <c r="E32" s="822" t="str">
        <f>IF([2]TH!E32&lt;&gt;"",[2]TH!E32,"")</f>
        <v/>
      </c>
      <c r="F32" s="822">
        <f>IF([2]TH!F32&lt;&gt;"",[2]TH!F32,"")</f>
        <v>210</v>
      </c>
      <c r="G32" s="822" t="str">
        <f>IF([2]TH!G32&lt;&gt;"",[2]TH!G32,"")</f>
        <v>Mpa</v>
      </c>
      <c r="H32" s="822">
        <f>IF([2]TH!H32&lt;&gt;"",[2]TH!H32,"")</f>
        <v>22500</v>
      </c>
      <c r="I32" s="822" t="str">
        <f>IF([2]TH!I32&lt;&gt;"",[2]TH!I32,"")</f>
        <v>T/m2</v>
      </c>
    </row>
    <row r="33" spans="1:16">
      <c r="A33" s="822" t="str">
        <f>IF([2]TH!A33&lt;&gt;"",[2]TH!A33,"")</f>
        <v>Modul đàn hồi</v>
      </c>
      <c r="B33" s="822">
        <f>IF([2]TH!B33&lt;&gt;"",[2]TH!B33,"")</f>
        <v>210000</v>
      </c>
      <c r="C33" s="822" t="str">
        <f>IF([2]TH!C33&lt;&gt;"",[2]TH!C33,"")</f>
        <v>Mpa</v>
      </c>
      <c r="D33" s="822" t="str">
        <f>IF([2]TH!D33&lt;&gt;"",[2]TH!D33,"")</f>
        <v/>
      </c>
      <c r="E33" s="822" t="str">
        <f>IF([2]TH!E33&lt;&gt;"",[2]TH!E33,"")</f>
        <v/>
      </c>
      <c r="F33" s="822">
        <f>IF([2]TH!F33&lt;&gt;"",[2]TH!F33,"")</f>
        <v>200000</v>
      </c>
      <c r="G33" s="822" t="str">
        <f>IF([2]TH!G33&lt;&gt;"",[2]TH!G33,"")</f>
        <v>Mpa</v>
      </c>
      <c r="H33" s="822">
        <f>IF([2]TH!H33&lt;&gt;"",[2]TH!H33,"")</f>
        <v>21000000</v>
      </c>
      <c r="I33" s="822" t="str">
        <f>IF([2]TH!I33&lt;&gt;"",[2]TH!I33,"")</f>
        <v>T/m2</v>
      </c>
    </row>
    <row r="34" spans="1:16">
      <c r="A34" s="822" t="str">
        <f>IF([2]TH!A34&lt;&gt;"",[2]TH!A34,"")</f>
        <v>Loại thép</v>
      </c>
      <c r="B34" s="822" t="str">
        <f>IF([2]TH!B34&lt;&gt;"",[2]TH!B34,"")</f>
        <v>CIII(AIII)</v>
      </c>
      <c r="C34" s="822" t="str">
        <f>IF([2]TH!C34&lt;&gt;"",[2]TH!C34,"")</f>
        <v/>
      </c>
      <c r="D34" s="822" t="str">
        <f>IF([2]TH!D34&lt;&gt;"",[2]TH!D34,"")</f>
        <v/>
      </c>
      <c r="E34" s="822" t="str">
        <f>IF([2]TH!E34&lt;&gt;"",[2]TH!E34,"")</f>
        <v/>
      </c>
      <c r="F34" s="822" t="str">
        <f>IF([2]TH!F34&lt;&gt;"",[2]TH!F34,"")</f>
        <v xml:space="preserve">CB400-V </v>
      </c>
      <c r="G34" s="822" t="str">
        <f>IF([2]TH!G34&lt;&gt;"",[2]TH!G34,"")</f>
        <v/>
      </c>
      <c r="H34" s="822" t="str">
        <f>IF([2]TH!H34&lt;&gt;"",[2]TH!H34,"")</f>
        <v/>
      </c>
      <c r="I34" s="822" t="str">
        <f>IF([2]TH!I34&lt;&gt;"",[2]TH!I34,"")</f>
        <v/>
      </c>
    </row>
    <row r="35" spans="1:16">
      <c r="A35" s="822" t="str">
        <f>IF([2]TH!A35&lt;&gt;"",[2]TH!A35,"")</f>
        <v>Cường độ tính toán chịu nén, kéo</v>
      </c>
      <c r="B35" s="822">
        <f>IF([2]TH!B35&lt;&gt;"",[2]TH!B35,"")</f>
        <v>365</v>
      </c>
      <c r="C35" s="822" t="str">
        <f>IF([2]TH!C35&lt;&gt;"",[2]TH!C35,"")</f>
        <v>Mpa</v>
      </c>
      <c r="D35" s="822" t="str">
        <f>IF([2]TH!D35&lt;&gt;"",[2]TH!D35,"")</f>
        <v/>
      </c>
      <c r="E35" s="822" t="str">
        <f>IF([2]TH!E35&lt;&gt;"",[2]TH!E35,"")</f>
        <v/>
      </c>
      <c r="F35" s="822">
        <f>IF([2]TH!F35&lt;&gt;"",[2]TH!F35,"")</f>
        <v>350</v>
      </c>
      <c r="G35" s="822" t="str">
        <f>IF([2]TH!G35&lt;&gt;"",[2]TH!G35,"")</f>
        <v>Mpa</v>
      </c>
      <c r="H35" s="822">
        <f>IF([2]TH!H35&lt;&gt;"",[2]TH!H35,"")</f>
        <v>36500</v>
      </c>
      <c r="I35" s="822" t="str">
        <f>IF([2]TH!I35&lt;&gt;"",[2]TH!I35,"")</f>
        <v>T/m2</v>
      </c>
    </row>
    <row r="36" spans="1:16">
      <c r="A36" s="822" t="str">
        <f>IF([2]TH!A36&lt;&gt;"",[2]TH!A36,"")</f>
        <v>Cường độ tính toán chịu kéo cho cốt đai</v>
      </c>
      <c r="B36" s="822">
        <f>IF([2]TH!B36&lt;&gt;"",[2]TH!B36,"")</f>
        <v>290</v>
      </c>
      <c r="C36" s="822" t="str">
        <f>IF([2]TH!C36&lt;&gt;"",[2]TH!C36,"")</f>
        <v>Mpa</v>
      </c>
      <c r="D36" s="822" t="str">
        <f>IF([2]TH!D36&lt;&gt;"",[2]TH!D36,"")</f>
        <v/>
      </c>
      <c r="E36" s="822" t="str">
        <f>IF([2]TH!E36&lt;&gt;"",[2]TH!E36,"")</f>
        <v/>
      </c>
      <c r="F36" s="822">
        <f>IF([2]TH!F36&lt;&gt;"",[2]TH!F36,"")</f>
        <v>280</v>
      </c>
      <c r="G36" s="822" t="str">
        <f>IF([2]TH!G36&lt;&gt;"",[2]TH!G36,"")</f>
        <v>Mpa</v>
      </c>
      <c r="H36" s="822">
        <f>IF([2]TH!H36&lt;&gt;"",[2]TH!H36,"")</f>
        <v>29000</v>
      </c>
      <c r="I36" s="822" t="str">
        <f>IF([2]TH!I36&lt;&gt;"",[2]TH!I36,"")</f>
        <v>T/m2</v>
      </c>
    </row>
    <row r="37" spans="1:16">
      <c r="A37" s="822" t="str">
        <f>IF([2]TH!A37&lt;&gt;"",[2]TH!A37,"")</f>
        <v>Modul đàn hồi</v>
      </c>
      <c r="B37" s="822">
        <f>IF([2]TH!B37&lt;&gt;"",[2]TH!B37,"")</f>
        <v>210000</v>
      </c>
      <c r="C37" s="822" t="str">
        <f>IF([2]TH!C37&lt;&gt;"",[2]TH!C37,"")</f>
        <v>Mpa</v>
      </c>
      <c r="D37" s="822" t="str">
        <f>IF([2]TH!D37&lt;&gt;"",[2]TH!D37,"")</f>
        <v/>
      </c>
      <c r="E37" s="822" t="str">
        <f>IF([2]TH!E37&lt;&gt;"",[2]TH!E37,"")</f>
        <v/>
      </c>
      <c r="F37" s="822">
        <f>IF([2]TH!F37&lt;&gt;"",[2]TH!F37,"")</f>
        <v>200000</v>
      </c>
      <c r="G37" s="822" t="str">
        <f>IF([2]TH!G37&lt;&gt;"",[2]TH!G37,"")</f>
        <v>Mpa</v>
      </c>
      <c r="H37" s="822">
        <f>IF([2]TH!H37&lt;&gt;"",[2]TH!H37,"")</f>
        <v>21000000</v>
      </c>
      <c r="I37" s="822" t="str">
        <f>IF([2]TH!I37&lt;&gt;"",[2]TH!I37,"")</f>
        <v>T/m2</v>
      </c>
    </row>
    <row r="38" spans="1:16" ht="14.5" thickBot="1">
      <c r="A38" s="823" t="s">
        <v>1198</v>
      </c>
    </row>
    <row r="39" spans="1:16">
      <c r="A39" s="822" t="s">
        <v>241</v>
      </c>
      <c r="B39" s="822">
        <v>30</v>
      </c>
      <c r="C39" s="822" t="s">
        <v>631</v>
      </c>
      <c r="D39" s="822">
        <f>B39*0.01</f>
        <v>0.3</v>
      </c>
      <c r="E39" s="1009" t="s">
        <v>1244</v>
      </c>
      <c r="F39" s="1009" t="s">
        <v>1204</v>
      </c>
      <c r="G39" s="1009" t="s">
        <v>1205</v>
      </c>
      <c r="H39" s="1009" t="s">
        <v>1206</v>
      </c>
      <c r="I39" s="1009" t="s">
        <v>1207</v>
      </c>
      <c r="J39" s="1014"/>
      <c r="K39" s="1009" t="s">
        <v>1209</v>
      </c>
      <c r="L39" s="1009" t="s">
        <v>1210</v>
      </c>
      <c r="M39" s="1009" t="s">
        <v>1211</v>
      </c>
    </row>
    <row r="40" spans="1:16">
      <c r="A40" s="822" t="s">
        <v>956</v>
      </c>
      <c r="B40" s="822">
        <v>30</v>
      </c>
      <c r="C40" s="822" t="s">
        <v>631</v>
      </c>
      <c r="D40" s="822">
        <f>B40*0.01</f>
        <v>0.3</v>
      </c>
      <c r="E40" s="1010"/>
      <c r="F40" s="1010"/>
      <c r="G40" s="1010"/>
      <c r="H40" s="1010"/>
      <c r="I40" s="1010"/>
      <c r="J40" s="1015"/>
      <c r="K40" s="1010"/>
      <c r="L40" s="1010"/>
      <c r="M40" s="1010"/>
    </row>
    <row r="41" spans="1:16">
      <c r="A41" s="822" t="s">
        <v>253</v>
      </c>
      <c r="B41" s="822">
        <v>4</v>
      </c>
      <c r="C41" s="822" t="s">
        <v>1199</v>
      </c>
      <c r="D41" s="822">
        <v>16</v>
      </c>
      <c r="E41" s="1010"/>
      <c r="F41" s="1010"/>
      <c r="G41" s="1010"/>
      <c r="H41" s="1010"/>
      <c r="I41" s="1010"/>
      <c r="J41" s="1015"/>
      <c r="K41" s="1010"/>
      <c r="L41" s="1010"/>
      <c r="M41" s="1010"/>
    </row>
    <row r="42" spans="1:16" ht="14.25" customHeight="1" thickBot="1">
      <c r="C42" s="823" t="s">
        <v>1242</v>
      </c>
      <c r="D42" s="823" t="s">
        <v>1243</v>
      </c>
      <c r="E42" s="1011" t="s">
        <v>1244</v>
      </c>
      <c r="F42" s="1011"/>
      <c r="G42" s="1011"/>
      <c r="H42" s="1011"/>
      <c r="I42" s="1011"/>
      <c r="J42" s="1016"/>
      <c r="K42" s="1011"/>
      <c r="L42" s="1011"/>
      <c r="M42" s="1011"/>
    </row>
    <row r="43" spans="1:16">
      <c r="A43" s="822" t="s">
        <v>1200</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1253</v>
      </c>
      <c r="B45" s="886">
        <f>[2]TinhMong!B45</f>
        <v>0.54999999999999993</v>
      </c>
      <c r="C45" s="822" t="s">
        <v>6</v>
      </c>
      <c r="E45" s="823" t="s">
        <v>1326</v>
      </c>
    </row>
    <row r="46" spans="1:16">
      <c r="A46" s="822" t="s">
        <v>1245</v>
      </c>
      <c r="B46" s="822">
        <f>[2]TinhMong!B46</f>
        <v>-1.5</v>
      </c>
      <c r="C46" s="822" t="s">
        <v>6</v>
      </c>
      <c r="D46" s="822">
        <f>ABS(B46)</f>
        <v>1.5</v>
      </c>
    </row>
    <row r="47" spans="1:16">
      <c r="A47" s="822" t="s">
        <v>1247</v>
      </c>
      <c r="B47" s="822">
        <f>[2]TinhMong!B47</f>
        <v>10.4</v>
      </c>
      <c r="C47" s="822" t="s">
        <v>6</v>
      </c>
    </row>
    <row r="48" spans="1:16">
      <c r="A48" s="822" t="s">
        <v>1249</v>
      </c>
      <c r="B48" s="822">
        <f>[2]TinhMong!B48</f>
        <v>-15.9</v>
      </c>
      <c r="C48" s="822" t="s">
        <v>6</v>
      </c>
    </row>
    <row r="49" spans="1:18">
      <c r="A49" s="822" t="s">
        <v>1248</v>
      </c>
      <c r="B49" s="939">
        <f>[2]TinhMong!B49</f>
        <v>4</v>
      </c>
      <c r="C49" s="822" t="s">
        <v>6</v>
      </c>
    </row>
    <row r="50" spans="1:18">
      <c r="A50" s="822" t="s">
        <v>1259</v>
      </c>
      <c r="B50" s="822">
        <f>[2]TinhMong!B50</f>
        <v>0.1</v>
      </c>
      <c r="C50" s="822" t="s">
        <v>6</v>
      </c>
      <c r="D50" s="822" t="s">
        <v>1327</v>
      </c>
      <c r="G50" s="822">
        <f>ABS(B46)+ABS(B48)+B49</f>
        <v>21.4</v>
      </c>
      <c r="H50" s="822">
        <f>+G50-B45</f>
        <v>20.849999999999998</v>
      </c>
    </row>
    <row r="51" spans="1:18">
      <c r="A51" s="822" t="s">
        <v>1258</v>
      </c>
      <c r="B51" s="822">
        <f>[2]TinhMong!B51</f>
        <v>19.899999999999999</v>
      </c>
      <c r="C51" s="822" t="s">
        <v>6</v>
      </c>
    </row>
    <row r="52" spans="1:18">
      <c r="A52" s="822" t="s">
        <v>1260</v>
      </c>
      <c r="B52" s="822">
        <f>[2]TinhMong!B52</f>
        <v>20</v>
      </c>
    </row>
    <row r="53" spans="1:18">
      <c r="A53" s="822" t="s">
        <v>1250</v>
      </c>
      <c r="B53" s="822">
        <f>[2]TinhMong!B53</f>
        <v>2</v>
      </c>
      <c r="C53" s="822" t="s">
        <v>1252</v>
      </c>
    </row>
    <row r="54" spans="1:18">
      <c r="A54" s="822" t="s">
        <v>1251</v>
      </c>
      <c r="B54" s="822">
        <f>[2]TinhMong!B54</f>
        <v>10</v>
      </c>
      <c r="C54" s="822" t="s">
        <v>6</v>
      </c>
    </row>
    <row r="55" spans="1:18">
      <c r="A55" s="823" t="s">
        <v>1254</v>
      </c>
    </row>
    <row r="56" spans="1:18">
      <c r="A56" s="823" t="s">
        <v>1255</v>
      </c>
    </row>
    <row r="57" spans="1:18" ht="17" thickBot="1">
      <c r="A57" s="889" t="s">
        <v>1256</v>
      </c>
      <c r="B57" s="822">
        <f>ROUND(1.028-0.0000288*B58^2-0.0016*B58,3)</f>
        <v>0.30299999999999999</v>
      </c>
    </row>
    <row r="58" spans="1:18" ht="20" customHeight="1" thickBot="1">
      <c r="A58" s="822" t="s">
        <v>1257</v>
      </c>
      <c r="B58" s="822">
        <f>ROUND(B60/D39,3)</f>
        <v>133.333</v>
      </c>
      <c r="K58" s="999" t="s">
        <v>1338</v>
      </c>
      <c r="L58" s="999" t="s">
        <v>1337</v>
      </c>
      <c r="M58" s="999" t="s">
        <v>1336</v>
      </c>
      <c r="N58" s="865" t="s">
        <v>1285</v>
      </c>
      <c r="O58" s="865" t="s">
        <v>1286</v>
      </c>
      <c r="P58" s="999" t="s">
        <v>1287</v>
      </c>
      <c r="Q58" s="866" t="s">
        <v>1288</v>
      </c>
      <c r="R58" s="865" t="s">
        <v>1289</v>
      </c>
    </row>
    <row r="59" spans="1:18" ht="19.5" thickBot="1">
      <c r="A59" s="822" t="s">
        <v>1261</v>
      </c>
      <c r="B59" s="822">
        <v>2</v>
      </c>
      <c r="D59" s="822" t="s">
        <v>1343</v>
      </c>
      <c r="K59" s="1001"/>
      <c r="L59" s="1001"/>
      <c r="M59" s="1001"/>
      <c r="N59" s="867" t="s">
        <v>6</v>
      </c>
      <c r="O59" s="867" t="s">
        <v>6</v>
      </c>
      <c r="P59" s="1001"/>
      <c r="Q59" s="868" t="s">
        <v>1335</v>
      </c>
      <c r="R59" s="867" t="s">
        <v>843</v>
      </c>
    </row>
    <row r="60" spans="1:18" ht="17" thickBot="1">
      <c r="A60" s="822" t="s">
        <v>466</v>
      </c>
      <c r="B60" s="822">
        <f>B59*B52</f>
        <v>40</v>
      </c>
      <c r="C60" s="822" t="s">
        <v>6</v>
      </c>
      <c r="K60" s="869" t="s">
        <v>1330</v>
      </c>
      <c r="L60" s="252" t="s">
        <v>694</v>
      </c>
      <c r="M60" s="252" t="s">
        <v>694</v>
      </c>
      <c r="N60" s="252">
        <v>0</v>
      </c>
      <c r="O60" s="252" t="s">
        <v>694</v>
      </c>
      <c r="P60" s="252" t="s">
        <v>694</v>
      </c>
      <c r="Q60" s="252" t="s">
        <v>694</v>
      </c>
      <c r="R60" s="252" t="s">
        <v>694</v>
      </c>
    </row>
    <row r="61" spans="1:18" ht="20" thickBot="1">
      <c r="A61" s="822" t="s">
        <v>1262</v>
      </c>
      <c r="B61" s="822">
        <f>D39*D40</f>
        <v>0.09</v>
      </c>
      <c r="C61" s="822" t="s">
        <v>3</v>
      </c>
      <c r="K61" s="890" t="s">
        <v>1331</v>
      </c>
      <c r="L61" s="252" t="s">
        <v>1292</v>
      </c>
      <c r="M61" s="252" t="s">
        <v>1293</v>
      </c>
      <c r="N61" s="252">
        <f>+O61/2+N60</f>
        <v>5</v>
      </c>
      <c r="O61" s="252">
        <v>10</v>
      </c>
      <c r="P61" s="252">
        <v>1</v>
      </c>
      <c r="Q61" s="252">
        <v>0.8</v>
      </c>
      <c r="R61" s="891">
        <f>Q61*P61*O61</f>
        <v>8</v>
      </c>
    </row>
    <row r="62" spans="1:18" ht="20" thickBot="1">
      <c r="A62" s="822" t="s">
        <v>1264</v>
      </c>
      <c r="B62" s="822">
        <f>ROUND(B41*PI()*(D41/10)^2/4,1)</f>
        <v>8</v>
      </c>
      <c r="C62" s="822" t="s">
        <v>534</v>
      </c>
      <c r="D62" s="822">
        <f>B62/10^4</f>
        <v>8.0000000000000004E-4</v>
      </c>
      <c r="E62" s="822" t="s">
        <v>3</v>
      </c>
      <c r="K62" s="890" t="s">
        <v>1332</v>
      </c>
      <c r="L62" s="252" t="s">
        <v>1292</v>
      </c>
      <c r="M62" s="252" t="s">
        <v>1294</v>
      </c>
      <c r="N62" s="252">
        <f>+N61+O62/2+O61/2</f>
        <v>12.3</v>
      </c>
      <c r="O62" s="252">
        <v>4.5999999999999996</v>
      </c>
      <c r="P62" s="252">
        <v>1</v>
      </c>
      <c r="Q62" s="252">
        <v>1.98</v>
      </c>
      <c r="R62" s="891">
        <f t="shared" ref="R62:R64" si="2">Q62*P62*O62</f>
        <v>9.1079999999999988</v>
      </c>
    </row>
    <row r="63" spans="1:18" ht="33.5" thickBot="1">
      <c r="A63" s="822" t="s">
        <v>1263</v>
      </c>
      <c r="B63" s="886">
        <f>ROUND(B57*(H22*B61+H31*D62),0)</f>
        <v>46</v>
      </c>
      <c r="C63" s="822" t="s">
        <v>670</v>
      </c>
      <c r="K63" s="890" t="s">
        <v>1333</v>
      </c>
      <c r="L63" s="870" t="s">
        <v>1295</v>
      </c>
      <c r="M63" s="252" t="s">
        <v>1296</v>
      </c>
      <c r="N63" s="252">
        <f t="shared" ref="N63:N64" si="3">+N62+O63/2+O62/2</f>
        <v>15.25</v>
      </c>
      <c r="O63" s="252">
        <v>1.3</v>
      </c>
      <c r="P63" s="252">
        <v>1</v>
      </c>
      <c r="Q63" s="252">
        <v>5.25</v>
      </c>
      <c r="R63" s="891">
        <f t="shared" si="2"/>
        <v>6.8250000000000002</v>
      </c>
    </row>
    <row r="64" spans="1:18" ht="20" thickBot="1">
      <c r="A64" s="823" t="s">
        <v>1265</v>
      </c>
      <c r="K64" s="890" t="s">
        <v>1334</v>
      </c>
      <c r="L64" s="870" t="s">
        <v>1297</v>
      </c>
      <c r="M64" s="252" t="s">
        <v>1298</v>
      </c>
      <c r="N64" s="252">
        <f t="shared" si="3"/>
        <v>17.899999999999999</v>
      </c>
      <c r="O64" s="252">
        <f>B49</f>
        <v>4</v>
      </c>
      <c r="P64" s="252">
        <v>1</v>
      </c>
      <c r="Q64" s="252">
        <v>3.1</v>
      </c>
      <c r="R64" s="891">
        <f t="shared" si="2"/>
        <v>12.4</v>
      </c>
    </row>
    <row r="65" spans="1:18" ht="17" thickBot="1">
      <c r="A65" s="822" t="s">
        <v>1266</v>
      </c>
      <c r="B65" s="822">
        <v>1</v>
      </c>
      <c r="D65" s="822" t="s">
        <v>1328</v>
      </c>
      <c r="K65" s="890"/>
      <c r="L65" s="870"/>
      <c r="M65" s="252"/>
      <c r="N65" s="252"/>
      <c r="O65" s="252">
        <f>SUM(O61:O64)</f>
        <v>19.899999999999999</v>
      </c>
      <c r="P65" s="252"/>
      <c r="Q65" s="252"/>
      <c r="R65" s="891"/>
    </row>
    <row r="66" spans="1:18" ht="20" thickBot="1">
      <c r="A66" s="7" t="s">
        <v>1267</v>
      </c>
      <c r="B66" s="822">
        <v>0.9</v>
      </c>
      <c r="K66" s="890"/>
      <c r="L66" s="870"/>
      <c r="M66" s="252"/>
      <c r="N66" s="252"/>
      <c r="O66" s="252"/>
      <c r="P66" s="252"/>
      <c r="Q66" s="252"/>
      <c r="R66" s="891"/>
    </row>
    <row r="67" spans="1:18" ht="17" thickBot="1">
      <c r="A67" s="822" t="s">
        <v>1268</v>
      </c>
      <c r="B67" s="822">
        <v>0.9</v>
      </c>
      <c r="K67" s="528"/>
      <c r="L67" s="528"/>
      <c r="M67" s="528"/>
      <c r="N67" s="528"/>
      <c r="O67" s="528"/>
      <c r="P67" s="528"/>
      <c r="Q67" s="955" t="s">
        <v>657</v>
      </c>
      <c r="R67" s="891">
        <f>SUM(R61:R66)</f>
        <v>36.332999999999998</v>
      </c>
    </row>
    <row r="68" spans="1:18">
      <c r="A68" s="822" t="s">
        <v>1269</v>
      </c>
      <c r="B68" s="822">
        <f>(B39+B40)*2</f>
        <v>120</v>
      </c>
      <c r="C68" s="822" t="s">
        <v>631</v>
      </c>
      <c r="D68" s="822">
        <f>B68/100</f>
        <v>1.2</v>
      </c>
      <c r="E68" s="822" t="s">
        <v>6</v>
      </c>
    </row>
    <row r="69" spans="1:18">
      <c r="A69" s="822" t="s">
        <v>1270</v>
      </c>
      <c r="B69" s="822">
        <f>N70</f>
        <v>184.2</v>
      </c>
      <c r="C69" s="822" t="s">
        <v>731</v>
      </c>
      <c r="D69" s="822">
        <f>B69*B61*B66</f>
        <v>14.920199999999999</v>
      </c>
      <c r="E69" s="822" t="s">
        <v>670</v>
      </c>
      <c r="F69" s="822">
        <f>8.8/0.9/B61</f>
        <v>108.64197530864199</v>
      </c>
      <c r="K69" s="822">
        <v>0.5</v>
      </c>
    </row>
    <row r="70" spans="1:18">
      <c r="A70" s="822" t="s">
        <v>1271</v>
      </c>
      <c r="C70" s="822">
        <v>0.5</v>
      </c>
      <c r="J70" s="822">
        <v>15</v>
      </c>
      <c r="K70" s="822">
        <v>165</v>
      </c>
      <c r="M70" s="822">
        <f>G50</f>
        <v>21.4</v>
      </c>
      <c r="N70" s="822">
        <f>(K71-K70)/(J71-J70)*(M70-J70)+K70</f>
        <v>184.2</v>
      </c>
    </row>
    <row r="71" spans="1:18">
      <c r="A71" s="822" t="s">
        <v>1272</v>
      </c>
      <c r="J71" s="822">
        <v>20</v>
      </c>
      <c r="K71" s="822">
        <v>180</v>
      </c>
    </row>
    <row r="72" spans="1:18" ht="19.5">
      <c r="A72" s="7" t="s">
        <v>1329</v>
      </c>
      <c r="B72" s="822">
        <f>D39*D40</f>
        <v>0.09</v>
      </c>
      <c r="C72" s="822" t="s">
        <v>3</v>
      </c>
    </row>
    <row r="73" spans="1:18">
      <c r="A73" s="822" t="s">
        <v>1339</v>
      </c>
      <c r="B73" s="892">
        <f>B65*(B66*B69*B72+D68*E74)</f>
        <v>58.519799999999996</v>
      </c>
    </row>
    <row r="74" spans="1:18">
      <c r="A74" s="822" t="s">
        <v>1340</v>
      </c>
      <c r="B74" s="892">
        <v>1.55</v>
      </c>
      <c r="D74" s="822" t="s">
        <v>1307</v>
      </c>
      <c r="E74" s="892">
        <f>R67</f>
        <v>36.332999999999998</v>
      </c>
      <c r="F74" s="822" t="s">
        <v>670</v>
      </c>
    </row>
    <row r="75" spans="1:18">
      <c r="A75" s="822" t="s">
        <v>1341</v>
      </c>
      <c r="B75" s="892">
        <f>B73/B74</f>
        <v>37.754709677419349</v>
      </c>
    </row>
    <row r="76" spans="1:18">
      <c r="A76" s="823" t="s">
        <v>1342</v>
      </c>
      <c r="B76" s="931" t="str">
        <f>[3]Locsolieu!$AD$15</f>
        <v>C15</v>
      </c>
      <c r="C76" s="822" t="s">
        <v>444</v>
      </c>
    </row>
    <row r="77" spans="1:18" ht="16.5">
      <c r="A77" s="893" t="s">
        <v>1348</v>
      </c>
      <c r="J77" s="822">
        <v>6.7750000000000004</v>
      </c>
      <c r="K77" s="822">
        <f>+J77+1.5</f>
        <v>8.2750000000000004</v>
      </c>
      <c r="L77" s="822">
        <f>10-K77</f>
        <v>1.7249999999999996</v>
      </c>
    </row>
    <row r="78" spans="1:18">
      <c r="A78" s="822" t="s">
        <v>177</v>
      </c>
      <c r="B78" s="822">
        <v>300</v>
      </c>
      <c r="L78" s="822">
        <f>10-J77</f>
        <v>3.2249999999999996</v>
      </c>
    </row>
    <row r="79" spans="1:18">
      <c r="A79" s="822" t="s">
        <v>628</v>
      </c>
      <c r="B79" s="822">
        <f>I43</f>
        <v>16</v>
      </c>
      <c r="L79" s="822">
        <f>1.5+10/2</f>
        <v>6.5</v>
      </c>
    </row>
    <row r="83" spans="1:13">
      <c r="M83" s="892"/>
    </row>
    <row r="86" spans="1:13">
      <c r="A86" s="822" t="s">
        <v>1349</v>
      </c>
      <c r="B86" s="907">
        <f>MIN(B75,B63)</f>
        <v>37.754709677419349</v>
      </c>
      <c r="C86" s="822" t="s">
        <v>670</v>
      </c>
    </row>
    <row r="87" spans="1:13">
      <c r="A87" s="822" t="s">
        <v>1350</v>
      </c>
      <c r="B87" s="822">
        <f>+B72*B52*2.5</f>
        <v>4.5</v>
      </c>
    </row>
    <row r="88" spans="1:13" ht="14.5" thickBot="1">
      <c r="A88" s="822" t="s">
        <v>1351</v>
      </c>
      <c r="B88" s="908">
        <f>B86-B87</f>
        <v>33.254709677419349</v>
      </c>
    </row>
    <row r="89" spans="1:13" ht="14.5" thickBot="1">
      <c r="A89" s="823" t="s">
        <v>1364</v>
      </c>
      <c r="E89" s="909" t="s">
        <v>1352</v>
      </c>
      <c r="F89" s="910" t="s">
        <v>1353</v>
      </c>
      <c r="G89" s="910" t="s">
        <v>628</v>
      </c>
      <c r="H89" s="910" t="s">
        <v>522</v>
      </c>
      <c r="I89" s="910" t="s">
        <v>521</v>
      </c>
      <c r="J89" s="910" t="s">
        <v>1443</v>
      </c>
      <c r="K89" s="910" t="s">
        <v>1444</v>
      </c>
      <c r="L89" s="822" t="s">
        <v>1376</v>
      </c>
      <c r="M89" s="822" t="s">
        <v>1377</v>
      </c>
    </row>
    <row r="90" spans="1:13" ht="26.5" thickBot="1">
      <c r="A90" s="889" t="s">
        <v>241</v>
      </c>
      <c r="B90" s="822">
        <v>1.2</v>
      </c>
      <c r="C90" s="822">
        <v>1.6</v>
      </c>
      <c r="E90" s="930" t="str">
        <f>[3]Locsolieu!$AD$15</f>
        <v>C15</v>
      </c>
      <c r="F90" s="911" t="s">
        <v>1359</v>
      </c>
      <c r="G90" s="932">
        <f>[3]Locsolieu!AF16</f>
        <v>44.633299999999998</v>
      </c>
      <c r="H90" s="932">
        <f>[3]Locsolieu!AG16</f>
        <v>0.36022999999999999</v>
      </c>
      <c r="I90" s="932">
        <f>[3]Locsolieu!AH16</f>
        <v>6.8099999999999994E-2</v>
      </c>
      <c r="J90" s="932">
        <f>[3]Locsolieu!AI16</f>
        <v>-0.28270000000000001</v>
      </c>
      <c r="K90" s="932">
        <f>[3]Locsolieu!AJ16</f>
        <v>7.2900000000000006E-2</v>
      </c>
      <c r="L90" s="822">
        <f>I90+J90*$B$45</f>
        <v>-8.738499999999999E-2</v>
      </c>
      <c r="M90" s="822">
        <f>H90+K90*$B$45</f>
        <v>0.40032499999999999</v>
      </c>
    </row>
    <row r="91" spans="1:13" ht="39.5" thickBot="1">
      <c r="A91" s="822" t="s">
        <v>1365</v>
      </c>
      <c r="B91" s="912">
        <f>B90*G90/$B$88</f>
        <v>1.6105977324579785</v>
      </c>
      <c r="C91" s="912">
        <f>C90*G90/$B$88</f>
        <v>2.1474636432773049</v>
      </c>
      <c r="E91" s="930" t="str">
        <f>[3]Locsolieu!$AD$15</f>
        <v>C15</v>
      </c>
      <c r="F91" s="911" t="s">
        <v>1360</v>
      </c>
      <c r="G91" s="932">
        <f>[3]Locsolieu!AF17</f>
        <v>40.240699999999997</v>
      </c>
      <c r="H91" s="932">
        <f>[3]Locsolieu!AG17</f>
        <v>0.8599</v>
      </c>
      <c r="I91" s="932">
        <f>[3]Locsolieu!AH17</f>
        <v>0.64746000000000004</v>
      </c>
      <c r="J91" s="932">
        <f>[3]Locsolieu!AI17</f>
        <v>0.43430000000000002</v>
      </c>
      <c r="K91" s="932">
        <f>[3]Locsolieu!AJ17</f>
        <v>0.46560000000000001</v>
      </c>
      <c r="L91" s="822">
        <f>I91+J91*$B$45</f>
        <v>0.88632500000000003</v>
      </c>
      <c r="M91" s="822">
        <f>H91+K91*$B$45</f>
        <v>1.11598</v>
      </c>
    </row>
    <row r="92" spans="1:13" ht="26.5" thickBot="1">
      <c r="A92" s="822" t="s">
        <v>248</v>
      </c>
      <c r="B92" s="822">
        <v>3</v>
      </c>
      <c r="E92" s="930" t="str">
        <f>[3]Locsolieu!$AD$15</f>
        <v>C15</v>
      </c>
      <c r="F92" s="911" t="s">
        <v>1361</v>
      </c>
      <c r="G92" s="932">
        <f>[3]Locsolieu!AF18</f>
        <v>40.240699999999997</v>
      </c>
      <c r="H92" s="932">
        <f>[3]Locsolieu!AG18</f>
        <v>0</v>
      </c>
      <c r="I92" s="932">
        <f>[3]Locsolieu!AH18</f>
        <v>0.64746000000000004</v>
      </c>
      <c r="J92" s="932">
        <f>[3]Locsolieu!AI18</f>
        <v>0.43430000000000002</v>
      </c>
      <c r="K92" s="932">
        <f>[3]Locsolieu!AJ18</f>
        <v>0.46560000000000001</v>
      </c>
      <c r="L92" s="822">
        <f t="shared" ref="L92:L94" si="4">I92+J92*$B$45</f>
        <v>0.88632500000000003</v>
      </c>
      <c r="M92" s="822">
        <f t="shared" ref="M92:M94" si="5">H92+K92*$B$45</f>
        <v>0.25607999999999997</v>
      </c>
    </row>
    <row r="93" spans="1:13" ht="26.5" thickBot="1">
      <c r="A93" s="822" t="s">
        <v>1366</v>
      </c>
      <c r="B93" s="822">
        <f>3*D39</f>
        <v>0.89999999999999991</v>
      </c>
      <c r="E93" s="930" t="str">
        <f>[3]Locsolieu!$AD$15</f>
        <v>C15</v>
      </c>
      <c r="F93" s="911" t="s">
        <v>1362</v>
      </c>
      <c r="G93" s="932">
        <f>[3]Locsolieu!AF19</f>
        <v>40.240699999999997</v>
      </c>
      <c r="H93" s="932">
        <f>[3]Locsolieu!AG19</f>
        <v>0.8599</v>
      </c>
      <c r="I93" s="932">
        <f>[3]Locsolieu!AH19</f>
        <v>0.64746000000000004</v>
      </c>
      <c r="J93" s="932">
        <f>[3]Locsolieu!AI19</f>
        <v>0.46560000000000001</v>
      </c>
      <c r="K93" s="932">
        <f>[3]Locsolieu!AJ19</f>
        <v>0.43430000000000002</v>
      </c>
      <c r="L93" s="822">
        <f t="shared" si="4"/>
        <v>0.90354000000000001</v>
      </c>
      <c r="M93" s="822">
        <f t="shared" si="5"/>
        <v>1.098765</v>
      </c>
    </row>
    <row r="94" spans="1:13" ht="26.5" thickBot="1">
      <c r="A94" s="822" t="s">
        <v>1367</v>
      </c>
      <c r="B94" s="822">
        <f>3*D39</f>
        <v>0.89999999999999991</v>
      </c>
      <c r="E94" s="930" t="str">
        <f>[3]Locsolieu!$AD$15</f>
        <v>C15</v>
      </c>
      <c r="F94" s="911" t="s">
        <v>1363</v>
      </c>
      <c r="G94" s="932">
        <f>[3]Locsolieu!AF20</f>
        <v>-0.14030000000000001</v>
      </c>
      <c r="H94" s="932">
        <f>[3]Locsolieu!AG20</f>
        <v>-0.69389000000000001</v>
      </c>
      <c r="I94" s="932">
        <f>[3]Locsolieu!AH20</f>
        <v>9.8300000000000002E-3</v>
      </c>
      <c r="J94" s="932">
        <f>[3]Locsolieu!AI20</f>
        <v>0</v>
      </c>
      <c r="K94" s="932">
        <f>[3]Locsolieu!AJ20</f>
        <v>0.499</v>
      </c>
      <c r="L94" s="822">
        <f t="shared" si="4"/>
        <v>9.8300000000000002E-3</v>
      </c>
      <c r="M94" s="822">
        <f t="shared" si="5"/>
        <v>-0.41944000000000004</v>
      </c>
    </row>
    <row r="95" spans="1:13">
      <c r="A95" s="822" t="s">
        <v>1368</v>
      </c>
      <c r="B95" s="822">
        <f>D39/2</f>
        <v>0.15</v>
      </c>
    </row>
    <row r="96" spans="1:13">
      <c r="A96" s="822" t="s">
        <v>621</v>
      </c>
      <c r="B96" s="822">
        <v>1.5</v>
      </c>
      <c r="C96" s="822" t="s">
        <v>6</v>
      </c>
    </row>
    <row r="97" spans="1:25">
      <c r="A97" s="822" t="s">
        <v>228</v>
      </c>
      <c r="B97" s="822">
        <f>B94+D39+B95*2</f>
        <v>1.5</v>
      </c>
      <c r="C97" s="822" t="s">
        <v>6</v>
      </c>
    </row>
    <row r="98" spans="1:25">
      <c r="A98" s="822" t="s">
        <v>1373</v>
      </c>
      <c r="B98" s="822">
        <f>B96*B97</f>
        <v>2.25</v>
      </c>
      <c r="C98" s="822" t="s">
        <v>3</v>
      </c>
      <c r="Q98" s="925"/>
      <c r="R98" s="925"/>
      <c r="S98" s="925"/>
      <c r="T98" s="925"/>
      <c r="U98" s="925"/>
      <c r="V98" s="925"/>
    </row>
    <row r="100" spans="1:25" ht="17.5">
      <c r="A100" s="823" t="s">
        <v>1369</v>
      </c>
      <c r="E100" s="913" t="s">
        <v>1378</v>
      </c>
      <c r="F100" s="913" t="s">
        <v>1379</v>
      </c>
      <c r="G100" s="913" t="s">
        <v>1380</v>
      </c>
      <c r="H100" s="913" t="s">
        <v>1381</v>
      </c>
      <c r="I100" s="913" t="s">
        <v>1382</v>
      </c>
      <c r="J100" s="913" t="s">
        <v>1385</v>
      </c>
      <c r="K100" s="913" t="s">
        <v>1383</v>
      </c>
      <c r="L100" s="913" t="s">
        <v>1384</v>
      </c>
      <c r="Q100" s="925" t="str">
        <f>E100</f>
        <v>Tên cọc</v>
      </c>
      <c r="R100" s="925" t="s">
        <v>1458</v>
      </c>
      <c r="S100" s="925" t="s">
        <v>1459</v>
      </c>
      <c r="T100" s="925" t="s">
        <v>1460</v>
      </c>
      <c r="U100" s="925" t="s">
        <v>1461</v>
      </c>
      <c r="V100" s="925" t="s">
        <v>1462</v>
      </c>
    </row>
    <row r="101" spans="1:25" ht="19.5">
      <c r="A101" s="7" t="s">
        <v>1370</v>
      </c>
      <c r="B101" s="935">
        <v>1.1499999999999999</v>
      </c>
      <c r="E101" s="913">
        <v>1</v>
      </c>
      <c r="F101" s="913">
        <f>-B93/2</f>
        <v>-0.44999999999999996</v>
      </c>
      <c r="G101" s="913">
        <v>0.45</v>
      </c>
      <c r="H101" s="914">
        <f t="shared" ref="H101:I103" si="6">F101^2</f>
        <v>0.20249999999999996</v>
      </c>
      <c r="I101" s="914">
        <f t="shared" si="6"/>
        <v>0.20250000000000001</v>
      </c>
      <c r="J101" s="915"/>
      <c r="K101" s="913"/>
      <c r="L101" s="916">
        <f>$B$105/$B$92+$L$90*G101/$I$104+$M$90*F101/$H$104</f>
        <v>15.670072685185183</v>
      </c>
      <c r="Q101" s="926">
        <f t="shared" ref="Q101:T103" si="7">E101</f>
        <v>1</v>
      </c>
      <c r="R101" s="934">
        <f t="shared" si="7"/>
        <v>-0.44999999999999996</v>
      </c>
      <c r="S101" s="934">
        <f t="shared" si="7"/>
        <v>0.45</v>
      </c>
      <c r="T101" s="934">
        <f t="shared" si="7"/>
        <v>0.20249999999999996</v>
      </c>
      <c r="U101" s="934">
        <f>I101</f>
        <v>0.20250000000000001</v>
      </c>
      <c r="V101" s="934">
        <f>L101</f>
        <v>15.670072685185183</v>
      </c>
    </row>
    <row r="102" spans="1:25">
      <c r="A102" s="822" t="s">
        <v>1371</v>
      </c>
      <c r="B102" s="935">
        <v>2.5</v>
      </c>
      <c r="C102" s="822" t="s">
        <v>670</v>
      </c>
      <c r="E102" s="913">
        <v>2</v>
      </c>
      <c r="F102" s="913">
        <f>+B93/2</f>
        <v>0.44999999999999996</v>
      </c>
      <c r="G102" s="913">
        <v>0</v>
      </c>
      <c r="H102" s="914">
        <f t="shared" si="6"/>
        <v>0.20249999999999996</v>
      </c>
      <c r="I102" s="914">
        <f t="shared" si="6"/>
        <v>0</v>
      </c>
      <c r="J102" s="913"/>
      <c r="K102" s="913"/>
      <c r="L102" s="916">
        <f>$B$105/$B$92+$L$90*G102/$I$104+$M$90*F102/$H$104</f>
        <v>16.360241203703701</v>
      </c>
      <c r="Q102" s="926">
        <f t="shared" si="7"/>
        <v>2</v>
      </c>
      <c r="R102" s="934">
        <f t="shared" si="7"/>
        <v>0.44999999999999996</v>
      </c>
      <c r="S102" s="934">
        <f t="shared" si="7"/>
        <v>0</v>
      </c>
      <c r="T102" s="934">
        <f t="shared" si="7"/>
        <v>0.20249999999999996</v>
      </c>
      <c r="U102" s="934">
        <f>I102</f>
        <v>0</v>
      </c>
      <c r="V102" s="934">
        <f>L102</f>
        <v>16.360241203703701</v>
      </c>
    </row>
    <row r="103" spans="1:25">
      <c r="A103" s="822" t="s">
        <v>1372</v>
      </c>
      <c r="B103" s="935">
        <v>1.1499999999999999</v>
      </c>
      <c r="E103" s="913">
        <v>3</v>
      </c>
      <c r="F103" s="913">
        <v>-0.45</v>
      </c>
      <c r="G103" s="913">
        <v>-0.45</v>
      </c>
      <c r="H103" s="914">
        <f t="shared" si="6"/>
        <v>0.20250000000000001</v>
      </c>
      <c r="I103" s="914">
        <f t="shared" si="6"/>
        <v>0.20250000000000001</v>
      </c>
      <c r="J103" s="913"/>
      <c r="K103" s="913"/>
      <c r="L103" s="916">
        <f>$B$105/$B$92+$L$90*G103/$I$104+$M$90*F103/$H$104</f>
        <v>15.864261574074071</v>
      </c>
      <c r="Q103" s="926">
        <v>3</v>
      </c>
      <c r="R103" s="934">
        <f t="shared" si="7"/>
        <v>-0.45</v>
      </c>
      <c r="S103" s="934">
        <f t="shared" si="7"/>
        <v>-0.45</v>
      </c>
      <c r="T103" s="934">
        <f t="shared" si="7"/>
        <v>0.20250000000000001</v>
      </c>
      <c r="U103" s="934">
        <f>I103</f>
        <v>0.20250000000000001</v>
      </c>
      <c r="V103" s="934">
        <f>L103</f>
        <v>15.864261574074071</v>
      </c>
    </row>
    <row r="104" spans="1:25">
      <c r="A104" s="822" t="s">
        <v>1374</v>
      </c>
      <c r="B104" s="935">
        <f>B102*B98*B45*B101</f>
        <v>3.5578124999999994</v>
      </c>
      <c r="C104" s="822" t="s">
        <v>670</v>
      </c>
      <c r="H104" s="907">
        <f>SUM(H101:H103)</f>
        <v>0.60749999999999993</v>
      </c>
      <c r="I104" s="907">
        <f>SUM(I101:I103)</f>
        <v>0.40500000000000003</v>
      </c>
      <c r="K104" s="822" t="s">
        <v>1386</v>
      </c>
      <c r="L104" s="892">
        <f>MAX(L101:L103)</f>
        <v>16.360241203703701</v>
      </c>
    </row>
    <row r="105" spans="1:25">
      <c r="A105" s="822" t="s">
        <v>1375</v>
      </c>
      <c r="B105" s="935">
        <f>B104+G90</f>
        <v>48.191112499999996</v>
      </c>
      <c r="C105" s="822" t="s">
        <v>670</v>
      </c>
      <c r="K105" s="822" t="s">
        <v>1388</v>
      </c>
      <c r="L105" s="892">
        <f>MIN(L101:L103)</f>
        <v>15.670072685185183</v>
      </c>
    </row>
    <row r="106" spans="1:25">
      <c r="A106" s="822" t="s">
        <v>1387</v>
      </c>
      <c r="B106" s="935">
        <f>B101/B103*B88</f>
        <v>33.254709677419349</v>
      </c>
      <c r="K106" s="822">
        <f>1.2*1.2</f>
        <v>1.44</v>
      </c>
    </row>
    <row r="107" spans="1:25" ht="16" customHeight="1">
      <c r="Q107" s="1018" t="str">
        <f>E108</f>
        <v>Tên cọc</v>
      </c>
      <c r="R107" s="1018" t="s">
        <v>1458</v>
      </c>
      <c r="S107" s="1018" t="s">
        <v>1459</v>
      </c>
      <c r="T107" s="1018" t="s">
        <v>1460</v>
      </c>
      <c r="U107" s="951" t="s">
        <v>1461</v>
      </c>
      <c r="V107" s="953" t="s">
        <v>1462</v>
      </c>
      <c r="W107" s="953"/>
      <c r="X107" s="953"/>
      <c r="Y107" s="953"/>
    </row>
    <row r="108" spans="1:25" ht="16">
      <c r="E108" s="913" t="s">
        <v>1378</v>
      </c>
      <c r="F108" s="913" t="s">
        <v>1379</v>
      </c>
      <c r="G108" s="913" t="s">
        <v>1380</v>
      </c>
      <c r="H108" s="913" t="s">
        <v>1381</v>
      </c>
      <c r="I108" s="913" t="s">
        <v>1382</v>
      </c>
      <c r="J108" s="913" t="s">
        <v>1385</v>
      </c>
      <c r="K108" s="913" t="s">
        <v>1383</v>
      </c>
      <c r="L108" s="913" t="s">
        <v>1389</v>
      </c>
      <c r="M108" s="822" t="s">
        <v>1390</v>
      </c>
      <c r="N108" s="822" t="s">
        <v>1391</v>
      </c>
      <c r="O108" s="822" t="s">
        <v>1392</v>
      </c>
      <c r="Q108" s="1019"/>
      <c r="R108" s="1019"/>
      <c r="S108" s="1019"/>
      <c r="T108" s="1019"/>
      <c r="U108" s="952"/>
      <c r="V108" s="927" t="s">
        <v>1463</v>
      </c>
      <c r="W108" s="927" t="s">
        <v>1464</v>
      </c>
      <c r="X108" s="927" t="s">
        <v>1465</v>
      </c>
      <c r="Y108" s="927" t="s">
        <v>1466</v>
      </c>
    </row>
    <row r="109" spans="1:25">
      <c r="E109" s="913">
        <f>E101</f>
        <v>1</v>
      </c>
      <c r="F109" s="913">
        <f t="shared" ref="F109:K109" si="8">F101</f>
        <v>-0.44999999999999996</v>
      </c>
      <c r="G109" s="913">
        <f t="shared" si="8"/>
        <v>0.45</v>
      </c>
      <c r="H109" s="913">
        <f t="shared" si="8"/>
        <v>0.20249999999999996</v>
      </c>
      <c r="I109" s="913">
        <f t="shared" si="8"/>
        <v>0.20250000000000001</v>
      </c>
      <c r="J109" s="913">
        <f t="shared" si="8"/>
        <v>0</v>
      </c>
      <c r="K109" s="913">
        <f t="shared" si="8"/>
        <v>0</v>
      </c>
      <c r="L109" s="914">
        <f>$B$105/$B$92+$L$91*G101/$I$104+$M$91*F101/$H$104</f>
        <v>16.221857870370368</v>
      </c>
      <c r="M109" s="914">
        <f>$B$105/$B$92+$L$92*H101/$I$104+$M$92*G101/$H$104</f>
        <v>16.696555555555552</v>
      </c>
      <c r="N109" s="914">
        <f>$B$105/$B$92+$L$93*I101/$I$104+$M$93*H101/$H$104</f>
        <v>16.881729166666663</v>
      </c>
      <c r="O109" s="914">
        <f>$B$105/$B$92+$L$94*J101/$I$104+$M$94*I101/$H$104</f>
        <v>15.923890833333331</v>
      </c>
      <c r="Q109" s="926">
        <f t="shared" ref="Q109:S111" si="9">E109</f>
        <v>1</v>
      </c>
      <c r="R109" s="933">
        <f t="shared" si="9"/>
        <v>-0.44999999999999996</v>
      </c>
      <c r="S109" s="933">
        <f t="shared" si="9"/>
        <v>0.45</v>
      </c>
      <c r="T109" s="933">
        <f>ROUND(H109,2)</f>
        <v>0.2</v>
      </c>
      <c r="U109" s="933">
        <f>ROUND(I109,2)</f>
        <v>0.2</v>
      </c>
      <c r="V109" s="933">
        <f t="shared" ref="V109:Y111" si="10">L109</f>
        <v>16.221857870370368</v>
      </c>
      <c r="W109" s="933">
        <f t="shared" si="10"/>
        <v>16.696555555555552</v>
      </c>
      <c r="X109" s="933">
        <f t="shared" si="10"/>
        <v>16.881729166666663</v>
      </c>
      <c r="Y109" s="933">
        <f t="shared" si="10"/>
        <v>15.923890833333331</v>
      </c>
    </row>
    <row r="110" spans="1:25">
      <c r="E110" s="913">
        <f t="shared" ref="E110:K111" si="11">E102</f>
        <v>2</v>
      </c>
      <c r="F110" s="913">
        <f t="shared" si="11"/>
        <v>0.44999999999999996</v>
      </c>
      <c r="G110" s="913">
        <f t="shared" si="11"/>
        <v>0</v>
      </c>
      <c r="H110" s="913">
        <f t="shared" si="11"/>
        <v>0.20249999999999996</v>
      </c>
      <c r="I110" s="913">
        <f t="shared" si="11"/>
        <v>0</v>
      </c>
      <c r="J110" s="913">
        <f t="shared" si="11"/>
        <v>0</v>
      </c>
      <c r="K110" s="913">
        <f t="shared" si="11"/>
        <v>0</v>
      </c>
      <c r="L110" s="914">
        <f>$B$105/$B$92+$L$91*G102/$I$104+$M$91*F102/$H$104</f>
        <v>16.890356018518517</v>
      </c>
      <c r="M110" s="914">
        <f>$B$105/$B$92+$L$92*H102/$I$104+$M$92*G102/$H$104</f>
        <v>16.506866666666664</v>
      </c>
      <c r="N110" s="914">
        <f>$B$105/$B$92+$L$93*I102/$I$104+$M$93*H102/$H$104</f>
        <v>16.429959166666663</v>
      </c>
      <c r="O110" s="914">
        <f>$B$105/$B$92+$L$94*J102/$I$104+$M$94*I102/$H$104</f>
        <v>16.063704166666664</v>
      </c>
      <c r="Q110" s="926">
        <f t="shared" si="9"/>
        <v>2</v>
      </c>
      <c r="R110" s="933">
        <f t="shared" si="9"/>
        <v>0.44999999999999996</v>
      </c>
      <c r="S110" s="933">
        <f t="shared" si="9"/>
        <v>0</v>
      </c>
      <c r="T110" s="933">
        <f t="shared" ref="T110:T111" si="12">ROUND(H110,2)</f>
        <v>0.2</v>
      </c>
      <c r="U110" s="933">
        <f>ROUND(I110,2)</f>
        <v>0</v>
      </c>
      <c r="V110" s="933">
        <f t="shared" si="10"/>
        <v>16.890356018518517</v>
      </c>
      <c r="W110" s="933">
        <f t="shared" si="10"/>
        <v>16.506866666666664</v>
      </c>
      <c r="X110" s="933">
        <f t="shared" si="10"/>
        <v>16.429959166666663</v>
      </c>
      <c r="Y110" s="933">
        <f t="shared" si="10"/>
        <v>16.063704166666664</v>
      </c>
    </row>
    <row r="111" spans="1:25">
      <c r="E111" s="913">
        <f t="shared" si="11"/>
        <v>3</v>
      </c>
      <c r="F111" s="913">
        <f t="shared" si="11"/>
        <v>-0.45</v>
      </c>
      <c r="G111" s="913">
        <f t="shared" si="11"/>
        <v>-0.45</v>
      </c>
      <c r="H111" s="913">
        <f t="shared" si="11"/>
        <v>0.20250000000000001</v>
      </c>
      <c r="I111" s="913">
        <f t="shared" si="11"/>
        <v>0.20250000000000001</v>
      </c>
      <c r="J111" s="913">
        <f t="shared" si="11"/>
        <v>0</v>
      </c>
      <c r="K111" s="913">
        <f t="shared" si="11"/>
        <v>0</v>
      </c>
      <c r="L111" s="914">
        <f>$B$105/$B$92+$L$91*G103/$I$104+$M$91*F103/$H$104</f>
        <v>14.252246759259258</v>
      </c>
      <c r="M111" s="914">
        <f>$B$105/$B$92+$L$92*H103/$I$104+$M$92*G103/$H$104</f>
        <v>16.317177777777776</v>
      </c>
      <c r="N111" s="914">
        <f>$B$105/$B$92+$L$93*I103/$I$104+$M$93*H103/$H$104</f>
        <v>16.881729166666663</v>
      </c>
      <c r="O111" s="914">
        <f>$B$105/$B$92+$L$94*J103/$I$104+$M$94*I103/$H$104</f>
        <v>15.923890833333331</v>
      </c>
      <c r="Q111" s="926">
        <f t="shared" si="9"/>
        <v>3</v>
      </c>
      <c r="R111" s="933">
        <f t="shared" si="9"/>
        <v>-0.45</v>
      </c>
      <c r="S111" s="933">
        <f t="shared" si="9"/>
        <v>-0.45</v>
      </c>
      <c r="T111" s="933">
        <f t="shared" si="12"/>
        <v>0.2</v>
      </c>
      <c r="U111" s="933">
        <f>ROUND(I111,2)</f>
        <v>0.2</v>
      </c>
      <c r="V111" s="933">
        <f t="shared" si="10"/>
        <v>14.252246759259258</v>
      </c>
      <c r="W111" s="933">
        <f t="shared" si="10"/>
        <v>16.317177777777776</v>
      </c>
      <c r="X111" s="933">
        <f t="shared" si="10"/>
        <v>16.881729166666663</v>
      </c>
      <c r="Y111" s="933">
        <f t="shared" si="10"/>
        <v>15.923890833333331</v>
      </c>
    </row>
    <row r="112" spans="1:25">
      <c r="A112" s="823" t="s">
        <v>1393</v>
      </c>
      <c r="L112" s="914"/>
    </row>
    <row r="113" spans="1:11">
      <c r="A113"/>
      <c r="B113" s="892">
        <f>'[2]Co Ly dat'!W15</f>
        <v>2.251633165829146</v>
      </c>
      <c r="C113" s="822">
        <f>ROUNDDOWN(B113,0)</f>
        <v>2</v>
      </c>
      <c r="D113" s="917">
        <f>+(B113-C113)*60</f>
        <v>15.097989949748758</v>
      </c>
      <c r="F113" s="6">
        <f>'[2]Co Ly dat'!V15</f>
        <v>9.0065326633165839</v>
      </c>
      <c r="G113" s="907">
        <f>ROUNDDOWN(F113,0)</f>
        <v>9</v>
      </c>
      <c r="H113" s="917">
        <f>+(F113-G113)*60</f>
        <v>0.39195979899503186</v>
      </c>
    </row>
    <row r="114" spans="1:11">
      <c r="A114" s="822" t="s">
        <v>1394</v>
      </c>
      <c r="B114" s="822">
        <f>B51</f>
        <v>19.899999999999999</v>
      </c>
    </row>
    <row r="115" spans="1:11">
      <c r="A115" s="822" t="s">
        <v>1395</v>
      </c>
      <c r="B115" s="892">
        <f>D115+2*B114*TAN(RADIANS(B113))</f>
        <v>2.7648824754781272</v>
      </c>
      <c r="D115" s="822">
        <f>B96-B95*2</f>
        <v>1.2</v>
      </c>
      <c r="E115" s="822">
        <f>B97-B95*2</f>
        <v>1.2</v>
      </c>
    </row>
    <row r="116" spans="1:11">
      <c r="A116" s="822" t="s">
        <v>1396</v>
      </c>
      <c r="B116" s="892">
        <f>E115+2*B114*TAN(RADIANS(B113))</f>
        <v>2.7648824754781272</v>
      </c>
      <c r="C116" s="940"/>
      <c r="F116" s="822">
        <f>TAN(PI()*RADIANS(B113))</f>
        <v>0.12409071984357102</v>
      </c>
    </row>
    <row r="117" spans="1:11">
      <c r="A117" s="822" t="s">
        <v>1397</v>
      </c>
      <c r="B117" s="892">
        <f>B115*B116</f>
        <v>7.6445751032060567</v>
      </c>
      <c r="C117" s="822" t="s">
        <v>3</v>
      </c>
    </row>
    <row r="118" spans="1:11">
      <c r="A118" s="822" t="s">
        <v>1398</v>
      </c>
      <c r="B118" s="822">
        <v>2</v>
      </c>
      <c r="I118" s="822">
        <f>SIN(J118*PI()/180)</f>
        <v>3.925981575906861E-2</v>
      </c>
      <c r="J118" s="907">
        <v>2.25</v>
      </c>
      <c r="K118" s="908">
        <f>(J118*PI()/180)</f>
        <v>3.9269908169872414E-2</v>
      </c>
    </row>
    <row r="119" spans="1:11">
      <c r="A119" s="822" t="s">
        <v>1399</v>
      </c>
      <c r="B119" s="935">
        <f>B117*D46*B118</f>
        <v>22.933725309618168</v>
      </c>
      <c r="C119" s="822" t="s">
        <v>670</v>
      </c>
      <c r="I119" s="822">
        <f>SIN((K119))</f>
        <v>3.925981575906861E-2</v>
      </c>
      <c r="K119" s="822">
        <f>RADIANS(J118)</f>
        <v>3.9269908169872414E-2</v>
      </c>
    </row>
    <row r="120" spans="1:11">
      <c r="A120" s="822" t="s">
        <v>1400</v>
      </c>
      <c r="B120" s="935">
        <f>B92*B72*B51*2.5</f>
        <v>13.432500000000001</v>
      </c>
      <c r="C120" s="822" t="s">
        <v>670</v>
      </c>
    </row>
    <row r="121" spans="1:11">
      <c r="A121" s="822" t="s">
        <v>1401</v>
      </c>
      <c r="B121" s="936">
        <f>'[2]Co Ly dat'!N16</f>
        <v>37.548000000000002</v>
      </c>
      <c r="C121" s="822" t="s">
        <v>670</v>
      </c>
    </row>
    <row r="122" spans="1:11">
      <c r="A122" s="822" t="s">
        <v>1402</v>
      </c>
      <c r="B122" s="936">
        <f>(B117-B92*B61)*B121*1</f>
        <v>276.90054597518105</v>
      </c>
      <c r="C122" s="822" t="s">
        <v>670</v>
      </c>
      <c r="D122" s="908">
        <f>(B117-B92*B61)*B121*1</f>
        <v>276.90054597518105</v>
      </c>
    </row>
    <row r="123" spans="1:11">
      <c r="A123" s="822" t="s">
        <v>1403</v>
      </c>
      <c r="B123" s="936">
        <f>B119+B120+B122</f>
        <v>313.26677128479923</v>
      </c>
      <c r="C123" s="822" t="s">
        <v>670</v>
      </c>
    </row>
    <row r="124" spans="1:11">
      <c r="A124" s="823" t="s">
        <v>1404</v>
      </c>
    </row>
    <row r="125" spans="1:11">
      <c r="A125" s="822" t="s">
        <v>1405</v>
      </c>
      <c r="B125" s="892">
        <f>B123+G90</f>
        <v>357.90007128479925</v>
      </c>
      <c r="C125" s="822" t="s">
        <v>670</v>
      </c>
    </row>
    <row r="126" spans="1:11">
      <c r="A126" s="822" t="s">
        <v>1406</v>
      </c>
      <c r="B126" s="892">
        <f>L90/B101</f>
        <v>-7.5986956521739132E-2</v>
      </c>
      <c r="C126" s="822" t="s">
        <v>670</v>
      </c>
    </row>
    <row r="127" spans="1:11">
      <c r="A127" s="822" t="s">
        <v>1407</v>
      </c>
      <c r="B127" s="892">
        <f>M90/B101</f>
        <v>0.34810869565217395</v>
      </c>
      <c r="C127" s="822" t="s">
        <v>670</v>
      </c>
    </row>
    <row r="128" spans="1:11">
      <c r="A128" s="822" t="s">
        <v>1408</v>
      </c>
      <c r="B128" s="892">
        <f>B115^2*B116/6</f>
        <v>3.5227252892218037</v>
      </c>
    </row>
    <row r="129" spans="1:11">
      <c r="A129" s="822" t="s">
        <v>1409</v>
      </c>
      <c r="B129" s="892">
        <f>B115*B116^2/6</f>
        <v>3.5227252892218037</v>
      </c>
    </row>
    <row r="130" spans="1:11">
      <c r="A130" s="892"/>
      <c r="C130" s="823" t="s">
        <v>1442</v>
      </c>
    </row>
    <row r="131" spans="1:11">
      <c r="A131" s="822" t="s">
        <v>1410</v>
      </c>
      <c r="B131" s="822">
        <v>1.1000000000000001</v>
      </c>
      <c r="D131" s="822" t="s">
        <v>1452</v>
      </c>
      <c r="E131" s="822">
        <f>B96</f>
        <v>1.5</v>
      </c>
      <c r="F131" s="822" t="str">
        <f>[2]TinhMong!F131</f>
        <v>bc</v>
      </c>
      <c r="G131" s="822">
        <f>C153</f>
        <v>0.3</v>
      </c>
      <c r="H131" s="822" t="s">
        <v>1454</v>
      </c>
      <c r="I131" s="822">
        <f>(E131-G131)/2-($H$134-$D$39/2)</f>
        <v>0.44999999999999996</v>
      </c>
      <c r="J131" s="822">
        <f>[2]TinhMong!J131</f>
        <v>0</v>
      </c>
    </row>
    <row r="132" spans="1:11">
      <c r="A132" s="822" t="s">
        <v>428</v>
      </c>
      <c r="B132" s="822">
        <v>1.4</v>
      </c>
      <c r="D132" s="822" t="s">
        <v>1451</v>
      </c>
      <c r="E132" s="822">
        <f>B97</f>
        <v>1.5</v>
      </c>
      <c r="F132" s="822" t="str">
        <f>[2]TinhMong!F132</f>
        <v>hc</v>
      </c>
      <c r="G132" s="822">
        <f>C154</f>
        <v>0.3</v>
      </c>
      <c r="H132" s="822" t="s">
        <v>1453</v>
      </c>
      <c r="I132" s="822">
        <f>(E132-G132)/2-($H$134-$D$39/2)</f>
        <v>0.44999999999999996</v>
      </c>
      <c r="J132" s="822">
        <f>[2]TinhMong!J132</f>
        <v>0</v>
      </c>
    </row>
    <row r="133" spans="1:11">
      <c r="A133" s="822" t="s">
        <v>3</v>
      </c>
      <c r="B133" s="822">
        <v>1</v>
      </c>
      <c r="D133" s="822" t="s">
        <v>1455</v>
      </c>
      <c r="E133" s="928">
        <f>J133+H133</f>
        <v>0.54999999999999993</v>
      </c>
      <c r="F133" s="822" t="str">
        <f>[2]TinhMong!F133</f>
        <v>m</v>
      </c>
      <c r="G133" s="822" t="s">
        <v>1456</v>
      </c>
      <c r="H133" s="822">
        <f>B50</f>
        <v>0.1</v>
      </c>
      <c r="I133" s="822" t="s">
        <v>6</v>
      </c>
      <c r="J133" s="822">
        <f>MAX(I131:I132)</f>
        <v>0.44999999999999996</v>
      </c>
    </row>
    <row r="134" spans="1:11">
      <c r="A134" s="822" t="s">
        <v>1411</v>
      </c>
      <c r="B134" s="822">
        <f>'[2]Co Ly dat'!O11</f>
        <v>1.01</v>
      </c>
      <c r="H134" s="822">
        <f>0.9-0.6</f>
        <v>0.30000000000000004</v>
      </c>
    </row>
    <row r="135" spans="1:11">
      <c r="A135" s="822" t="s">
        <v>1412</v>
      </c>
      <c r="B135" s="936">
        <f>'[2]Co Ly dat'!M16</f>
        <v>0.87085427135678373</v>
      </c>
      <c r="H135" s="822">
        <f>+H134/2+0.2</f>
        <v>0.35000000000000003</v>
      </c>
      <c r="I135" s="822">
        <f>1.2-0.3</f>
        <v>0.89999999999999991</v>
      </c>
      <c r="J135" s="822">
        <f>1.2-0.3</f>
        <v>0.89999999999999991</v>
      </c>
    </row>
    <row r="136" spans="1:11">
      <c r="A136" s="822" t="s">
        <v>1413</v>
      </c>
      <c r="B136" s="822">
        <f>'[2]TinhMongM2 (2)'!K43</f>
        <v>2.75</v>
      </c>
      <c r="J136" s="822">
        <f>514.4*3*0.9</f>
        <v>1388.8799999999999</v>
      </c>
    </row>
    <row r="137" spans="1:11">
      <c r="A137" s="822" t="s">
        <v>514</v>
      </c>
      <c r="B137" s="822">
        <v>0</v>
      </c>
    </row>
    <row r="138" spans="1:11" ht="19">
      <c r="A138" s="889" t="s">
        <v>1414</v>
      </c>
      <c r="B138" s="822">
        <f>'[2]Co Ly dat'!V11</f>
        <v>9.67</v>
      </c>
      <c r="H138" s="822">
        <v>7657</v>
      </c>
    </row>
    <row r="139" spans="1:11">
      <c r="A139" s="822" t="s">
        <v>515</v>
      </c>
      <c r="B139" s="822">
        <v>0.17</v>
      </c>
      <c r="H139" s="822">
        <f>+H138*3.2*(3.2-0.6)^2/8</f>
        <v>20704.528000000002</v>
      </c>
      <c r="I139" s="822">
        <f>3.2*(3.2-0.6)^2/8</f>
        <v>2.7040000000000006</v>
      </c>
      <c r="J139" s="822">
        <f>1388.9</f>
        <v>1388.9</v>
      </c>
      <c r="K139" s="822">
        <f>+J139/I139</f>
        <v>513.6464497041419</v>
      </c>
    </row>
    <row r="140" spans="1:11">
      <c r="A140" s="822" t="s">
        <v>621</v>
      </c>
      <c r="B140" s="822">
        <v>1.7</v>
      </c>
      <c r="H140" s="822">
        <f>1918*1.1</f>
        <v>2109.8000000000002</v>
      </c>
      <c r="J140" s="822">
        <f>+J139/3</f>
        <v>462.9666666666667</v>
      </c>
    </row>
    <row r="141" spans="1:11">
      <c r="A141" s="822" t="s">
        <v>599</v>
      </c>
      <c r="B141" s="822">
        <v>4.0999999999999996</v>
      </c>
    </row>
    <row r="142" spans="1:11">
      <c r="A142" s="822" t="s">
        <v>1415</v>
      </c>
      <c r="B142" s="908">
        <f>B132*B133/B131*(B139*B115*B134+B140*B51*B135+B141*B136)</f>
        <v>52.450020408595826</v>
      </c>
      <c r="J142" s="822">
        <f>+J140/1.2</f>
        <v>385.8055555555556</v>
      </c>
    </row>
    <row r="143" spans="1:11">
      <c r="A143" s="822" t="s">
        <v>1416</v>
      </c>
      <c r="H143" s="822">
        <f>650.76*4</f>
        <v>2603.04</v>
      </c>
    </row>
    <row r="144" spans="1:11">
      <c r="A144" s="822" t="s">
        <v>1417</v>
      </c>
      <c r="B144" s="938">
        <f>B125/B117</f>
        <v>46.8175230739377</v>
      </c>
      <c r="H144" s="822">
        <f>548.03*4</f>
        <v>2192.12</v>
      </c>
    </row>
    <row r="145" spans="1:28">
      <c r="A145" s="822" t="s">
        <v>1418</v>
      </c>
      <c r="B145" s="892">
        <f>B125/B117+B126/B128+B127/B129</f>
        <v>46.894770578863231</v>
      </c>
      <c r="K145" s="822">
        <f>514.4*3</f>
        <v>1543.1999999999998</v>
      </c>
      <c r="L145" s="822">
        <f>+K145*1.2</f>
        <v>1851.8399999999997</v>
      </c>
    </row>
    <row r="146" spans="1:28">
      <c r="A146" s="822" t="s">
        <v>1419</v>
      </c>
      <c r="B146" s="892">
        <f>B125/B117-B126/B128-B127/B129</f>
        <v>46.740275569012169</v>
      </c>
    </row>
    <row r="147" spans="1:28">
      <c r="A147" s="822" t="s">
        <v>1420</v>
      </c>
      <c r="B147" s="892">
        <f>1.2*B142</f>
        <v>62.94002449031499</v>
      </c>
    </row>
    <row r="148" spans="1:28" ht="14.5" thickBot="1"/>
    <row r="149" spans="1:28" ht="101" thickBot="1">
      <c r="A149" s="823" t="s">
        <v>1421</v>
      </c>
      <c r="E149" s="1003" t="s">
        <v>1338</v>
      </c>
      <c r="F149" s="960" t="s">
        <v>1468</v>
      </c>
      <c r="G149" s="961" t="s">
        <v>1467</v>
      </c>
      <c r="H149" s="962" t="s">
        <v>1422</v>
      </c>
    </row>
    <row r="150" spans="1:28" ht="19" thickBot="1">
      <c r="A150"/>
      <c r="B150" s="937">
        <f>B144-H155</f>
        <v>9.2695230739376981</v>
      </c>
      <c r="C150" s="822" t="s">
        <v>670</v>
      </c>
      <c r="E150" s="1004"/>
      <c r="F150" s="963" t="s">
        <v>6</v>
      </c>
      <c r="G150" s="963" t="s">
        <v>1424</v>
      </c>
      <c r="H150" s="963" t="s">
        <v>1347</v>
      </c>
    </row>
    <row r="151" spans="1:28" ht="17" thickBot="1">
      <c r="E151" s="890">
        <v>1</v>
      </c>
      <c r="F151" s="252">
        <v>10</v>
      </c>
      <c r="G151" s="252">
        <v>1.74</v>
      </c>
      <c r="H151" s="891">
        <f>G151*F151</f>
        <v>17.399999999999999</v>
      </c>
    </row>
    <row r="152" spans="1:28" ht="17" thickBot="1">
      <c r="A152" s="823" t="s">
        <v>1433</v>
      </c>
      <c r="E152" s="890">
        <v>2</v>
      </c>
      <c r="F152" s="252">
        <v>4.5999999999999996</v>
      </c>
      <c r="G152" s="252">
        <v>2.0499999999999998</v>
      </c>
      <c r="H152" s="891">
        <f>G152*F152</f>
        <v>9.4299999999999979</v>
      </c>
    </row>
    <row r="153" spans="1:28" ht="17" thickBot="1">
      <c r="A153" s="822" t="s">
        <v>1434</v>
      </c>
      <c r="B153" s="822">
        <f>[2]TH!B199</f>
        <v>30</v>
      </c>
      <c r="C153" s="822">
        <f>B153/100</f>
        <v>0.3</v>
      </c>
      <c r="D153" s="822" t="s">
        <v>6</v>
      </c>
      <c r="E153" s="890">
        <v>3</v>
      </c>
      <c r="F153" s="252">
        <v>1.3</v>
      </c>
      <c r="G153" s="252">
        <v>2.06</v>
      </c>
      <c r="H153" s="891">
        <f t="shared" ref="H153:H154" si="13">G153*F153</f>
        <v>2.6780000000000004</v>
      </c>
    </row>
    <row r="154" spans="1:28" ht="17" thickBot="1">
      <c r="A154" s="822" t="s">
        <v>1435</v>
      </c>
      <c r="B154" s="822">
        <f>[2]TH!B200</f>
        <v>30</v>
      </c>
      <c r="C154" s="822">
        <f>B154/100</f>
        <v>0.3</v>
      </c>
      <c r="D154" s="822" t="s">
        <v>6</v>
      </c>
      <c r="E154" s="890">
        <v>4</v>
      </c>
      <c r="F154" s="252">
        <f>B49</f>
        <v>4</v>
      </c>
      <c r="G154" s="252">
        <v>2.0099999999999998</v>
      </c>
      <c r="H154" s="891">
        <f t="shared" si="13"/>
        <v>8.0399999999999991</v>
      </c>
    </row>
    <row r="155" spans="1:28" ht="17" thickBot="1">
      <c r="A155" s="822" t="s">
        <v>513</v>
      </c>
      <c r="B155" s="822">
        <v>10</v>
      </c>
      <c r="C155" s="822">
        <f>B155/100</f>
        <v>0.1</v>
      </c>
      <c r="D155" s="822" t="s">
        <v>6</v>
      </c>
      <c r="E155" s="1005" t="s">
        <v>1423</v>
      </c>
      <c r="F155" s="1006"/>
      <c r="G155" s="1007"/>
      <c r="H155" s="918">
        <f>SUM(H151:H154)</f>
        <v>37.548000000000002</v>
      </c>
    </row>
    <row r="156" spans="1:28">
      <c r="A156" s="822" t="s">
        <v>514</v>
      </c>
      <c r="B156" s="822">
        <f>E133-C155</f>
        <v>0.44999999999999996</v>
      </c>
      <c r="C156" s="822" t="s">
        <v>6</v>
      </c>
    </row>
    <row r="157" spans="1:28" ht="14.5" thickBot="1">
      <c r="A157" s="822" t="s">
        <v>1436</v>
      </c>
      <c r="B157" s="822">
        <f>C153+2*B156</f>
        <v>1.2</v>
      </c>
      <c r="C157" s="822" t="s">
        <v>6</v>
      </c>
    </row>
    <row r="158" spans="1:28" ht="14" customHeight="1">
      <c r="A158" s="822" t="s">
        <v>1437</v>
      </c>
      <c r="B158" s="822">
        <f>C154+2*B156</f>
        <v>1.2</v>
      </c>
      <c r="C158" s="822" t="s">
        <v>6</v>
      </c>
      <c r="E158" s="995" t="s">
        <v>1282</v>
      </c>
      <c r="F158" s="995" t="s">
        <v>1425</v>
      </c>
      <c r="G158" s="995" t="s">
        <v>1426</v>
      </c>
      <c r="H158" s="999" t="s">
        <v>1427</v>
      </c>
      <c r="I158" s="999" t="s">
        <v>1428</v>
      </c>
      <c r="J158" s="995" t="s">
        <v>1429</v>
      </c>
      <c r="K158" s="995"/>
      <c r="L158" s="995"/>
      <c r="M158" s="995"/>
    </row>
    <row r="159" spans="1:28" ht="14.5" customHeight="1" thickBot="1">
      <c r="A159" s="822" t="s">
        <v>1438</v>
      </c>
      <c r="B159" s="822">
        <f>(2*(C153+C154)+2*(B157+B158))/2</f>
        <v>3</v>
      </c>
      <c r="C159" s="822" t="s">
        <v>6</v>
      </c>
      <c r="E159" s="996"/>
      <c r="F159" s="996"/>
      <c r="G159" s="997"/>
      <c r="H159" s="1000"/>
      <c r="I159" s="1000"/>
      <c r="J159" s="996"/>
      <c r="K159" s="997"/>
      <c r="L159" s="997"/>
      <c r="M159" s="996"/>
    </row>
    <row r="160" spans="1:28" ht="33.5" thickBot="1">
      <c r="A160"/>
      <c r="B160" s="822">
        <f>1*H23*B159*B156</f>
        <v>101.24999999999999</v>
      </c>
      <c r="C160" s="822" t="s">
        <v>670</v>
      </c>
      <c r="E160" s="997"/>
      <c r="F160" s="997"/>
      <c r="G160" s="867" t="s">
        <v>6</v>
      </c>
      <c r="H160" s="1001"/>
      <c r="I160" s="1002"/>
      <c r="J160" s="997"/>
      <c r="K160" s="867" t="s">
        <v>1347</v>
      </c>
      <c r="L160" s="867" t="s">
        <v>1347</v>
      </c>
      <c r="M160" s="997"/>
      <c r="S160" s="964" t="s">
        <v>1430</v>
      </c>
      <c r="T160" s="965" t="s">
        <v>1470</v>
      </c>
      <c r="U160" s="964" t="s">
        <v>1472</v>
      </c>
      <c r="V160" s="964"/>
      <c r="W160" s="965"/>
      <c r="X160" s="964"/>
      <c r="Y160" s="964"/>
      <c r="Z160" s="965"/>
      <c r="AA160" s="965"/>
      <c r="AB160" s="965"/>
    </row>
    <row r="161" spans="1:28" ht="17" thickBot="1">
      <c r="A161" s="822" t="s">
        <v>1469</v>
      </c>
      <c r="B161" s="908">
        <f>ROUND(B115/4,2)</f>
        <v>0.69</v>
      </c>
      <c r="C161" s="822" t="s">
        <v>6</v>
      </c>
      <c r="E161" s="869">
        <v>4</v>
      </c>
      <c r="F161" s="252">
        <v>1</v>
      </c>
      <c r="G161" s="252">
        <v>0</v>
      </c>
      <c r="H161" s="891">
        <f>$B$116/$B$115</f>
        <v>1</v>
      </c>
      <c r="I161" s="919">
        <f>G161/H161</f>
        <v>0</v>
      </c>
      <c r="J161" s="252">
        <v>1</v>
      </c>
      <c r="K161" s="920">
        <f>J161*$B$150</f>
        <v>9.2695230739376981</v>
      </c>
      <c r="L161" s="921">
        <f>H155</f>
        <v>37.548000000000002</v>
      </c>
      <c r="M161" s="920">
        <f>K161/L161</f>
        <v>0.24687128672466438</v>
      </c>
      <c r="N161" s="908">
        <f>M161-0.2</f>
        <v>4.6871286724664368E-2</v>
      </c>
      <c r="S161" s="966">
        <v>1</v>
      </c>
      <c r="T161" s="947">
        <v>0</v>
      </c>
      <c r="U161" s="947">
        <f>T161/$B$115</f>
        <v>0</v>
      </c>
      <c r="V161" s="987">
        <f>$B$116/$B$115</f>
        <v>1</v>
      </c>
      <c r="W161" s="947">
        <f>'[4]Tinh lun M1'!E4</f>
        <v>1</v>
      </c>
      <c r="X161" s="948">
        <f>W161*$B$150</f>
        <v>9.2695230739376981</v>
      </c>
      <c r="Y161" s="949">
        <f>$H$155</f>
        <v>37.548000000000002</v>
      </c>
      <c r="Z161" s="948">
        <f>X161/Y161</f>
        <v>0.24687128672466438</v>
      </c>
      <c r="AA161" s="950"/>
      <c r="AB161" s="950"/>
    </row>
    <row r="162" spans="1:28" ht="17" thickBot="1">
      <c r="A162" s="823" t="s">
        <v>1439</v>
      </c>
      <c r="E162" s="869">
        <v>4</v>
      </c>
      <c r="F162" s="252">
        <v>2</v>
      </c>
      <c r="G162" s="252">
        <v>1.5</v>
      </c>
      <c r="H162" s="891">
        <f t="shared" ref="H162:H164" si="14">$B$116/$B$115</f>
        <v>1</v>
      </c>
      <c r="I162" s="919">
        <f t="shared" ref="I162:I164" si="15">G162/H162</f>
        <v>1.5</v>
      </c>
      <c r="J162" s="252">
        <v>0.89</v>
      </c>
      <c r="K162" s="920">
        <f>J162*$B$150</f>
        <v>8.2498755358045521</v>
      </c>
      <c r="L162" s="921">
        <f>L161+$G$154*G162</f>
        <v>40.563000000000002</v>
      </c>
      <c r="M162" s="920">
        <f t="shared" ref="M162:M164" si="16">K162/L162</f>
        <v>0.20338425500590568</v>
      </c>
      <c r="N162" s="908">
        <f>M162-0.2</f>
        <v>3.3842550059056675E-3</v>
      </c>
      <c r="S162" s="330">
        <v>2</v>
      </c>
      <c r="T162" s="942">
        <f>+T161+$B$161</f>
        <v>0.69</v>
      </c>
      <c r="U162" s="942">
        <f>T162/$B$115</f>
        <v>0.24955852775647516</v>
      </c>
      <c r="V162" s="988"/>
      <c r="W162" s="942">
        <f>'[4]Tinh lun M1'!E5</f>
        <v>0.92</v>
      </c>
      <c r="X162" s="943">
        <f t="shared" ref="X162:X172" si="17">W162*$B$150</f>
        <v>8.5279612280226829</v>
      </c>
      <c r="Y162" s="944">
        <f>Y161+$G$154*T162</f>
        <v>38.934899999999999</v>
      </c>
      <c r="Z162" s="943">
        <f t="shared" ref="Z162:Z172" si="18">X162/Y162</f>
        <v>0.21903128627587801</v>
      </c>
      <c r="AA162" s="945">
        <f>$M$43</f>
        <v>544.67999999999995</v>
      </c>
      <c r="AB162" s="945">
        <f>ROUND(0.8*(X161+X162)/2*$B$161/AA162*100,2)</f>
        <v>0.9</v>
      </c>
    </row>
    <row r="163" spans="1:28" ht="17" thickBot="1">
      <c r="A163" s="822" t="s">
        <v>1440</v>
      </c>
      <c r="B163" s="822">
        <v>1</v>
      </c>
      <c r="E163" s="869">
        <v>4</v>
      </c>
      <c r="F163" s="252">
        <v>3</v>
      </c>
      <c r="G163" s="252">
        <v>3</v>
      </c>
      <c r="H163" s="891">
        <f t="shared" si="14"/>
        <v>1</v>
      </c>
      <c r="I163" s="919">
        <f t="shared" si="15"/>
        <v>3</v>
      </c>
      <c r="J163" s="252">
        <v>0.7</v>
      </c>
      <c r="K163" s="920">
        <f t="shared" ref="K163:K164" si="19">J163*$B$150</f>
        <v>6.4886661517563882</v>
      </c>
      <c r="L163" s="921">
        <f t="shared" ref="L163:L164" si="20">L162+$G$154*G163</f>
        <v>46.593000000000004</v>
      </c>
      <c r="M163" s="920">
        <f t="shared" si="16"/>
        <v>0.13926268220025298</v>
      </c>
      <c r="N163" s="908">
        <f>M163-0.2</f>
        <v>-6.0737317799747031E-2</v>
      </c>
      <c r="S163" s="330">
        <v>3</v>
      </c>
      <c r="T163" s="942">
        <f t="shared" ref="T163:T172" si="21">+T162+$B$161</f>
        <v>1.38</v>
      </c>
      <c r="U163" s="942">
        <f t="shared" ref="U163:U172" si="22">T163/$B$115</f>
        <v>0.49911705551295033</v>
      </c>
      <c r="V163" s="988"/>
      <c r="W163" s="942">
        <f>'[4]Tinh lun M1'!E6</f>
        <v>0.70599999999999996</v>
      </c>
      <c r="X163" s="943">
        <f t="shared" si="17"/>
        <v>6.5442832902000143</v>
      </c>
      <c r="Y163" s="944">
        <f t="shared" ref="Y163:Y172" si="23">Y162+$G$154*T163</f>
        <v>41.7087</v>
      </c>
      <c r="Z163" s="943">
        <f t="shared" si="18"/>
        <v>0.15690451369138847</v>
      </c>
      <c r="AA163" s="945">
        <f t="shared" ref="AA163:AA172" si="24">$M$43</f>
        <v>544.67999999999995</v>
      </c>
      <c r="AB163" s="945">
        <f t="shared" ref="AB163:AB172" si="25">ROUND(0.8*(X162+X163)/2*$B$161/AA163*100,2)</f>
        <v>0.76</v>
      </c>
    </row>
    <row r="164" spans="1:28" ht="17" thickBot="1">
      <c r="A164" s="822" t="s">
        <v>522</v>
      </c>
      <c r="B164" s="892">
        <f>B163*$L$104*B165</f>
        <v>4.9080723611111114</v>
      </c>
      <c r="C164" s="822" t="s">
        <v>672</v>
      </c>
      <c r="E164" s="869">
        <v>4</v>
      </c>
      <c r="F164" s="252">
        <v>4</v>
      </c>
      <c r="G164" s="252">
        <v>4.5</v>
      </c>
      <c r="H164" s="891">
        <f t="shared" si="14"/>
        <v>1</v>
      </c>
      <c r="I164" s="919">
        <f t="shared" si="15"/>
        <v>4.5</v>
      </c>
      <c r="J164" s="252">
        <v>0.51</v>
      </c>
      <c r="K164" s="920">
        <f t="shared" si="19"/>
        <v>4.727456767708226</v>
      </c>
      <c r="L164" s="921">
        <f t="shared" si="20"/>
        <v>55.638000000000005</v>
      </c>
      <c r="M164" s="920">
        <f t="shared" si="16"/>
        <v>8.4968129115141192E-2</v>
      </c>
      <c r="S164" s="330">
        <v>4</v>
      </c>
      <c r="T164" s="942">
        <f t="shared" si="21"/>
        <v>2.0699999999999998</v>
      </c>
      <c r="U164" s="942">
        <f t="shared" si="22"/>
        <v>0.74867558326942552</v>
      </c>
      <c r="V164" s="988"/>
      <c r="W164" s="942">
        <f>'[4]Tinh lun M1'!E7</f>
        <v>0.49099999999999999</v>
      </c>
      <c r="X164" s="943">
        <f t="shared" si="17"/>
        <v>4.5513358293034099</v>
      </c>
      <c r="Y164" s="944">
        <f t="shared" si="23"/>
        <v>45.869399999999999</v>
      </c>
      <c r="Z164" s="943">
        <f t="shared" si="18"/>
        <v>9.9223792534966881E-2</v>
      </c>
      <c r="AA164" s="945">
        <f t="shared" si="24"/>
        <v>544.67999999999995</v>
      </c>
      <c r="AB164" s="945">
        <f t="shared" si="25"/>
        <v>0.56000000000000005</v>
      </c>
    </row>
    <row r="165" spans="1:28" ht="16.5">
      <c r="A165" s="822" t="s">
        <v>99</v>
      </c>
      <c r="B165" s="822">
        <f>0.9/2-$D$39/2</f>
        <v>0.30000000000000004</v>
      </c>
      <c r="C165" s="822" t="s">
        <v>6</v>
      </c>
      <c r="S165" s="330">
        <v>5</v>
      </c>
      <c r="T165" s="942">
        <f t="shared" si="21"/>
        <v>2.76</v>
      </c>
      <c r="U165" s="942">
        <f t="shared" si="22"/>
        <v>0.99823411102590065</v>
      </c>
      <c r="V165" s="988"/>
      <c r="W165" s="942">
        <f>'[4]Tinh lun M1'!E8</f>
        <v>0.34100000000000003</v>
      </c>
      <c r="X165" s="943">
        <f t="shared" si="17"/>
        <v>3.1609073682127553</v>
      </c>
      <c r="Y165" s="944">
        <f t="shared" si="23"/>
        <v>51.417000000000002</v>
      </c>
      <c r="Z165" s="943">
        <f t="shared" si="18"/>
        <v>6.1475919797202391E-2</v>
      </c>
      <c r="AA165" s="945">
        <f t="shared" si="24"/>
        <v>544.67999999999995</v>
      </c>
      <c r="AB165" s="945">
        <f t="shared" si="25"/>
        <v>0.39</v>
      </c>
    </row>
    <row r="166" spans="1:28" ht="17" thickBot="1">
      <c r="A166"/>
      <c r="B166" s="922">
        <f>B164/(0.9*$H$22*$B$167*$B$156^2)</f>
        <v>1.2381810664550368E-2</v>
      </c>
      <c r="D166" s="892"/>
      <c r="S166" s="330">
        <v>6</v>
      </c>
      <c r="T166" s="942">
        <f t="shared" si="21"/>
        <v>3.4499999999999997</v>
      </c>
      <c r="U166" s="942">
        <f t="shared" si="22"/>
        <v>1.2477926387823759</v>
      </c>
      <c r="V166" s="988"/>
      <c r="W166" s="942">
        <f>'[4]Tinh lun M1'!E9</f>
        <v>0.246</v>
      </c>
      <c r="X166" s="943">
        <f t="shared" si="17"/>
        <v>2.2803026761886738</v>
      </c>
      <c r="Y166" s="944">
        <f t="shared" si="23"/>
        <v>58.351500000000001</v>
      </c>
      <c r="Z166" s="943">
        <f t="shared" si="18"/>
        <v>3.9078732786452339E-2</v>
      </c>
      <c r="AA166" s="945">
        <f t="shared" si="24"/>
        <v>544.67999999999995</v>
      </c>
      <c r="AB166" s="945">
        <f t="shared" si="25"/>
        <v>0.28000000000000003</v>
      </c>
    </row>
    <row r="167" spans="1:28" ht="14" customHeight="1">
      <c r="A167" s="822" t="s">
        <v>1441</v>
      </c>
      <c r="B167" s="822">
        <v>1.5</v>
      </c>
      <c r="E167" s="991" t="s">
        <v>1201</v>
      </c>
      <c r="F167" s="991" t="s">
        <v>1430</v>
      </c>
      <c r="G167" s="991"/>
      <c r="H167" s="991"/>
      <c r="I167" s="991"/>
      <c r="J167" s="991" t="s">
        <v>1431</v>
      </c>
      <c r="K167" s="991" t="s">
        <v>111</v>
      </c>
      <c r="S167" s="330">
        <v>7</v>
      </c>
      <c r="T167" s="942">
        <f t="shared" si="21"/>
        <v>4.1399999999999997</v>
      </c>
      <c r="U167" s="942">
        <f t="shared" si="22"/>
        <v>1.497351166538851</v>
      </c>
      <c r="V167" s="988"/>
      <c r="W167" s="942">
        <f>'[4]Tinh lun M1'!E10</f>
        <v>0.18099999999999999</v>
      </c>
      <c r="X167" s="943">
        <f t="shared" si="17"/>
        <v>1.6777836763827234</v>
      </c>
      <c r="Y167" s="944">
        <f t="shared" si="23"/>
        <v>66.672899999999998</v>
      </c>
      <c r="Z167" s="943">
        <f t="shared" si="18"/>
        <v>2.5164402274128219E-2</v>
      </c>
      <c r="AA167" s="945">
        <f t="shared" si="24"/>
        <v>544.67999999999995</v>
      </c>
      <c r="AB167" s="945">
        <f t="shared" si="25"/>
        <v>0.2</v>
      </c>
    </row>
    <row r="168" spans="1:28" ht="14.5" customHeight="1" thickBot="1">
      <c r="A168"/>
      <c r="B168" s="923">
        <f>(1-SQRT(1-2*B166))</f>
        <v>1.2459429354469864E-2</v>
      </c>
      <c r="E168" s="998"/>
      <c r="F168" s="998"/>
      <c r="G168" s="990"/>
      <c r="H168" s="990"/>
      <c r="I168" s="990"/>
      <c r="J168" s="990"/>
      <c r="K168" s="990"/>
      <c r="S168" s="330">
        <v>8</v>
      </c>
      <c r="T168" s="942">
        <f t="shared" si="21"/>
        <v>4.83</v>
      </c>
      <c r="U168" s="942">
        <f t="shared" si="22"/>
        <v>1.7469096942953264</v>
      </c>
      <c r="V168" s="988"/>
      <c r="W168" s="942">
        <f>'[4]Tinh lun M1'!E11</f>
        <v>0.13800000000000001</v>
      </c>
      <c r="X168" s="943">
        <f t="shared" si="17"/>
        <v>1.2791941842034025</v>
      </c>
      <c r="Y168" s="944">
        <f t="shared" si="23"/>
        <v>76.381199999999993</v>
      </c>
      <c r="Z168" s="943">
        <f t="shared" si="18"/>
        <v>1.6747500487075389E-2</v>
      </c>
      <c r="AA168" s="945">
        <f t="shared" si="24"/>
        <v>544.67999999999995</v>
      </c>
      <c r="AB168" s="945">
        <f t="shared" si="25"/>
        <v>0.15</v>
      </c>
    </row>
    <row r="169" spans="1:28" ht="19" thickBot="1">
      <c r="A169" s="822" t="s">
        <v>258</v>
      </c>
      <c r="B169" s="924">
        <f>B168*0.9*$H$22*$B$167*$B$156/$H$31</f>
        <v>3.9197142259352297E-4</v>
      </c>
      <c r="C169" s="892">
        <f>B169*10^4</f>
        <v>3.9197142259352296</v>
      </c>
      <c r="D169" s="822" t="s">
        <v>534</v>
      </c>
      <c r="E169" s="990"/>
      <c r="F169" s="990"/>
      <c r="G169" s="967" t="s">
        <v>1347</v>
      </c>
      <c r="H169" s="967" t="s">
        <v>1347</v>
      </c>
      <c r="I169" s="967"/>
      <c r="J169" s="967" t="s">
        <v>1347</v>
      </c>
      <c r="K169" s="967" t="s">
        <v>631</v>
      </c>
      <c r="S169" s="330">
        <v>9</v>
      </c>
      <c r="T169" s="942">
        <f t="shared" si="21"/>
        <v>5.52</v>
      </c>
      <c r="U169" s="942">
        <f t="shared" si="22"/>
        <v>1.9964682220518013</v>
      </c>
      <c r="V169" s="988"/>
      <c r="W169" s="942">
        <f>'[4]Tinh lun M1'!E12</f>
        <v>0.11</v>
      </c>
      <c r="X169" s="943">
        <f t="shared" si="17"/>
        <v>1.0196475381331469</v>
      </c>
      <c r="Y169" s="944">
        <f t="shared" si="23"/>
        <v>87.476399999999984</v>
      </c>
      <c r="Z169" s="943">
        <f t="shared" si="18"/>
        <v>1.165625858097895E-2</v>
      </c>
      <c r="AA169" s="945">
        <f t="shared" si="24"/>
        <v>544.67999999999995</v>
      </c>
      <c r="AB169" s="945">
        <f t="shared" si="25"/>
        <v>0.12</v>
      </c>
    </row>
    <row r="170" spans="1:28" ht="17" thickBot="1">
      <c r="B170" s="822">
        <v>8</v>
      </c>
      <c r="C170" s="822">
        <v>12</v>
      </c>
      <c r="D170" s="822">
        <f>(B167-0.1)/(B170-1)*1000</f>
        <v>199.99999999999997</v>
      </c>
      <c r="E170" s="890">
        <v>4</v>
      </c>
      <c r="F170" s="967">
        <v>1</v>
      </c>
      <c r="G170" s="968">
        <f>K161</f>
        <v>9.2695230739376981</v>
      </c>
      <c r="H170" s="989">
        <f>G170+G171</f>
        <v>17.51939860974225</v>
      </c>
      <c r="I170" s="991">
        <v>0.8</v>
      </c>
      <c r="J170" s="991">
        <f>$M$43</f>
        <v>544.67999999999995</v>
      </c>
      <c r="K170" s="989">
        <f>I170/J170*H170*1.5*100</f>
        <v>3.8597485370659297</v>
      </c>
      <c r="M170" s="822">
        <f>0.8/11420*336.99*1.5</f>
        <v>3.5410507880910685E-2</v>
      </c>
      <c r="N170" s="822">
        <f>+M170*100</f>
        <v>3.5410507880910687</v>
      </c>
      <c r="S170" s="330">
        <v>10</v>
      </c>
      <c r="T170" s="942">
        <f t="shared" si="21"/>
        <v>6.2099999999999991</v>
      </c>
      <c r="U170" s="942">
        <f t="shared" si="22"/>
        <v>2.2460267498082764</v>
      </c>
      <c r="V170" s="988"/>
      <c r="W170" s="942">
        <f>'[4]Tinh lun M1'!E13</f>
        <v>8.7999999999999995E-2</v>
      </c>
      <c r="X170" s="943">
        <f t="shared" si="17"/>
        <v>0.81571803050651737</v>
      </c>
      <c r="Y170" s="944">
        <f t="shared" si="23"/>
        <v>99.958499999999987</v>
      </c>
      <c r="Z170" s="943">
        <f t="shared" si="18"/>
        <v>8.1605669403454189E-3</v>
      </c>
      <c r="AA170" s="945">
        <f t="shared" si="24"/>
        <v>544.67999999999995</v>
      </c>
      <c r="AB170" s="945">
        <f t="shared" si="25"/>
        <v>0.09</v>
      </c>
    </row>
    <row r="171" spans="1:28" ht="17" thickBot="1">
      <c r="C171" s="892">
        <f>B170*(C170/10)^2/4*3.14</f>
        <v>9.0432000000000006</v>
      </c>
      <c r="D171" s="822" t="s">
        <v>534</v>
      </c>
      <c r="E171" s="890">
        <v>4</v>
      </c>
      <c r="F171" s="967">
        <v>2</v>
      </c>
      <c r="G171" s="969">
        <f>K162</f>
        <v>8.2498755358045521</v>
      </c>
      <c r="H171" s="990"/>
      <c r="I171" s="990"/>
      <c r="J171" s="990"/>
      <c r="K171" s="990"/>
      <c r="S171" s="330">
        <v>11</v>
      </c>
      <c r="T171" s="942">
        <f t="shared" si="21"/>
        <v>6.8999999999999986</v>
      </c>
      <c r="U171" s="942">
        <f t="shared" si="22"/>
        <v>2.4955852775647513</v>
      </c>
      <c r="V171" s="988"/>
      <c r="W171" s="942">
        <f>'[4]Tinh lun M1'!E14</f>
        <v>7.4999999999999997E-2</v>
      </c>
      <c r="X171" s="943">
        <f t="shared" si="17"/>
        <v>0.69521423054532738</v>
      </c>
      <c r="Y171" s="944">
        <f t="shared" si="23"/>
        <v>113.82749999999999</v>
      </c>
      <c r="Z171" s="943">
        <f t="shared" si="18"/>
        <v>6.1076122250363707E-3</v>
      </c>
      <c r="AA171" s="945">
        <f t="shared" si="24"/>
        <v>544.67999999999995</v>
      </c>
      <c r="AB171" s="945">
        <f t="shared" si="25"/>
        <v>0.08</v>
      </c>
    </row>
    <row r="172" spans="1:28" ht="17" thickBot="1">
      <c r="B172" s="908">
        <f>B164/(0.9*B167*B156)</f>
        <v>8.0791314586191145</v>
      </c>
      <c r="C172" s="822">
        <v>1.2999999999999999E-2</v>
      </c>
      <c r="E172" s="890">
        <v>4</v>
      </c>
      <c r="F172" s="967">
        <v>2</v>
      </c>
      <c r="G172" s="969">
        <f>G171</f>
        <v>8.2498755358045521</v>
      </c>
      <c r="H172" s="989">
        <f>G172+G173</f>
        <v>14.738541687560939</v>
      </c>
      <c r="I172" s="991">
        <v>0.8</v>
      </c>
      <c r="J172" s="991">
        <f t="shared" ref="J172" si="26">$M$43</f>
        <v>544.67999999999995</v>
      </c>
      <c r="K172" s="989">
        <f t="shared" ref="K172" si="27">I172/J172*H172*1.5*100</f>
        <v>3.2470900391189566</v>
      </c>
      <c r="S172" s="330">
        <v>12</v>
      </c>
      <c r="T172" s="942">
        <f t="shared" si="21"/>
        <v>7.5899999999999981</v>
      </c>
      <c r="U172" s="942">
        <f t="shared" si="22"/>
        <v>2.7451438053212263</v>
      </c>
      <c r="V172" s="988"/>
      <c r="W172" s="942">
        <f>'[4]Tinh lun M1'!E15</f>
        <v>6.3E-2</v>
      </c>
      <c r="X172" s="943">
        <f t="shared" si="17"/>
        <v>0.58397995365807498</v>
      </c>
      <c r="Y172" s="944">
        <f t="shared" si="23"/>
        <v>129.08339999999998</v>
      </c>
      <c r="Z172" s="943">
        <f t="shared" si="18"/>
        <v>4.5240515330249673E-3</v>
      </c>
      <c r="AA172" s="945">
        <f t="shared" si="24"/>
        <v>544.67999999999995</v>
      </c>
      <c r="AB172" s="945">
        <f t="shared" si="25"/>
        <v>0.06</v>
      </c>
    </row>
    <row r="173" spans="1:28" ht="17" thickBot="1">
      <c r="C173" s="822">
        <f>(1-SQRT(1-2*C172))/2</f>
        <v>6.5428083409869164E-3</v>
      </c>
      <c r="E173" s="890">
        <v>4</v>
      </c>
      <c r="F173" s="967">
        <v>3</v>
      </c>
      <c r="G173" s="969">
        <f>K163</f>
        <v>6.4886661517563882</v>
      </c>
      <c r="H173" s="990"/>
      <c r="I173" s="990"/>
      <c r="J173" s="990"/>
      <c r="K173" s="990"/>
      <c r="S173" s="7"/>
      <c r="T173" s="7"/>
      <c r="U173" s="7"/>
      <c r="V173" s="7"/>
      <c r="W173" s="7"/>
      <c r="X173" s="7"/>
      <c r="Y173" s="7"/>
      <c r="Z173" s="7"/>
      <c r="AA173" s="941" t="s">
        <v>1471</v>
      </c>
      <c r="AB173" s="946">
        <f>SUM(AB162:AB172)</f>
        <v>3.5900000000000007</v>
      </c>
    </row>
    <row r="174" spans="1:28" ht="17" thickBot="1">
      <c r="E174" s="890">
        <v>4</v>
      </c>
      <c r="F174" s="967">
        <v>3</v>
      </c>
      <c r="G174" s="969">
        <f>G173</f>
        <v>6.4886661517563882</v>
      </c>
      <c r="H174" s="989">
        <f>G174+G175</f>
        <v>11.216122919464613</v>
      </c>
      <c r="I174" s="991">
        <v>0.8</v>
      </c>
      <c r="J174" s="991">
        <f t="shared" ref="J174" si="28">$M$43</f>
        <v>544.67999999999995</v>
      </c>
      <c r="K174" s="989">
        <f t="shared" ref="K174" si="29">I174/J174*H174*1.5*100</f>
        <v>2.4710559417194569</v>
      </c>
      <c r="R174" s="822" t="s">
        <v>1473</v>
      </c>
      <c r="S174" s="822">
        <f>S172</f>
        <v>12</v>
      </c>
      <c r="AA174" s="7"/>
      <c r="AB174" s="7"/>
    </row>
    <row r="175" spans="1:28" ht="17" thickBot="1">
      <c r="E175" s="890">
        <v>4</v>
      </c>
      <c r="F175" s="967">
        <v>4</v>
      </c>
      <c r="G175" s="968">
        <f>K164</f>
        <v>4.727456767708226</v>
      </c>
      <c r="H175" s="990"/>
      <c r="I175" s="990"/>
      <c r="J175" s="990"/>
      <c r="K175" s="990"/>
      <c r="R175" s="822" t="s">
        <v>1243</v>
      </c>
      <c r="S175" s="935">
        <f>+T172</f>
        <v>7.5899999999999981</v>
      </c>
    </row>
    <row r="176" spans="1:28" ht="17" thickBot="1">
      <c r="A176" s="823" t="s">
        <v>1445</v>
      </c>
      <c r="E176" s="992" t="s">
        <v>1432</v>
      </c>
      <c r="F176" s="993"/>
      <c r="G176" s="993"/>
      <c r="H176" s="993"/>
      <c r="I176" s="993"/>
      <c r="J176" s="994"/>
      <c r="K176" s="968">
        <f>SUM(K170:K175)</f>
        <v>9.577894517904344</v>
      </c>
      <c r="R176" s="822" t="s">
        <v>1474</v>
      </c>
      <c r="S176" s="822">
        <f>AB173</f>
        <v>3.5900000000000007</v>
      </c>
    </row>
    <row r="177" spans="1:5">
      <c r="A177" s="822" t="s">
        <v>1440</v>
      </c>
      <c r="B177" s="822">
        <v>2</v>
      </c>
    </row>
    <row r="178" spans="1:5">
      <c r="A178" s="822" t="s">
        <v>522</v>
      </c>
      <c r="B178" s="892">
        <f>B177*$L$104*B179</f>
        <v>9.8161447222222229</v>
      </c>
      <c r="C178" s="822" t="s">
        <v>672</v>
      </c>
    </row>
    <row r="179" spans="1:5">
      <c r="A179" s="822" t="s">
        <v>99</v>
      </c>
      <c r="B179" s="822">
        <f>0.9/2-$D$39/2</f>
        <v>0.30000000000000004</v>
      </c>
      <c r="C179" s="822" t="s">
        <v>6</v>
      </c>
    </row>
    <row r="180" spans="1:5">
      <c r="B180" s="922">
        <f>B178/(0.9*$H$22*$B$167*$B$156^2)</f>
        <v>2.4763621329100736E-2</v>
      </c>
      <c r="D180" s="892"/>
    </row>
    <row r="181" spans="1:5">
      <c r="A181" s="822" t="s">
        <v>1441</v>
      </c>
      <c r="B181" s="822">
        <v>1.5</v>
      </c>
      <c r="E181" s="822">
        <v>7.0000000000000007E-2</v>
      </c>
    </row>
    <row r="182" spans="1:5">
      <c r="B182" s="923">
        <f>(1-SQRT(1-2*B180))</f>
        <v>2.5078076284157813E-2</v>
      </c>
      <c r="E182" s="822">
        <f>1-SQRT(1-2*E181)</f>
        <v>7.263815045042965E-2</v>
      </c>
    </row>
    <row r="183" spans="1:5">
      <c r="A183" s="822" t="s">
        <v>258</v>
      </c>
      <c r="B183" s="924">
        <f>B182*0.9*$H$22*$B$167*$B$156/$H$31</f>
        <v>7.8895180167169688E-4</v>
      </c>
      <c r="C183" s="892">
        <f>B183*10^4</f>
        <v>7.889518016716969</v>
      </c>
      <c r="D183" s="822" t="s">
        <v>534</v>
      </c>
      <c r="E183" s="822">
        <f>+E182*0.9*1.45*320*140/36.5</f>
        <v>116.34840624476492</v>
      </c>
    </row>
    <row r="184" spans="1:5">
      <c r="B184" s="822">
        <v>11</v>
      </c>
      <c r="C184" s="822">
        <v>12</v>
      </c>
      <c r="D184" s="822">
        <f>(B181-0.1)/(B184-1)*1000</f>
        <v>139.99999999999997</v>
      </c>
    </row>
    <row r="185" spans="1:5">
      <c r="C185" s="892">
        <f>B184*(C184/10)^2/4*3.14</f>
        <v>12.4344</v>
      </c>
      <c r="D185" s="822" t="s">
        <v>534</v>
      </c>
    </row>
    <row r="186" spans="1:5">
      <c r="B186" s="908">
        <f>B178/(0.9*B181*B170)</f>
        <v>0.90890228909465021</v>
      </c>
      <c r="C186" s="822">
        <v>1.2999999999999999E-2</v>
      </c>
    </row>
    <row r="187" spans="1:5">
      <c r="C187" s="822">
        <f>(1-SQRT(1-2*C186))/2</f>
        <v>6.5428083409869164E-3</v>
      </c>
    </row>
  </sheetData>
  <mergeCells count="49">
    <mergeCell ref="V161:V172"/>
    <mergeCell ref="J39:J42"/>
    <mergeCell ref="E39:E42"/>
    <mergeCell ref="F39:F42"/>
    <mergeCell ref="G39:G42"/>
    <mergeCell ref="H39:H42"/>
    <mergeCell ref="I39:I42"/>
    <mergeCell ref="K39:K42"/>
    <mergeCell ref="L39:L42"/>
    <mergeCell ref="M39:M42"/>
    <mergeCell ref="K58:K59"/>
    <mergeCell ref="L58:L59"/>
    <mergeCell ref="M58:M59"/>
    <mergeCell ref="P58:P59"/>
    <mergeCell ref="Q107:Q108"/>
    <mergeCell ref="R107:R108"/>
    <mergeCell ref="S107:S108"/>
    <mergeCell ref="T107:T108"/>
    <mergeCell ref="E149:E150"/>
    <mergeCell ref="E155:G155"/>
    <mergeCell ref="E158:E160"/>
    <mergeCell ref="F158:F160"/>
    <mergeCell ref="G158:G159"/>
    <mergeCell ref="H158:H160"/>
    <mergeCell ref="I158:I160"/>
    <mergeCell ref="J158:J160"/>
    <mergeCell ref="K158:K159"/>
    <mergeCell ref="L158:L159"/>
    <mergeCell ref="M158:M160"/>
    <mergeCell ref="E167:E169"/>
    <mergeCell ref="F167:F169"/>
    <mergeCell ref="G167:G168"/>
    <mergeCell ref="H167:H168"/>
    <mergeCell ref="I167:I168"/>
    <mergeCell ref="J167:J168"/>
    <mergeCell ref="K167:K168"/>
    <mergeCell ref="H170:H171"/>
    <mergeCell ref="I170:I171"/>
    <mergeCell ref="J170:J171"/>
    <mergeCell ref="K170:K171"/>
    <mergeCell ref="E176:J176"/>
    <mergeCell ref="H172:H173"/>
    <mergeCell ref="I172:I173"/>
    <mergeCell ref="J172:J173"/>
    <mergeCell ref="K172:K173"/>
    <mergeCell ref="H174:H175"/>
    <mergeCell ref="I174:I175"/>
    <mergeCell ref="J174:J175"/>
    <mergeCell ref="K174:K175"/>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A35F2-9F07-4E29-B11E-962F0008B94E}">
  <dimension ref="A1:AB187"/>
  <sheetViews>
    <sheetView topLeftCell="D142" zoomScaleNormal="100" workbookViewId="0">
      <selection activeCell="AB162" sqref="AB162"/>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9" width="11.08203125" style="822" bestFit="1" customWidth="1"/>
    <col min="10" max="13" width="9.08203125" style="822"/>
    <col min="14" max="14" width="10.6640625" style="822" bestFit="1" customWidth="1"/>
    <col min="15" max="16384" width="9.08203125" style="822"/>
  </cols>
  <sheetData>
    <row r="1" spans="1:9">
      <c r="A1" s="822" t="str">
        <f>IF([2]TH!A1&lt;&gt;"",[2]TH!A1,"")</f>
        <v>Ngày thực hiện luận văn</v>
      </c>
      <c r="B1" s="822" t="str">
        <f>IF([2]TH!B1&lt;&gt;"",[2]TH!B1,"")</f>
        <v>ngày 02 tháng 07 năm 2020</v>
      </c>
      <c r="C1" s="822" t="str">
        <f>IF([2]TH!C1&lt;&gt;"",[2]TH!C1,"")</f>
        <v/>
      </c>
      <c r="D1" s="822" t="str">
        <f>IF([2]TH!D1&lt;&gt;"",[2]TH!D1,"")</f>
        <v/>
      </c>
      <c r="E1" s="822" t="str">
        <f>IF([2]TH!E1&lt;&gt;"",[2]TH!E1,"")</f>
        <v/>
      </c>
      <c r="F1" s="822" t="str">
        <f>IF([2]TH!F1&lt;&gt;"",[2]TH!F1,"")</f>
        <v/>
      </c>
      <c r="G1" s="822" t="str">
        <f>IF([2]TH!G1&lt;&gt;"",[2]TH!G1,"")</f>
        <v/>
      </c>
      <c r="H1" s="822" t="str">
        <f>IF([2]TH!H1&lt;&gt;"",[2]TH!H1,"")</f>
        <v/>
      </c>
      <c r="I1" s="822" t="str">
        <f>IF([2]TH!I1&lt;&gt;"",[2]TH!I1,"")</f>
        <v/>
      </c>
    </row>
    <row r="2" spans="1:9">
      <c r="A2" s="822" t="str">
        <f>IF([2]TH!A2&lt;&gt;"",[2]TH!A2,"")</f>
        <v>Tên công trình:</v>
      </c>
      <c r="B2" s="822" t="str">
        <f>IF([2]TH!B2&lt;&gt;"",[2]TH!B2,"")</f>
        <v>Trụ Sở Làm Việc Xã Tân Ân -Huyện Ngọc Hiển-Tỉnh Cà Mau</v>
      </c>
      <c r="C2" s="822" t="str">
        <f>IF([2]TH!C2&lt;&gt;"",[2]TH!C2,"")</f>
        <v/>
      </c>
      <c r="D2" s="822" t="str">
        <f>IF([2]TH!D2&lt;&gt;"",[2]TH!D2,"")</f>
        <v/>
      </c>
      <c r="E2" s="822" t="str">
        <f>IF([2]TH!E2&lt;&gt;"",[2]TH!E2,"")</f>
        <v/>
      </c>
      <c r="F2" s="822" t="str">
        <f>IF([2]TH!F2&lt;&gt;"",[2]TH!F2,"")</f>
        <v/>
      </c>
      <c r="G2" s="822" t="str">
        <f>IF([2]TH!G2&lt;&gt;"",[2]TH!G2,"")</f>
        <v/>
      </c>
      <c r="H2" s="822" t="str">
        <f>IF([2]TH!H2&lt;&gt;"",[2]TH!H2,"")</f>
        <v/>
      </c>
      <c r="I2" s="822" t="str">
        <f>IF([2]TH!I2&lt;&gt;"",[2]TH!I2,"")</f>
        <v/>
      </c>
    </row>
    <row r="3" spans="1:9">
      <c r="A3" s="822" t="str">
        <f>IF([2]TH!A3&lt;&gt;"",[2]TH!A3,"")</f>
        <v>Địa điểm:</v>
      </c>
      <c r="B3" s="822" t="str">
        <f>IF([2]TH!B3&lt;&gt;"",[2]TH!B3,"")</f>
        <v>Xã Tân Ân -Huyện Ngọc Hiển-Tỉnh Cà Mau</v>
      </c>
      <c r="C3" s="822" t="str">
        <f>IF([2]TH!C3&lt;&gt;"",[2]TH!C3,"")</f>
        <v/>
      </c>
      <c r="D3" s="822" t="str">
        <f>IF([2]TH!D3&lt;&gt;"",[2]TH!D3,"")</f>
        <v/>
      </c>
      <c r="E3" s="822" t="str">
        <f>IF([2]TH!E3&lt;&gt;"",[2]TH!E3,"")</f>
        <v/>
      </c>
      <c r="F3" s="822" t="str">
        <f>IF([2]TH!F3&lt;&gt;"",[2]TH!F3,"")</f>
        <v/>
      </c>
      <c r="G3" s="822" t="str">
        <f>IF([2]TH!G3&lt;&gt;"",[2]TH!G3,"")</f>
        <v/>
      </c>
      <c r="H3" s="822" t="str">
        <f>IF([2]TH!H3&lt;&gt;"",[2]TH!H3,"")</f>
        <v/>
      </c>
      <c r="I3" s="822" t="str">
        <f>IF([2]TH!I3&lt;&gt;"",[2]TH!I3,"")</f>
        <v/>
      </c>
    </row>
    <row r="4" spans="1:9">
      <c r="A4" s="822" t="str">
        <f>IF([2]TH!A4&lt;&gt;"",[2]TH!A4,"")</f>
        <v>Đặc điểm công trình:</v>
      </c>
      <c r="B4" s="822" t="str">
        <f>IF([2]TH!B4&lt;&gt;"",[2]TH!B4,"")</f>
        <v>1 tầng trệt, 2 tầng lầu</v>
      </c>
      <c r="C4" s="822" t="str">
        <f>IF([2]TH!C4&lt;&gt;"",[2]TH!C4,"")</f>
        <v/>
      </c>
      <c r="D4" s="822" t="str">
        <f>IF([2]TH!D4&lt;&gt;"",[2]TH!D4,"")</f>
        <v/>
      </c>
      <c r="E4" s="822" t="str">
        <f>IF([2]TH!E4&lt;&gt;"",[2]TH!E4,"")</f>
        <v/>
      </c>
      <c r="F4" s="822" t="str">
        <f>IF([2]TH!F4&lt;&gt;"",[2]TH!F4,"")</f>
        <v/>
      </c>
      <c r="G4" s="822" t="str">
        <f>IF([2]TH!G4&lt;&gt;"",[2]TH!G4,"")</f>
        <v/>
      </c>
      <c r="H4" s="822" t="str">
        <f>IF([2]TH!H4&lt;&gt;"",[2]TH!H4,"")</f>
        <v/>
      </c>
      <c r="I4" s="822" t="str">
        <f>IF([2]TH!I4&lt;&gt;"",[2]TH!I4,"")</f>
        <v/>
      </c>
    </row>
    <row r="5" spans="1:9">
      <c r="A5" s="822" t="str">
        <f>IF([2]TH!A5&lt;&gt;"",[2]TH!A5,"")</f>
        <v>Cấp công trình</v>
      </c>
      <c r="B5" s="822">
        <f>IF([2]TH!B5&lt;&gt;"",[2]TH!B5,"")</f>
        <v>5000</v>
      </c>
      <c r="C5" s="822" t="str">
        <f>IF([2]TH!C5&lt;&gt;"",[2]TH!C5,"")</f>
        <v/>
      </c>
      <c r="D5" s="822" t="str">
        <f>IF([2]TH!D5&lt;&gt;"",[2]TH!D5,"")</f>
        <v/>
      </c>
      <c r="E5" s="822" t="str">
        <f>IF([2]TH!E5&lt;&gt;"",[2]TH!E5,"")</f>
        <v/>
      </c>
      <c r="F5" s="822" t="str">
        <f>IF([2]TH!F5&lt;&gt;"",[2]TH!F5,"")</f>
        <v/>
      </c>
      <c r="G5" s="822" t="str">
        <f>IF([2]TH!G5&lt;&gt;"",[2]TH!G5,"")</f>
        <v/>
      </c>
      <c r="H5" s="822" t="str">
        <f>IF([2]TH!H5&lt;&gt;"",[2]TH!H5,"")</f>
        <v/>
      </c>
      <c r="I5" s="822" t="str">
        <f>IF([2]TH!I5&lt;&gt;"",[2]TH!I5,"")</f>
        <v/>
      </c>
    </row>
    <row r="6" spans="1:9">
      <c r="A6" s="822" t="str">
        <f>IF([2]TH!A6&lt;&gt;"",[2]TH!A6,"")</f>
        <v>Số tầng:</v>
      </c>
      <c r="B6" s="822">
        <f>IF([2]TH!B6&lt;&gt;"",[2]TH!B6,"")</f>
        <v>4</v>
      </c>
      <c r="C6" s="822" t="str">
        <f>IF([2]TH!C6&lt;&gt;"",[2]TH!C6,"")</f>
        <v>tầng</v>
      </c>
      <c r="D6" s="822" t="str">
        <f>IF([2]TH!D6&lt;&gt;"",[2]TH!D6,"")</f>
        <v/>
      </c>
      <c r="E6" s="822" t="str">
        <f>IF([2]TH!E6&lt;&gt;"",[2]TH!E6,"")</f>
        <v/>
      </c>
      <c r="F6" s="822" t="str">
        <f>IF([2]TH!F6&lt;&gt;"",[2]TH!F6,"")</f>
        <v/>
      </c>
      <c r="G6" s="822" t="str">
        <f>IF([2]TH!G6&lt;&gt;"",[2]TH!G6,"")</f>
        <v/>
      </c>
      <c r="H6" s="822" t="str">
        <f>IF([2]TH!H6&lt;&gt;"",[2]TH!H6,"")</f>
        <v/>
      </c>
      <c r="I6" s="822" t="str">
        <f>IF([2]TH!I6&lt;&gt;"",[2]TH!I6,"")</f>
        <v/>
      </c>
    </row>
    <row r="7" spans="1:9">
      <c r="A7" s="822" t="str">
        <f>IF([2]TH!A7&lt;&gt;"",[2]TH!A7,"")</f>
        <v>Diện tích xây dựng</v>
      </c>
      <c r="B7" s="822">
        <f>IF([2]TH!B7&lt;&gt;"",[2]TH!B7,"")</f>
        <v>435.7</v>
      </c>
      <c r="C7" s="822" t="str">
        <f>IF([2]TH!C7&lt;&gt;"",[2]TH!C7,"")</f>
        <v>m2</v>
      </c>
      <c r="D7" s="822" t="str">
        <f>IF([2]TH!D7&lt;&gt;"",[2]TH!D7,"")</f>
        <v/>
      </c>
      <c r="E7" s="822" t="str">
        <f>IF([2]TH!E7&lt;&gt;"",[2]TH!E7,"")</f>
        <v/>
      </c>
      <c r="F7" s="822" t="str">
        <f>IF([2]TH!F7&lt;&gt;"",[2]TH!F7,"")</f>
        <v/>
      </c>
      <c r="G7" s="822" t="str">
        <f>IF([2]TH!G7&lt;&gt;"",[2]TH!G7,"")</f>
        <v/>
      </c>
      <c r="H7" s="822" t="str">
        <f>IF([2]TH!H7&lt;&gt;"",[2]TH!H7,"")</f>
        <v/>
      </c>
      <c r="I7" s="822" t="str">
        <f>IF([2]TH!I7&lt;&gt;"",[2]TH!I7,"")</f>
        <v/>
      </c>
    </row>
    <row r="8" spans="1:9">
      <c r="A8" s="822" t="str">
        <f>IF([2]TH!A8&lt;&gt;"",[2]TH!A8,"")</f>
        <v xml:space="preserve">Tổng diện tích </v>
      </c>
      <c r="B8" s="822">
        <f>IF([2]TH!B8&lt;&gt;"",[2]TH!B8,"")</f>
        <v>814.3</v>
      </c>
      <c r="C8" s="822" t="str">
        <f>IF([2]TH!C8&lt;&gt;"",[2]TH!C8,"")</f>
        <v>m2</v>
      </c>
      <c r="D8" s="822" t="str">
        <f>IF([2]TH!D8&lt;&gt;"",[2]TH!D8,"")</f>
        <v/>
      </c>
      <c r="E8" s="822" t="str">
        <f>IF([2]TH!E8&lt;&gt;"",[2]TH!E8,"")</f>
        <v/>
      </c>
      <c r="F8" s="822" t="str">
        <f>IF([2]TH!F8&lt;&gt;"",[2]TH!F8,"")</f>
        <v/>
      </c>
      <c r="G8" s="822" t="str">
        <f>IF([2]TH!G8&lt;&gt;"",[2]TH!G8,"")</f>
        <v/>
      </c>
      <c r="H8" s="822" t="str">
        <f>IF([2]TH!H8&lt;&gt;"",[2]TH!H8,"")</f>
        <v/>
      </c>
      <c r="I8" s="822" t="str">
        <f>IF([2]TH!I8&lt;&gt;"",[2]TH!I8,"")</f>
        <v/>
      </c>
    </row>
    <row r="9" spans="1:9">
      <c r="A9" s="822" t="str">
        <f>IF([2]TH!A9&lt;&gt;"",[2]TH!A9,"")</f>
        <v>Trong đó:</v>
      </c>
      <c r="B9" s="822" t="str">
        <f>IF([2]TH!B9&lt;&gt;"",[2]TH!B9,"")</f>
        <v>tầng trệt: S=435,7 m², lầu 1: S=378,6 m²</v>
      </c>
      <c r="C9" s="822" t="str">
        <f>IF([2]TH!C9&lt;&gt;"",[2]TH!C9,"")</f>
        <v/>
      </c>
      <c r="D9" s="822" t="str">
        <f>IF([2]TH!D9&lt;&gt;"",[2]TH!D9,"")</f>
        <v/>
      </c>
      <c r="E9" s="822" t="str">
        <f>IF([2]TH!E9&lt;&gt;"",[2]TH!E9,"")</f>
        <v/>
      </c>
      <c r="F9" s="822" t="str">
        <f>IF([2]TH!F9&lt;&gt;"",[2]TH!F9,"")</f>
        <v/>
      </c>
      <c r="G9" s="822" t="str">
        <f>IF([2]TH!G9&lt;&gt;"",[2]TH!G9,"")</f>
        <v/>
      </c>
      <c r="H9" s="822" t="str">
        <f>IF([2]TH!H9&lt;&gt;"",[2]TH!H9,"")</f>
        <v/>
      </c>
      <c r="I9" s="822" t="str">
        <f>IF([2]TH!I9&lt;&gt;"",[2]TH!I9,"")</f>
        <v/>
      </c>
    </row>
    <row r="10" spans="1:9">
      <c r="A10" s="822" t="str">
        <f>IF([2]TH!A10&lt;&gt;"",[2]TH!A10,"")</f>
        <v>Chiều cao nèn từ tầng trệt:</v>
      </c>
      <c r="B10" s="822" t="str">
        <f>IF([2]TH!B10&lt;&gt;"",[2]TH!B10,"")</f>
        <v/>
      </c>
      <c r="C10" s="822" t="str">
        <f>IF([2]TH!C10&lt;&gt;"",[2]TH!C10,"")</f>
        <v/>
      </c>
      <c r="D10" s="822" t="str">
        <f>IF([2]TH!D10&lt;&gt;"",[2]TH!D10,"")</f>
        <v/>
      </c>
      <c r="E10" s="822" t="str">
        <f>IF([2]TH!E10&lt;&gt;"",[2]TH!E10,"")</f>
        <v/>
      </c>
      <c r="F10" s="822" t="str">
        <f>IF([2]TH!F10&lt;&gt;"",[2]TH!F10,"")</f>
        <v/>
      </c>
      <c r="G10" s="822" t="str">
        <f>IF([2]TH!G10&lt;&gt;"",[2]TH!G10,"")</f>
        <v/>
      </c>
      <c r="H10" s="822" t="str">
        <f>IF([2]TH!H10&lt;&gt;"",[2]TH!H10,"")</f>
        <v/>
      </c>
      <c r="I10" s="822" t="str">
        <f>IF([2]TH!I10&lt;&gt;"",[2]TH!I10,"")</f>
        <v/>
      </c>
    </row>
    <row r="11" spans="1:9">
      <c r="A11" s="822" t="str">
        <f>IF([2]TH!A11&lt;&gt;"",[2]TH!A11,"")</f>
        <v>Cao độ mỗi tầng:</v>
      </c>
      <c r="B11" s="822" t="str">
        <f>IF([2]TH!B11&lt;&gt;"",[2]TH!B11,"")</f>
        <v/>
      </c>
      <c r="C11" s="822" t="str">
        <f>IF([2]TH!C11&lt;&gt;"",[2]TH!C11,"")</f>
        <v/>
      </c>
      <c r="D11" s="822" t="str">
        <f>IF([2]TH!D11&lt;&gt;"",[2]TH!D11,"")</f>
        <v/>
      </c>
      <c r="E11" s="822" t="str">
        <f>IF([2]TH!E11&lt;&gt;"",[2]TH!E11,"")</f>
        <v/>
      </c>
      <c r="F11" s="822" t="str">
        <f>IF([2]TH!F11&lt;&gt;"",[2]TH!F11,"")</f>
        <v/>
      </c>
      <c r="G11" s="822" t="str">
        <f>IF([2]TH!G11&lt;&gt;"",[2]TH!G11,"")</f>
        <v/>
      </c>
      <c r="H11" s="822" t="str">
        <f>IF([2]TH!H11&lt;&gt;"",[2]TH!H11,"")</f>
        <v/>
      </c>
      <c r="I11" s="822" t="str">
        <f>IF([2]TH!I11&lt;&gt;"",[2]TH!I11,"")</f>
        <v/>
      </c>
    </row>
    <row r="12" spans="1:9">
      <c r="A12" s="822" t="str">
        <f>IF([2]TH!A12&lt;&gt;"",[2]TH!A12,"")</f>
        <v>Tầng trệt</v>
      </c>
      <c r="B12" s="822">
        <f>IF([2]TH!B12&lt;&gt;"",[2]TH!B12,"")</f>
        <v>2.85</v>
      </c>
      <c r="C12" s="822" t="str">
        <f>IF([2]TH!C12&lt;&gt;"",[2]TH!C12,"")</f>
        <v>m</v>
      </c>
      <c r="D12" s="822" t="str">
        <f>IF([2]TH!D12&lt;&gt;"",[2]TH!D12,"")</f>
        <v/>
      </c>
      <c r="E12" s="822" t="str">
        <f>IF([2]TH!E12&lt;&gt;"",[2]TH!E12,"")</f>
        <v/>
      </c>
      <c r="F12" s="822" t="str">
        <f>IF([2]TH!F12&lt;&gt;"",[2]TH!F12,"")</f>
        <v/>
      </c>
      <c r="G12" s="822" t="str">
        <f>IF([2]TH!G12&lt;&gt;"",[2]TH!G12,"")</f>
        <v/>
      </c>
      <c r="H12" s="822" t="str">
        <f>IF([2]TH!H12&lt;&gt;"",[2]TH!H12,"")</f>
        <v/>
      </c>
      <c r="I12" s="822" t="str">
        <f>IF([2]TH!I12&lt;&gt;"",[2]TH!I12,"")</f>
        <v/>
      </c>
    </row>
    <row r="13" spans="1:9">
      <c r="A13" s="822" t="str">
        <f>IF([2]TH!A13&lt;&gt;"",[2]TH!A13,"")</f>
        <v>Tầng 1</v>
      </c>
      <c r="B13" s="822">
        <f>IF([2]TH!B13&lt;&gt;"",[2]TH!B13,"")</f>
        <v>3.6</v>
      </c>
      <c r="C13" s="822" t="str">
        <f>IF([2]TH!C13&lt;&gt;"",[2]TH!C13,"")</f>
        <v>m</v>
      </c>
      <c r="D13" s="822" t="str">
        <f>IF([2]TH!D13&lt;&gt;"",[2]TH!D13,"")</f>
        <v/>
      </c>
      <c r="E13" s="822" t="str">
        <f>IF([2]TH!E13&lt;&gt;"",[2]TH!E13,"")</f>
        <v/>
      </c>
      <c r="F13" s="822" t="str">
        <f>IF([2]TH!F13&lt;&gt;"",[2]TH!F13,"")</f>
        <v/>
      </c>
      <c r="G13" s="822" t="str">
        <f>IF([2]TH!G13&lt;&gt;"",[2]TH!G13,"")</f>
        <v/>
      </c>
      <c r="H13" s="822" t="str">
        <f>IF([2]TH!H13&lt;&gt;"",[2]TH!H13,"")</f>
        <v/>
      </c>
      <c r="I13" s="822" t="str">
        <f>IF([2]TH!I13&lt;&gt;"",[2]TH!I13,"")</f>
        <v/>
      </c>
    </row>
    <row r="14" spans="1:9">
      <c r="A14" s="822" t="str">
        <f>IF([2]TH!A14&lt;&gt;"",[2]TH!A14,"")</f>
        <v>Tầng 2</v>
      </c>
      <c r="B14" s="822">
        <f>IF([2]TH!B14&lt;&gt;"",[2]TH!B14,"")</f>
        <v>6.45</v>
      </c>
      <c r="C14" s="822" t="str">
        <f>IF([2]TH!C14&lt;&gt;"",[2]TH!C14,"")</f>
        <v>m</v>
      </c>
      <c r="D14" s="822" t="str">
        <f>IF([2]TH!D14&lt;&gt;"",[2]TH!D14,"")</f>
        <v/>
      </c>
      <c r="E14" s="822" t="str">
        <f>IF([2]TH!E14&lt;&gt;"",[2]TH!E14,"")</f>
        <v/>
      </c>
      <c r="F14" s="822" t="str">
        <f>IF([2]TH!F14&lt;&gt;"",[2]TH!F14,"")</f>
        <v/>
      </c>
      <c r="G14" s="822" t="str">
        <f>IF([2]TH!G14&lt;&gt;"",[2]TH!G14,"")</f>
        <v/>
      </c>
      <c r="H14" s="822" t="str">
        <f>IF([2]TH!H14&lt;&gt;"",[2]TH!H14,"")</f>
        <v/>
      </c>
      <c r="I14" s="822" t="str">
        <f>IF([2]TH!I14&lt;&gt;"",[2]TH!I14,"")</f>
        <v/>
      </c>
    </row>
    <row r="15" spans="1:9">
      <c r="A15" s="822" t="str">
        <f>IF([2]TH!A15&lt;&gt;"",[2]TH!A15,"")</f>
        <v>Mái</v>
      </c>
      <c r="B15" s="822">
        <f>IF([2]TH!B15&lt;&gt;"",[2]TH!B15,"")</f>
        <v>13.35</v>
      </c>
      <c r="C15" s="822" t="str">
        <f>IF([2]TH!C15&lt;&gt;"",[2]TH!C15,"")</f>
        <v>m</v>
      </c>
      <c r="D15" s="822" t="str">
        <f>IF([2]TH!D15&lt;&gt;"",[2]TH!D15,"")</f>
        <v/>
      </c>
      <c r="E15" s="822" t="str">
        <f>IF([2]TH!E15&lt;&gt;"",[2]TH!E15,"")</f>
        <v/>
      </c>
      <c r="F15" s="822" t="str">
        <f>IF([2]TH!F15&lt;&gt;"",[2]TH!F15,"")</f>
        <v/>
      </c>
      <c r="G15" s="822" t="str">
        <f>IF([2]TH!G15&lt;&gt;"",[2]TH!G15,"")</f>
        <v/>
      </c>
      <c r="H15" s="822" t="str">
        <f>IF([2]TH!H15&lt;&gt;"",[2]TH!H15,"")</f>
        <v/>
      </c>
      <c r="I15" s="822" t="str">
        <f>IF([2]TH!I15&lt;&gt;"",[2]TH!I15,"")</f>
        <v/>
      </c>
    </row>
    <row r="16" spans="1:9">
      <c r="A16" s="822" t="str">
        <f>IF([2]TH!A16&lt;&gt;"",[2]TH!A16,"")</f>
        <v>Chiều cao công trình</v>
      </c>
      <c r="B16" s="822">
        <f>IF([2]TH!B16&lt;&gt;"",[2]TH!B16,"")</f>
        <v>13.35</v>
      </c>
      <c r="C16" s="822" t="str">
        <f>IF([2]TH!C16&lt;&gt;"",[2]TH!C16,"")</f>
        <v>m</v>
      </c>
      <c r="D16" s="822" t="str">
        <f>IF([2]TH!D16&lt;&gt;"",[2]TH!D16,"")</f>
        <v/>
      </c>
      <c r="E16" s="822" t="str">
        <f>IF([2]TH!E16&lt;&gt;"",[2]TH!E16,"")</f>
        <v/>
      </c>
      <c r="F16" s="822" t="str">
        <f>IF([2]TH!F16&lt;&gt;"",[2]TH!F16,"")</f>
        <v/>
      </c>
      <c r="G16" s="822" t="str">
        <f>IF([2]TH!G16&lt;&gt;"",[2]TH!G16,"")</f>
        <v/>
      </c>
      <c r="H16" s="822" t="str">
        <f>IF([2]TH!H16&lt;&gt;"",[2]TH!H16,"")</f>
        <v/>
      </c>
      <c r="I16" s="822" t="str">
        <f>IF([2]TH!I16&lt;&gt;"",[2]TH!I16,"")</f>
        <v/>
      </c>
    </row>
    <row r="17" spans="1:9">
      <c r="A17" s="822" t="str">
        <f>IF([2]TH!A17&lt;&gt;"",[2]TH!A17,"")</f>
        <v>Sàn lầu 1</v>
      </c>
      <c r="B17" s="822">
        <f>IF([2]TH!B17&lt;&gt;"",[2]TH!B17,"")</f>
        <v>3.6</v>
      </c>
      <c r="C17" s="822" t="str">
        <f>IF([2]TH!C17&lt;&gt;"",[2]TH!C17,"")</f>
        <v>m</v>
      </c>
      <c r="D17" s="822" t="str">
        <f>IF([2]TH!D17&lt;&gt;"",[2]TH!D17,"")</f>
        <v/>
      </c>
      <c r="E17" s="822" t="str">
        <f>IF([2]TH!E17&lt;&gt;"",[2]TH!E17,"")</f>
        <v/>
      </c>
      <c r="F17" s="822" t="str">
        <f>IF([2]TH!F17&lt;&gt;"",[2]TH!F17,"")</f>
        <v/>
      </c>
      <c r="G17" s="822" t="str">
        <f>IF([2]TH!G17&lt;&gt;"",[2]TH!G17,"")</f>
        <v/>
      </c>
      <c r="H17" s="822" t="str">
        <f>IF([2]TH!H17&lt;&gt;"",[2]TH!H17,"")</f>
        <v/>
      </c>
      <c r="I17" s="822" t="str">
        <f>IF([2]TH!I17&lt;&gt;"",[2]TH!I17,"")</f>
        <v/>
      </c>
    </row>
    <row r="18" spans="1:9">
      <c r="A18" s="822" t="str">
        <f>IF([2]TH!A18&lt;&gt;"",[2]TH!A18,"")</f>
        <v>Trần lầu 2</v>
      </c>
      <c r="B18" s="822">
        <f>IF([2]TH!B18&lt;&gt;"",[2]TH!B18,"")</f>
        <v>3.6</v>
      </c>
      <c r="C18" s="822" t="str">
        <f>IF([2]TH!C18&lt;&gt;"",[2]TH!C18,"")</f>
        <v>m</v>
      </c>
      <c r="D18" s="822" t="str">
        <f>IF([2]TH!D18&lt;&gt;"",[2]TH!D18,"")</f>
        <v/>
      </c>
      <c r="E18" s="822" t="str">
        <f>IF([2]TH!E18&lt;&gt;"",[2]TH!E18,"")</f>
        <v/>
      </c>
      <c r="F18" s="822" t="str">
        <f>IF([2]TH!F18&lt;&gt;"",[2]TH!F18,"")</f>
        <v/>
      </c>
      <c r="G18" s="822" t="str">
        <f>IF([2]TH!G18&lt;&gt;"",[2]TH!G18,"")</f>
        <v/>
      </c>
      <c r="H18" s="822" t="str">
        <f>IF([2]TH!H18&lt;&gt;"",[2]TH!H18,"")</f>
        <v/>
      </c>
      <c r="I18" s="822" t="str">
        <f>IF([2]TH!I18&lt;&gt;"",[2]TH!I18,"")</f>
        <v/>
      </c>
    </row>
    <row r="19" spans="1:9">
      <c r="A19" s="822" t="str">
        <f>IF([2]TH!A19&lt;&gt;"",[2]TH!A19,"")</f>
        <v>mái</v>
      </c>
      <c r="B19" s="822">
        <f>IF([2]TH!B19&lt;&gt;"",[2]TH!B19,"")</f>
        <v>3.3</v>
      </c>
      <c r="C19" s="822" t="str">
        <f>IF([2]TH!C19&lt;&gt;"",[2]TH!C19,"")</f>
        <v>m</v>
      </c>
      <c r="D19" s="822" t="str">
        <f>IF([2]TH!D19&lt;&gt;"",[2]TH!D19,"")</f>
        <v/>
      </c>
      <c r="E19" s="822" t="str">
        <f>IF([2]TH!E19&lt;&gt;"",[2]TH!E19,"")</f>
        <v/>
      </c>
      <c r="F19" s="822" t="str">
        <f>IF([2]TH!F19&lt;&gt;"",[2]TH!F19,"")</f>
        <v/>
      </c>
      <c r="G19" s="822" t="str">
        <f>IF([2]TH!G19&lt;&gt;"",[2]TH!G19,"")</f>
        <v/>
      </c>
      <c r="H19" s="822" t="str">
        <f>IF([2]TH!H19&lt;&gt;"",[2]TH!H19,"")</f>
        <v/>
      </c>
      <c r="I19" s="822" t="str">
        <f>IF([2]TH!I19&lt;&gt;"",[2]TH!I19,"")</f>
        <v/>
      </c>
    </row>
    <row r="20" spans="1:9">
      <c r="A20" s="822" t="str">
        <f>IF([2]TH!A20&lt;&gt;"",[2]TH!A20,"")</f>
        <v>BÊ TÔNG:</v>
      </c>
      <c r="B20" s="822" t="str">
        <f>IF([2]TH!B20&lt;&gt;"",[2]TH!B20,"")</f>
        <v/>
      </c>
      <c r="C20" s="822" t="str">
        <f>IF([2]TH!C20&lt;&gt;"",[2]TH!C20,"")</f>
        <v/>
      </c>
      <c r="D20" s="822" t="str">
        <f>IF([2]TH!D20&lt;&gt;"",[2]TH!D20,"")</f>
        <v/>
      </c>
      <c r="E20" s="822" t="str">
        <f>IF([2]TH!E20&lt;&gt;"",[2]TH!E20,"")</f>
        <v/>
      </c>
      <c r="F20" s="822" t="str">
        <f>IF([2]TH!F20&lt;&gt;"",[2]TH!F20,"")</f>
        <v/>
      </c>
      <c r="G20" s="822" t="str">
        <f>IF([2]TH!G20&lt;&gt;"",[2]TH!G20,"")</f>
        <v/>
      </c>
      <c r="H20" s="822" t="str">
        <f>IF([2]TH!H20&lt;&gt;"",[2]TH!H20,"")</f>
        <v/>
      </c>
      <c r="I20" s="822" t="str">
        <f>IF([2]TH!I20&lt;&gt;"",[2]TH!I20,"")</f>
        <v/>
      </c>
    </row>
    <row r="21" spans="1:9">
      <c r="A21" s="822" t="str">
        <f>IF([2]TH!A21&lt;&gt;"",[2]TH!A21,"")</f>
        <v>Cấp độ bền</v>
      </c>
      <c r="B21" s="822" t="s">
        <v>83</v>
      </c>
      <c r="C21" s="822">
        <v>25</v>
      </c>
      <c r="D21" s="822" t="str">
        <f>IF([2]TH!D21&lt;&gt;"",[2]TH!D21,"")</f>
        <v/>
      </c>
      <c r="E21" s="822" t="str">
        <f>IF([2]TH!E21&lt;&gt;"",[2]TH!E21,"")</f>
        <v/>
      </c>
      <c r="F21" s="822" t="str">
        <f>IF([2]TH!F21&lt;&gt;"",[2]TH!F21,"")</f>
        <v/>
      </c>
      <c r="G21" s="822" t="str">
        <f>IF([2]TH!G21&lt;&gt;"",[2]TH!G21,"")</f>
        <v/>
      </c>
      <c r="H21" s="822" t="str">
        <f>IF([2]TH!H21&lt;&gt;"",[2]TH!H21,"")</f>
        <v/>
      </c>
      <c r="I21" s="822" t="str">
        <f>IF([2]TH!I21&lt;&gt;"",[2]TH!I21,"")</f>
        <v/>
      </c>
    </row>
    <row r="22" spans="1:9">
      <c r="A22" s="822" t="str">
        <f>IF([2]TH!A22&lt;&gt;"",[2]TH!A22,"")</f>
        <v>Cường độ tính toán chịu nén</v>
      </c>
      <c r="B22" s="822">
        <v>14.5</v>
      </c>
      <c r="C22" s="822" t="str">
        <f>IF([2]TH!C22&lt;&gt;"",[2]TH!C22,"")</f>
        <v>Mpa</v>
      </c>
      <c r="D22" s="822">
        <f>IF([2]TH!D22&lt;&gt;"",[2]TH!D22,"")</f>
        <v>850</v>
      </c>
      <c r="E22" s="822" t="str">
        <f>IF([2]TH!E22&lt;&gt;"",[2]TH!E22,"")</f>
        <v/>
      </c>
      <c r="F22" s="822" t="str">
        <f>IF([2]TH!F22&lt;&gt;"",[2]TH!F22,"")</f>
        <v/>
      </c>
      <c r="G22" s="822" t="str">
        <f>IF([2]TH!G22&lt;&gt;"",[2]TH!G22,"")</f>
        <v/>
      </c>
      <c r="H22" s="822">
        <f>B22*100</f>
        <v>1450</v>
      </c>
      <c r="I22" s="822" t="str">
        <f>IF([2]TH!I22&lt;&gt;"",[2]TH!I22,"")</f>
        <v>T/m2</v>
      </c>
    </row>
    <row r="23" spans="1:9">
      <c r="A23" s="822" t="str">
        <f>IF([2]TH!A23&lt;&gt;"",[2]TH!A23,"")</f>
        <v>Cường độ tính toán chịu kéo</v>
      </c>
      <c r="B23" s="822">
        <f>IF([2]TH!B23&lt;&gt;"",[2]TH!B23,"")</f>
        <v>0.75</v>
      </c>
      <c r="C23" s="822" t="str">
        <f>IF([2]TH!C23&lt;&gt;"",[2]TH!C23,"")</f>
        <v>Mpa</v>
      </c>
      <c r="D23" s="822">
        <f>IF([2]TH!D23&lt;&gt;"",[2]TH!D23,"")</f>
        <v>75</v>
      </c>
      <c r="E23" s="822" t="str">
        <f>IF([2]TH!E23&lt;&gt;"",[2]TH!E23,"")</f>
        <v/>
      </c>
      <c r="F23" s="822" t="str">
        <f>IF([2]TH!F23&lt;&gt;"",[2]TH!F23,"")</f>
        <v/>
      </c>
      <c r="G23" s="822" t="str">
        <f>IF([2]TH!G23&lt;&gt;"",[2]TH!G23,"")</f>
        <v/>
      </c>
      <c r="H23" s="822">
        <f t="shared" ref="H23:H24" si="0">B23*100</f>
        <v>75</v>
      </c>
      <c r="I23" s="822" t="str">
        <f>IF([2]TH!I23&lt;&gt;"",[2]TH!I23,"")</f>
        <v>T/m2</v>
      </c>
    </row>
    <row r="24" spans="1:9">
      <c r="A24" s="822" t="str">
        <f>IF([2]TH!A24&lt;&gt;"",[2]TH!A24,"")</f>
        <v>Modul đàn hồi</v>
      </c>
      <c r="B24" s="822">
        <f>IF([2]TH!B24&lt;&gt;"",[2]TH!B24,"")</f>
        <v>23000</v>
      </c>
      <c r="C24" s="822" t="str">
        <f>IF([2]TH!C24&lt;&gt;"",[2]TH!C24,"")</f>
        <v>Mpa</v>
      </c>
      <c r="D24" s="822">
        <f>IF([2]TH!D24&lt;&gt;"",[2]TH!D24,"")</f>
        <v>2300000</v>
      </c>
      <c r="E24" s="822" t="str">
        <f>IF([2]TH!E24&lt;&gt;"",[2]TH!E24,"")</f>
        <v/>
      </c>
      <c r="F24" s="822" t="str">
        <f>IF([2]TH!F24&lt;&gt;"",[2]TH!F24,"")</f>
        <v/>
      </c>
      <c r="G24" s="822" t="str">
        <f>IF([2]TH!G24&lt;&gt;"",[2]TH!G24,"")</f>
        <v/>
      </c>
      <c r="H24" s="822">
        <f t="shared" si="0"/>
        <v>2300000</v>
      </c>
      <c r="I24" s="822" t="str">
        <f>IF([2]TH!I24&lt;&gt;"",[2]TH!I24,"")</f>
        <v>T/m2</v>
      </c>
    </row>
    <row r="25" spans="1:9">
      <c r="A25" s="822" t="str">
        <f>IF([2]TH!A25&lt;&gt;"",[2]TH!A25,"")</f>
        <v>Cốt thép</v>
      </c>
      <c r="B25" s="822" t="str">
        <f>IF([2]TH!B25&lt;&gt;"",[2]TH!B25,"")</f>
        <v/>
      </c>
      <c r="C25" s="822" t="str">
        <f>IF([2]TH!C25&lt;&gt;"",[2]TH!C25,"")</f>
        <v/>
      </c>
      <c r="D25" s="822" t="str">
        <f>IF([2]TH!D25&lt;&gt;"",[2]TH!D25,"")</f>
        <v/>
      </c>
      <c r="E25" s="822" t="str">
        <f>IF([2]TH!E25&lt;&gt;"",[2]TH!E25,"")</f>
        <v/>
      </c>
      <c r="F25" s="822" t="str">
        <f>IF([2]TH!F25&lt;&gt;"",[2]TH!F25,"")</f>
        <v/>
      </c>
      <c r="G25" s="822" t="str">
        <f>IF([2]TH!G25&lt;&gt;"",[2]TH!G25,"")</f>
        <v/>
      </c>
      <c r="H25" s="822" t="str">
        <f>IF([2]TH!H25&lt;&gt;"",[2]TH!H25,"")</f>
        <v/>
      </c>
      <c r="I25" s="822" t="str">
        <f>IF([2]TH!I25&lt;&gt;"",[2]TH!I25,"")</f>
        <v/>
      </c>
    </row>
    <row r="26" spans="1:9">
      <c r="A26" s="822" t="str">
        <f>IF([2]TH!A26&lt;&gt;"",[2]TH!A26,"")</f>
        <v>Loại thép</v>
      </c>
      <c r="B26" s="822" t="str">
        <f>IF([2]TH!B26&lt;&gt;"",[2]TH!B26,"")</f>
        <v>CI (AI)</v>
      </c>
      <c r="C26" s="822" t="str">
        <f>IF([2]TH!C26&lt;&gt;"",[2]TH!C26,"")</f>
        <v/>
      </c>
      <c r="D26" s="822" t="str">
        <f>IF([2]TH!D26&lt;&gt;"",[2]TH!D26,"")</f>
        <v/>
      </c>
      <c r="E26" s="822" t="str">
        <f>IF([2]TH!E26&lt;&gt;"",[2]TH!E26,"")</f>
        <v/>
      </c>
      <c r="F26" s="822" t="str">
        <f>IF([2]TH!F26&lt;&gt;"",[2]TH!F26,"")</f>
        <v xml:space="preserve">CB300-T </v>
      </c>
      <c r="G26" s="822" t="str">
        <f>IF([2]TH!G26&lt;&gt;"",[2]TH!G26,"")</f>
        <v/>
      </c>
      <c r="H26" s="822" t="str">
        <f>IF([2]TH!H26&lt;&gt;"",[2]TH!H26,"")</f>
        <v/>
      </c>
      <c r="I26" s="822" t="str">
        <f>IF([2]TH!I26&lt;&gt;"",[2]TH!I26,"")</f>
        <v/>
      </c>
    </row>
    <row r="27" spans="1:9">
      <c r="A27" s="822" t="str">
        <f>IF([2]TH!A27&lt;&gt;"",[2]TH!A27,"")</f>
        <v>Cường độ tính toán chịu nén, kéo</v>
      </c>
      <c r="B27" s="822">
        <f>IF([2]TH!B27&lt;&gt;"",[2]TH!B27,"")</f>
        <v>225</v>
      </c>
      <c r="C27" s="822" t="str">
        <f>IF([2]TH!C27&lt;&gt;"",[2]TH!C27,"")</f>
        <v>Mpa</v>
      </c>
      <c r="D27" s="822">
        <f>IF([2]TH!D27&lt;&gt;"",[2]TH!D27,"")</f>
        <v>2250</v>
      </c>
      <c r="E27" s="822" t="str">
        <f>IF([2]TH!E27&lt;&gt;"",[2]TH!E27,"")</f>
        <v/>
      </c>
      <c r="F27" s="822">
        <f>IF([2]TH!F27&lt;&gt;"",[2]TH!F27,"")</f>
        <v>260</v>
      </c>
      <c r="G27" s="822" t="str">
        <f>IF([2]TH!G27&lt;&gt;"",[2]TH!G27,"")</f>
        <v>Mpa</v>
      </c>
      <c r="H27" s="822">
        <f>IF([2]TH!H27&lt;&gt;"",[2]TH!H27,"")</f>
        <v>22500</v>
      </c>
      <c r="I27" s="822" t="str">
        <f>IF([2]TH!I27&lt;&gt;"",[2]TH!I27,"")</f>
        <v>T/m2</v>
      </c>
    </row>
    <row r="28" spans="1:9">
      <c r="A28" s="822" t="str">
        <f>IF([2]TH!A28&lt;&gt;"",[2]TH!A28,"")</f>
        <v>Cường độ tính toán chịu kéo cho cốt đai</v>
      </c>
      <c r="B28" s="822">
        <f>IF([2]TH!B28&lt;&gt;"",[2]TH!B28,"")</f>
        <v>175</v>
      </c>
      <c r="C28" s="822" t="str">
        <f>IF([2]TH!C28&lt;&gt;"",[2]TH!C28,"")</f>
        <v>Mpa</v>
      </c>
      <c r="D28" s="822">
        <f>IF([2]TH!D28&lt;&gt;"",[2]TH!D28,"")</f>
        <v>1750</v>
      </c>
      <c r="E28" s="822" t="str">
        <f>IF([2]TH!E28&lt;&gt;"",[2]TH!E28,"")</f>
        <v/>
      </c>
      <c r="F28" s="822">
        <f>IF([2]TH!F28&lt;&gt;"",[2]TH!F28,"")</f>
        <v>210</v>
      </c>
      <c r="G28" s="822" t="str">
        <f>IF([2]TH!G28&lt;&gt;"",[2]TH!G28,"")</f>
        <v>Mpa</v>
      </c>
      <c r="H28" s="822">
        <f>IF([2]TH!H28&lt;&gt;"",[2]TH!H28,"")</f>
        <v>17500</v>
      </c>
      <c r="I28" s="822" t="str">
        <f>IF([2]TH!I28&lt;&gt;"",[2]TH!I28,"")</f>
        <v>T/m2</v>
      </c>
    </row>
    <row r="29" spans="1:9">
      <c r="A29" s="822" t="str">
        <f>IF([2]TH!A29&lt;&gt;"",[2]TH!A29,"")</f>
        <v>Modul đàn hồi</v>
      </c>
      <c r="B29" s="822">
        <f>IF([2]TH!B29&lt;&gt;"",[2]TH!B29,"")</f>
        <v>210000</v>
      </c>
      <c r="C29" s="822" t="str">
        <f>IF([2]TH!C29&lt;&gt;"",[2]TH!C29,"")</f>
        <v>Mpa</v>
      </c>
      <c r="D29" s="822" t="str">
        <f>IF([2]TH!D29&lt;&gt;"",[2]TH!D29,"")</f>
        <v/>
      </c>
      <c r="E29" s="822" t="str">
        <f>IF([2]TH!E29&lt;&gt;"",[2]TH!E29,"")</f>
        <v/>
      </c>
      <c r="F29" s="822">
        <f>IF([2]TH!F29&lt;&gt;"",[2]TH!F29,"")</f>
        <v>200000</v>
      </c>
      <c r="G29" s="822" t="str">
        <f>IF([2]TH!G29&lt;&gt;"",[2]TH!G29,"")</f>
        <v>Mpa</v>
      </c>
      <c r="H29" s="822">
        <f>IF([2]TH!H29&lt;&gt;"",[2]TH!H29,"")</f>
        <v>21000000</v>
      </c>
      <c r="I29" s="822" t="str">
        <f>IF([2]TH!I29&lt;&gt;"",[2]TH!I29,"")</f>
        <v>T/m2</v>
      </c>
    </row>
    <row r="30" spans="1:9">
      <c r="A30" s="822" t="str">
        <f>IF([2]TH!A30&lt;&gt;"",[2]TH!A30,"")</f>
        <v>Loại thép</v>
      </c>
      <c r="B30" s="822" t="str">
        <f>IF([2]TH!B30&lt;&gt;"",[2]TH!B30,"")</f>
        <v>CII(AII)</v>
      </c>
      <c r="C30" s="822" t="str">
        <f>IF([2]TH!C30&lt;&gt;"",[2]TH!C30,"")</f>
        <v/>
      </c>
      <c r="D30" s="822" t="str">
        <f>IF([2]TH!D30&lt;&gt;"",[2]TH!D30,"")</f>
        <v/>
      </c>
      <c r="E30" s="822" t="str">
        <f>IF([2]TH!E30&lt;&gt;"",[2]TH!E30,"")</f>
        <v/>
      </c>
      <c r="F30" s="822" t="str">
        <f>IF([2]TH!F30&lt;&gt;"",[2]TH!F30,"")</f>
        <v xml:space="preserve">CB300-V </v>
      </c>
      <c r="G30" s="822" t="str">
        <f>IF([2]TH!G30&lt;&gt;"",[2]TH!G30,"")</f>
        <v/>
      </c>
      <c r="H30" s="822" t="str">
        <f>IF([2]TH!H30&lt;&gt;"",[2]TH!H30,"")</f>
        <v/>
      </c>
      <c r="I30" s="822" t="str">
        <f>IF([2]TH!I30&lt;&gt;"",[2]TH!I30,"")</f>
        <v/>
      </c>
    </row>
    <row r="31" spans="1:9">
      <c r="A31" s="822" t="str">
        <f>IF([2]TH!A31&lt;&gt;"",[2]TH!A31,"")</f>
        <v>Cường độ tính toán chịu nén, kéo</v>
      </c>
      <c r="B31" s="822">
        <f>IF([2]TH!B31&lt;&gt;"",[2]TH!B31,"")</f>
        <v>280</v>
      </c>
      <c r="C31" s="822" t="str">
        <f>IF([2]TH!C31&lt;&gt;"",[2]TH!C31,"")</f>
        <v>Mpa</v>
      </c>
      <c r="D31" s="822">
        <f>IF([2]TH!D31&lt;&gt;"",[2]TH!D31,"")</f>
        <v>2800</v>
      </c>
      <c r="E31" s="822" t="str">
        <f>IF([2]TH!E31&lt;&gt;"",[2]TH!E31,"")</f>
        <v/>
      </c>
      <c r="F31" s="822">
        <f>IF([2]TH!F31&lt;&gt;"",[2]TH!F31,"")</f>
        <v>260</v>
      </c>
      <c r="G31" s="822" t="str">
        <f>IF([2]TH!G31&lt;&gt;"",[2]TH!G31,"")</f>
        <v>Mpa</v>
      </c>
      <c r="H31" s="822">
        <f>IF([2]TH!H31&lt;&gt;"",[2]TH!H31,"")</f>
        <v>28000</v>
      </c>
      <c r="I31" s="822" t="str">
        <f>IF([2]TH!I31&lt;&gt;"",[2]TH!I31,"")</f>
        <v>T/m2</v>
      </c>
    </row>
    <row r="32" spans="1:9">
      <c r="A32" s="822" t="str">
        <f>IF([2]TH!A32&lt;&gt;"",[2]TH!A32,"")</f>
        <v>Cường độ tính toán chịu kéo cho cốt đai</v>
      </c>
      <c r="B32" s="822">
        <f>IF([2]TH!B32&lt;&gt;"",[2]TH!B32,"")</f>
        <v>225</v>
      </c>
      <c r="C32" s="822" t="str">
        <f>IF([2]TH!C32&lt;&gt;"",[2]TH!C32,"")</f>
        <v>Mpa</v>
      </c>
      <c r="D32" s="822" t="str">
        <f>IF([2]TH!D32&lt;&gt;"",[2]TH!D32,"")</f>
        <v/>
      </c>
      <c r="E32" s="822" t="str">
        <f>IF([2]TH!E32&lt;&gt;"",[2]TH!E32,"")</f>
        <v/>
      </c>
      <c r="F32" s="822">
        <f>IF([2]TH!F32&lt;&gt;"",[2]TH!F32,"")</f>
        <v>210</v>
      </c>
      <c r="G32" s="822" t="str">
        <f>IF([2]TH!G32&lt;&gt;"",[2]TH!G32,"")</f>
        <v>Mpa</v>
      </c>
      <c r="H32" s="822">
        <f>IF([2]TH!H32&lt;&gt;"",[2]TH!H32,"")</f>
        <v>22500</v>
      </c>
      <c r="I32" s="822" t="str">
        <f>IF([2]TH!I32&lt;&gt;"",[2]TH!I32,"")</f>
        <v>T/m2</v>
      </c>
    </row>
    <row r="33" spans="1:16">
      <c r="A33" s="822" t="str">
        <f>IF([2]TH!A33&lt;&gt;"",[2]TH!A33,"")</f>
        <v>Modul đàn hồi</v>
      </c>
      <c r="B33" s="822">
        <f>IF([2]TH!B33&lt;&gt;"",[2]TH!B33,"")</f>
        <v>210000</v>
      </c>
      <c r="C33" s="822" t="str">
        <f>IF([2]TH!C33&lt;&gt;"",[2]TH!C33,"")</f>
        <v>Mpa</v>
      </c>
      <c r="D33" s="822" t="str">
        <f>IF([2]TH!D33&lt;&gt;"",[2]TH!D33,"")</f>
        <v/>
      </c>
      <c r="E33" s="822" t="str">
        <f>IF([2]TH!E33&lt;&gt;"",[2]TH!E33,"")</f>
        <v/>
      </c>
      <c r="F33" s="822">
        <f>IF([2]TH!F33&lt;&gt;"",[2]TH!F33,"")</f>
        <v>200000</v>
      </c>
      <c r="G33" s="822" t="str">
        <f>IF([2]TH!G33&lt;&gt;"",[2]TH!G33,"")</f>
        <v>Mpa</v>
      </c>
      <c r="H33" s="822">
        <f>IF([2]TH!H33&lt;&gt;"",[2]TH!H33,"")</f>
        <v>21000000</v>
      </c>
      <c r="I33" s="822" t="str">
        <f>IF([2]TH!I33&lt;&gt;"",[2]TH!I33,"")</f>
        <v>T/m2</v>
      </c>
    </row>
    <row r="34" spans="1:16">
      <c r="A34" s="822" t="str">
        <f>IF([2]TH!A34&lt;&gt;"",[2]TH!A34,"")</f>
        <v>Loại thép</v>
      </c>
      <c r="B34" s="822" t="str">
        <f>IF([2]TH!B34&lt;&gt;"",[2]TH!B34,"")</f>
        <v>CIII(AIII)</v>
      </c>
      <c r="C34" s="822" t="str">
        <f>IF([2]TH!C34&lt;&gt;"",[2]TH!C34,"")</f>
        <v/>
      </c>
      <c r="D34" s="822" t="str">
        <f>IF([2]TH!D34&lt;&gt;"",[2]TH!D34,"")</f>
        <v/>
      </c>
      <c r="E34" s="822" t="str">
        <f>IF([2]TH!E34&lt;&gt;"",[2]TH!E34,"")</f>
        <v/>
      </c>
      <c r="F34" s="822" t="str">
        <f>IF([2]TH!F34&lt;&gt;"",[2]TH!F34,"")</f>
        <v xml:space="preserve">CB400-V </v>
      </c>
      <c r="G34" s="822" t="str">
        <f>IF([2]TH!G34&lt;&gt;"",[2]TH!G34,"")</f>
        <v/>
      </c>
      <c r="H34" s="822" t="str">
        <f>IF([2]TH!H34&lt;&gt;"",[2]TH!H34,"")</f>
        <v/>
      </c>
      <c r="I34" s="822" t="str">
        <f>IF([2]TH!I34&lt;&gt;"",[2]TH!I34,"")</f>
        <v/>
      </c>
    </row>
    <row r="35" spans="1:16">
      <c r="A35" s="822" t="str">
        <f>IF([2]TH!A35&lt;&gt;"",[2]TH!A35,"")</f>
        <v>Cường độ tính toán chịu nén, kéo</v>
      </c>
      <c r="B35" s="822">
        <f>IF([2]TH!B35&lt;&gt;"",[2]TH!B35,"")</f>
        <v>365</v>
      </c>
      <c r="C35" s="822" t="str">
        <f>IF([2]TH!C35&lt;&gt;"",[2]TH!C35,"")</f>
        <v>Mpa</v>
      </c>
      <c r="D35" s="822" t="str">
        <f>IF([2]TH!D35&lt;&gt;"",[2]TH!D35,"")</f>
        <v/>
      </c>
      <c r="E35" s="822" t="str">
        <f>IF([2]TH!E35&lt;&gt;"",[2]TH!E35,"")</f>
        <v/>
      </c>
      <c r="F35" s="822">
        <f>IF([2]TH!F35&lt;&gt;"",[2]TH!F35,"")</f>
        <v>350</v>
      </c>
      <c r="G35" s="822" t="str">
        <f>IF([2]TH!G35&lt;&gt;"",[2]TH!G35,"")</f>
        <v>Mpa</v>
      </c>
      <c r="H35" s="822">
        <f>IF([2]TH!H35&lt;&gt;"",[2]TH!H35,"")</f>
        <v>36500</v>
      </c>
      <c r="I35" s="822" t="str">
        <f>IF([2]TH!I35&lt;&gt;"",[2]TH!I35,"")</f>
        <v>T/m2</v>
      </c>
    </row>
    <row r="36" spans="1:16">
      <c r="A36" s="822" t="str">
        <f>IF([2]TH!A36&lt;&gt;"",[2]TH!A36,"")</f>
        <v>Cường độ tính toán chịu kéo cho cốt đai</v>
      </c>
      <c r="B36" s="822">
        <f>IF([2]TH!B36&lt;&gt;"",[2]TH!B36,"")</f>
        <v>290</v>
      </c>
      <c r="C36" s="822" t="str">
        <f>IF([2]TH!C36&lt;&gt;"",[2]TH!C36,"")</f>
        <v>Mpa</v>
      </c>
      <c r="D36" s="822" t="str">
        <f>IF([2]TH!D36&lt;&gt;"",[2]TH!D36,"")</f>
        <v/>
      </c>
      <c r="E36" s="822" t="str">
        <f>IF([2]TH!E36&lt;&gt;"",[2]TH!E36,"")</f>
        <v/>
      </c>
      <c r="F36" s="822">
        <f>IF([2]TH!F36&lt;&gt;"",[2]TH!F36,"")</f>
        <v>280</v>
      </c>
      <c r="G36" s="822" t="str">
        <f>IF([2]TH!G36&lt;&gt;"",[2]TH!G36,"")</f>
        <v>Mpa</v>
      </c>
      <c r="H36" s="822">
        <f>IF([2]TH!H36&lt;&gt;"",[2]TH!H36,"")</f>
        <v>29000</v>
      </c>
      <c r="I36" s="822" t="str">
        <f>IF([2]TH!I36&lt;&gt;"",[2]TH!I36,"")</f>
        <v>T/m2</v>
      </c>
    </row>
    <row r="37" spans="1:16">
      <c r="A37" s="822" t="str">
        <f>IF([2]TH!A37&lt;&gt;"",[2]TH!A37,"")</f>
        <v>Modul đàn hồi</v>
      </c>
      <c r="B37" s="822">
        <f>IF([2]TH!B37&lt;&gt;"",[2]TH!B37,"")</f>
        <v>210000</v>
      </c>
      <c r="C37" s="822" t="str">
        <f>IF([2]TH!C37&lt;&gt;"",[2]TH!C37,"")</f>
        <v>Mpa</v>
      </c>
      <c r="D37" s="822" t="str">
        <f>IF([2]TH!D37&lt;&gt;"",[2]TH!D37,"")</f>
        <v/>
      </c>
      <c r="E37" s="822" t="str">
        <f>IF([2]TH!E37&lt;&gt;"",[2]TH!E37,"")</f>
        <v/>
      </c>
      <c r="F37" s="822">
        <f>IF([2]TH!F37&lt;&gt;"",[2]TH!F37,"")</f>
        <v>200000</v>
      </c>
      <c r="G37" s="822" t="str">
        <f>IF([2]TH!G37&lt;&gt;"",[2]TH!G37,"")</f>
        <v>Mpa</v>
      </c>
      <c r="H37" s="822">
        <f>IF([2]TH!H37&lt;&gt;"",[2]TH!H37,"")</f>
        <v>21000000</v>
      </c>
      <c r="I37" s="822" t="str">
        <f>IF([2]TH!I37&lt;&gt;"",[2]TH!I37,"")</f>
        <v>T/m2</v>
      </c>
    </row>
    <row r="38" spans="1:16" ht="14.5" thickBot="1">
      <c r="A38" s="823" t="s">
        <v>1198</v>
      </c>
    </row>
    <row r="39" spans="1:16">
      <c r="A39" s="822" t="s">
        <v>241</v>
      </c>
      <c r="B39" s="822">
        <v>30</v>
      </c>
      <c r="C39" s="822" t="s">
        <v>631</v>
      </c>
      <c r="D39" s="822">
        <f>B39*0.01</f>
        <v>0.3</v>
      </c>
      <c r="E39" s="1009" t="s">
        <v>1244</v>
      </c>
      <c r="F39" s="1009" t="s">
        <v>1204</v>
      </c>
      <c r="G39" s="1009" t="s">
        <v>1205</v>
      </c>
      <c r="H39" s="1009" t="s">
        <v>1206</v>
      </c>
      <c r="I39" s="1009" t="s">
        <v>1207</v>
      </c>
      <c r="J39" s="1014"/>
      <c r="K39" s="1009" t="s">
        <v>1209</v>
      </c>
      <c r="L39" s="1009" t="s">
        <v>1210</v>
      </c>
      <c r="M39" s="1009" t="s">
        <v>1211</v>
      </c>
    </row>
    <row r="40" spans="1:16">
      <c r="A40" s="822" t="s">
        <v>956</v>
      </c>
      <c r="B40" s="822">
        <v>30</v>
      </c>
      <c r="C40" s="822" t="s">
        <v>631</v>
      </c>
      <c r="D40" s="822">
        <f>B40*0.01</f>
        <v>0.3</v>
      </c>
      <c r="E40" s="1010"/>
      <c r="F40" s="1010"/>
      <c r="G40" s="1010"/>
      <c r="H40" s="1010"/>
      <c r="I40" s="1010"/>
      <c r="J40" s="1015"/>
      <c r="K40" s="1010"/>
      <c r="L40" s="1010"/>
      <c r="M40" s="1010"/>
    </row>
    <row r="41" spans="1:16">
      <c r="A41" s="822" t="s">
        <v>253</v>
      </c>
      <c r="B41" s="822">
        <v>4</v>
      </c>
      <c r="C41" s="822" t="s">
        <v>1199</v>
      </c>
      <c r="D41" s="822">
        <v>16</v>
      </c>
      <c r="E41" s="1010"/>
      <c r="F41" s="1010"/>
      <c r="G41" s="1010"/>
      <c r="H41" s="1010"/>
      <c r="I41" s="1010"/>
      <c r="J41" s="1015"/>
      <c r="K41" s="1010"/>
      <c r="L41" s="1010"/>
      <c r="M41" s="1010"/>
    </row>
    <row r="42" spans="1:16" ht="14.25" customHeight="1" thickBot="1">
      <c r="C42" s="823" t="s">
        <v>1242</v>
      </c>
      <c r="D42" s="823" t="s">
        <v>1243</v>
      </c>
      <c r="E42" s="1011" t="s">
        <v>1244</v>
      </c>
      <c r="F42" s="1011"/>
      <c r="G42" s="1011"/>
      <c r="H42" s="1011"/>
      <c r="I42" s="1011"/>
      <c r="J42" s="1016"/>
      <c r="K42" s="1011"/>
      <c r="L42" s="1011"/>
      <c r="M42" s="1011"/>
    </row>
    <row r="43" spans="1:16">
      <c r="A43" s="822" t="s">
        <v>1200</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1253</v>
      </c>
      <c r="B45" s="886">
        <f>[2]TinhMong!B45</f>
        <v>0.54999999999999993</v>
      </c>
      <c r="C45" s="822" t="s">
        <v>6</v>
      </c>
      <c r="E45" s="823" t="s">
        <v>1326</v>
      </c>
    </row>
    <row r="46" spans="1:16">
      <c r="A46" s="822" t="s">
        <v>1245</v>
      </c>
      <c r="B46" s="822">
        <f>[2]TinhMong!B46</f>
        <v>-1.5</v>
      </c>
      <c r="C46" s="822" t="s">
        <v>6</v>
      </c>
      <c r="D46" s="822">
        <f>ABS(B46)</f>
        <v>1.5</v>
      </c>
    </row>
    <row r="47" spans="1:16">
      <c r="A47" s="822" t="s">
        <v>1247</v>
      </c>
      <c r="B47" s="822">
        <f>[2]TinhMong!B47</f>
        <v>10.4</v>
      </c>
      <c r="C47" s="822" t="s">
        <v>6</v>
      </c>
    </row>
    <row r="48" spans="1:16">
      <c r="A48" s="822" t="s">
        <v>1249</v>
      </c>
      <c r="B48" s="822">
        <f>[2]TinhMong!B48</f>
        <v>-15.9</v>
      </c>
      <c r="C48" s="822" t="s">
        <v>6</v>
      </c>
    </row>
    <row r="49" spans="1:18">
      <c r="A49" s="822" t="s">
        <v>1248</v>
      </c>
      <c r="B49" s="939">
        <f>[2]TinhMong!B49</f>
        <v>4</v>
      </c>
      <c r="C49" s="822" t="s">
        <v>6</v>
      </c>
    </row>
    <row r="50" spans="1:18">
      <c r="A50" s="822" t="s">
        <v>1259</v>
      </c>
      <c r="B50" s="822">
        <f>[2]TinhMong!B50</f>
        <v>0.1</v>
      </c>
      <c r="C50" s="822" t="s">
        <v>6</v>
      </c>
      <c r="D50" s="822" t="s">
        <v>1327</v>
      </c>
      <c r="G50" s="822">
        <f>ABS(B46)+ABS(B48)+B49</f>
        <v>21.4</v>
      </c>
      <c r="H50" s="822">
        <f>+G50-B45</f>
        <v>20.849999999999998</v>
      </c>
    </row>
    <row r="51" spans="1:18">
      <c r="A51" s="822" t="s">
        <v>1258</v>
      </c>
      <c r="B51" s="822">
        <f>[2]TinhMong!B51</f>
        <v>19.899999999999999</v>
      </c>
      <c r="C51" s="822" t="s">
        <v>6</v>
      </c>
    </row>
    <row r="52" spans="1:18">
      <c r="A52" s="822" t="s">
        <v>1260</v>
      </c>
      <c r="B52" s="822">
        <f>[2]TinhMong!B52</f>
        <v>20</v>
      </c>
    </row>
    <row r="53" spans="1:18">
      <c r="A53" s="822" t="s">
        <v>1250</v>
      </c>
      <c r="B53" s="822">
        <f>[2]TinhMong!B53</f>
        <v>2</v>
      </c>
      <c r="C53" s="822" t="s">
        <v>1252</v>
      </c>
    </row>
    <row r="54" spans="1:18">
      <c r="A54" s="822" t="s">
        <v>1251</v>
      </c>
      <c r="B54" s="822">
        <f>[2]TinhMong!B54</f>
        <v>10</v>
      </c>
      <c r="C54" s="822" t="s">
        <v>6</v>
      </c>
    </row>
    <row r="55" spans="1:18">
      <c r="A55" s="823" t="s">
        <v>1254</v>
      </c>
    </row>
    <row r="56" spans="1:18">
      <c r="A56" s="823" t="s">
        <v>1255</v>
      </c>
    </row>
    <row r="57" spans="1:18" ht="17" thickBot="1">
      <c r="A57" s="889" t="s">
        <v>1256</v>
      </c>
      <c r="B57" s="822">
        <f>ROUND(1.028-0.0000288*B58^2-0.0016*B58,3)</f>
        <v>0.30299999999999999</v>
      </c>
    </row>
    <row r="58" spans="1:18" ht="20" customHeight="1" thickBot="1">
      <c r="A58" s="822" t="s">
        <v>1257</v>
      </c>
      <c r="B58" s="822">
        <f>ROUND(B60/D39,3)</f>
        <v>133.333</v>
      </c>
      <c r="K58" s="999" t="s">
        <v>1338</v>
      </c>
      <c r="L58" s="999" t="s">
        <v>1337</v>
      </c>
      <c r="M58" s="999" t="s">
        <v>1336</v>
      </c>
      <c r="N58" s="865" t="s">
        <v>1285</v>
      </c>
      <c r="O58" s="865" t="s">
        <v>1286</v>
      </c>
      <c r="P58" s="999" t="s">
        <v>1287</v>
      </c>
      <c r="Q58" s="866" t="s">
        <v>1288</v>
      </c>
      <c r="R58" s="865" t="s">
        <v>1289</v>
      </c>
    </row>
    <row r="59" spans="1:18" ht="19.5" thickBot="1">
      <c r="A59" s="822" t="s">
        <v>1261</v>
      </c>
      <c r="B59" s="822">
        <v>2</v>
      </c>
      <c r="D59" s="822" t="s">
        <v>1343</v>
      </c>
      <c r="K59" s="1001"/>
      <c r="L59" s="1001"/>
      <c r="M59" s="1001"/>
      <c r="N59" s="867" t="s">
        <v>6</v>
      </c>
      <c r="O59" s="867" t="s">
        <v>6</v>
      </c>
      <c r="P59" s="1001"/>
      <c r="Q59" s="868" t="s">
        <v>1335</v>
      </c>
      <c r="R59" s="867" t="s">
        <v>843</v>
      </c>
    </row>
    <row r="60" spans="1:18" ht="17" thickBot="1">
      <c r="A60" s="822" t="s">
        <v>466</v>
      </c>
      <c r="B60" s="822">
        <f>B59*B52</f>
        <v>40</v>
      </c>
      <c r="C60" s="822" t="s">
        <v>6</v>
      </c>
      <c r="K60" s="869" t="s">
        <v>1330</v>
      </c>
      <c r="L60" s="252" t="s">
        <v>694</v>
      </c>
      <c r="M60" s="252" t="s">
        <v>694</v>
      </c>
      <c r="N60" s="252">
        <v>0</v>
      </c>
      <c r="O60" s="252" t="s">
        <v>694</v>
      </c>
      <c r="P60" s="252" t="s">
        <v>694</v>
      </c>
      <c r="Q60" s="252" t="s">
        <v>694</v>
      </c>
      <c r="R60" s="252" t="s">
        <v>694</v>
      </c>
    </row>
    <row r="61" spans="1:18" ht="20" thickBot="1">
      <c r="A61" s="822" t="s">
        <v>1262</v>
      </c>
      <c r="B61" s="822">
        <f>D39*D40</f>
        <v>0.09</v>
      </c>
      <c r="C61" s="822" t="s">
        <v>3</v>
      </c>
      <c r="K61" s="890" t="s">
        <v>1331</v>
      </c>
      <c r="L61" s="252" t="s">
        <v>1292</v>
      </c>
      <c r="M61" s="252" t="s">
        <v>1293</v>
      </c>
      <c r="N61" s="252">
        <f>+O61/2+N60</f>
        <v>5</v>
      </c>
      <c r="O61" s="252">
        <v>10</v>
      </c>
      <c r="P61" s="252">
        <v>1</v>
      </c>
      <c r="Q61" s="252">
        <v>0.8</v>
      </c>
      <c r="R61" s="891">
        <f>Q61*P61*O61</f>
        <v>8</v>
      </c>
    </row>
    <row r="62" spans="1:18" ht="20" thickBot="1">
      <c r="A62" s="822" t="s">
        <v>1264</v>
      </c>
      <c r="B62" s="822">
        <f>ROUND(B41*PI()*(D41/10)^2/4,1)</f>
        <v>8</v>
      </c>
      <c r="C62" s="822" t="s">
        <v>534</v>
      </c>
      <c r="D62" s="822">
        <f>B62/10^4</f>
        <v>8.0000000000000004E-4</v>
      </c>
      <c r="E62" s="822" t="s">
        <v>3</v>
      </c>
      <c r="K62" s="890" t="s">
        <v>1332</v>
      </c>
      <c r="L62" s="252" t="s">
        <v>1292</v>
      </c>
      <c r="M62" s="252" t="s">
        <v>1294</v>
      </c>
      <c r="N62" s="252">
        <f>+N61+O62/2+O61/2</f>
        <v>12.3</v>
      </c>
      <c r="O62" s="252">
        <v>4.5999999999999996</v>
      </c>
      <c r="P62" s="252">
        <v>1</v>
      </c>
      <c r="Q62" s="252">
        <v>1.98</v>
      </c>
      <c r="R62" s="891">
        <f t="shared" ref="R62:R64" si="2">Q62*P62*O62</f>
        <v>9.1079999999999988</v>
      </c>
    </row>
    <row r="63" spans="1:18" ht="33.5" thickBot="1">
      <c r="A63" s="822" t="s">
        <v>1263</v>
      </c>
      <c r="B63" s="886">
        <f>ROUND(B57*(H22*B61+H31*D62),0)</f>
        <v>46</v>
      </c>
      <c r="C63" s="822" t="s">
        <v>670</v>
      </c>
      <c r="K63" s="890" t="s">
        <v>1333</v>
      </c>
      <c r="L63" s="870" t="s">
        <v>1295</v>
      </c>
      <c r="M63" s="252" t="s">
        <v>1296</v>
      </c>
      <c r="N63" s="252">
        <f t="shared" ref="N63:N64" si="3">+N62+O63/2+O62/2</f>
        <v>15.25</v>
      </c>
      <c r="O63" s="252">
        <v>1.3</v>
      </c>
      <c r="P63" s="252">
        <v>1</v>
      </c>
      <c r="Q63" s="252">
        <v>5.25</v>
      </c>
      <c r="R63" s="891">
        <f t="shared" si="2"/>
        <v>6.8250000000000002</v>
      </c>
    </row>
    <row r="64" spans="1:18" ht="20" thickBot="1">
      <c r="A64" s="823" t="s">
        <v>1265</v>
      </c>
      <c r="K64" s="890" t="s">
        <v>1334</v>
      </c>
      <c r="L64" s="870" t="s">
        <v>1297</v>
      </c>
      <c r="M64" s="252" t="s">
        <v>1298</v>
      </c>
      <c r="N64" s="252">
        <f t="shared" si="3"/>
        <v>17.899999999999999</v>
      </c>
      <c r="O64" s="252">
        <f>B49</f>
        <v>4</v>
      </c>
      <c r="P64" s="252">
        <v>1</v>
      </c>
      <c r="Q64" s="252">
        <v>3.1</v>
      </c>
      <c r="R64" s="891">
        <f t="shared" si="2"/>
        <v>12.4</v>
      </c>
    </row>
    <row r="65" spans="1:18" ht="17" thickBot="1">
      <c r="A65" s="822" t="s">
        <v>1266</v>
      </c>
      <c r="B65" s="822">
        <v>1</v>
      </c>
      <c r="D65" s="822" t="s">
        <v>1328</v>
      </c>
      <c r="K65" s="890"/>
      <c r="L65" s="870"/>
      <c r="M65" s="252"/>
      <c r="N65" s="252"/>
      <c r="O65" s="252">
        <f>SUM(O61:O64)</f>
        <v>19.899999999999999</v>
      </c>
      <c r="P65" s="252"/>
      <c r="Q65" s="252"/>
      <c r="R65" s="891"/>
    </row>
    <row r="66" spans="1:18" ht="20" thickBot="1">
      <c r="A66" s="7" t="s">
        <v>1267</v>
      </c>
      <c r="B66" s="822">
        <v>0.9</v>
      </c>
      <c r="K66" s="890"/>
      <c r="L66" s="870"/>
      <c r="M66" s="252"/>
      <c r="N66" s="252"/>
      <c r="O66" s="252"/>
      <c r="P66" s="252"/>
      <c r="Q66" s="252"/>
      <c r="R66" s="891"/>
    </row>
    <row r="67" spans="1:18" ht="17" thickBot="1">
      <c r="A67" s="822" t="s">
        <v>1268</v>
      </c>
      <c r="B67" s="822">
        <v>0.9</v>
      </c>
      <c r="K67" s="528"/>
      <c r="L67" s="528"/>
      <c r="M67" s="528"/>
      <c r="N67" s="528"/>
      <c r="O67" s="528"/>
      <c r="P67" s="528"/>
      <c r="Q67" s="955" t="s">
        <v>657</v>
      </c>
      <c r="R67" s="891">
        <f>SUM(R61:R66)</f>
        <v>36.332999999999998</v>
      </c>
    </row>
    <row r="68" spans="1:18">
      <c r="A68" s="822" t="s">
        <v>1269</v>
      </c>
      <c r="B68" s="822">
        <f>(B39+B40)*2</f>
        <v>120</v>
      </c>
      <c r="C68" s="822" t="s">
        <v>631</v>
      </c>
      <c r="D68" s="822">
        <f>B68/100</f>
        <v>1.2</v>
      </c>
      <c r="E68" s="822" t="s">
        <v>6</v>
      </c>
    </row>
    <row r="69" spans="1:18">
      <c r="A69" s="822" t="s">
        <v>1270</v>
      </c>
      <c r="B69" s="822">
        <f>N70</f>
        <v>184.2</v>
      </c>
      <c r="C69" s="822" t="s">
        <v>731</v>
      </c>
      <c r="D69" s="822">
        <f>B69*B61*B66</f>
        <v>14.920199999999999</v>
      </c>
      <c r="E69" s="822" t="s">
        <v>670</v>
      </c>
      <c r="F69" s="822">
        <f>8.8/0.9/B61</f>
        <v>108.64197530864199</v>
      </c>
      <c r="K69" s="822">
        <v>0.5</v>
      </c>
    </row>
    <row r="70" spans="1:18">
      <c r="A70" s="822" t="s">
        <v>1271</v>
      </c>
      <c r="C70" s="822">
        <v>0.5</v>
      </c>
      <c r="J70" s="822">
        <v>15</v>
      </c>
      <c r="K70" s="822">
        <v>165</v>
      </c>
      <c r="M70" s="822">
        <f>G50</f>
        <v>21.4</v>
      </c>
      <c r="N70" s="822">
        <f>(K71-K70)/(J71-J70)*(M70-J70)+K70</f>
        <v>184.2</v>
      </c>
    </row>
    <row r="71" spans="1:18">
      <c r="A71" s="822" t="s">
        <v>1272</v>
      </c>
      <c r="J71" s="822">
        <v>20</v>
      </c>
      <c r="K71" s="822">
        <v>180</v>
      </c>
    </row>
    <row r="72" spans="1:18" ht="19.5">
      <c r="A72" s="7" t="s">
        <v>1329</v>
      </c>
      <c r="B72" s="822">
        <f>D39*D40</f>
        <v>0.09</v>
      </c>
      <c r="C72" s="822" t="s">
        <v>3</v>
      </c>
    </row>
    <row r="73" spans="1:18">
      <c r="A73" s="822" t="s">
        <v>1339</v>
      </c>
      <c r="B73" s="892">
        <f>B65*(B66*B69*B72+D68*E74)</f>
        <v>58.519799999999996</v>
      </c>
    </row>
    <row r="74" spans="1:18">
      <c r="A74" s="822" t="s">
        <v>1340</v>
      </c>
      <c r="B74" s="892">
        <v>1.55</v>
      </c>
      <c r="D74" s="822" t="s">
        <v>1307</v>
      </c>
      <c r="E74" s="892">
        <f>R67</f>
        <v>36.332999999999998</v>
      </c>
      <c r="F74" s="822" t="s">
        <v>670</v>
      </c>
    </row>
    <row r="75" spans="1:18">
      <c r="A75" s="822" t="s">
        <v>1341</v>
      </c>
      <c r="B75" s="892">
        <f>B73/B74</f>
        <v>37.754709677419349</v>
      </c>
    </row>
    <row r="76" spans="1:18">
      <c r="A76" s="823" t="s">
        <v>1342</v>
      </c>
      <c r="B76" s="931" t="str">
        <f>[3]Locsolieu!$AD$15</f>
        <v>C15</v>
      </c>
      <c r="C76" s="822" t="s">
        <v>444</v>
      </c>
    </row>
    <row r="77" spans="1:18" ht="16.5">
      <c r="A77" s="893" t="s">
        <v>1348</v>
      </c>
      <c r="J77" s="822">
        <v>6.7750000000000004</v>
      </c>
      <c r="K77" s="822">
        <f>+J77+1.5</f>
        <v>8.2750000000000004</v>
      </c>
      <c r="L77" s="822">
        <f>10-K77</f>
        <v>1.7249999999999996</v>
      </c>
    </row>
    <row r="78" spans="1:18">
      <c r="A78" s="822" t="s">
        <v>177</v>
      </c>
      <c r="B78" s="822">
        <v>300</v>
      </c>
      <c r="L78" s="822">
        <f>10-J77</f>
        <v>3.2249999999999996</v>
      </c>
    </row>
    <row r="79" spans="1:18">
      <c r="A79" s="822" t="s">
        <v>628</v>
      </c>
      <c r="B79" s="822">
        <f>I43</f>
        <v>16</v>
      </c>
      <c r="L79" s="822">
        <f>1.5+10/2</f>
        <v>6.5</v>
      </c>
    </row>
    <row r="83" spans="1:13">
      <c r="M83" s="892"/>
    </row>
    <row r="86" spans="1:13">
      <c r="A86" s="822" t="s">
        <v>1349</v>
      </c>
      <c r="B86" s="907">
        <f>MIN(B75,B63)</f>
        <v>37.754709677419349</v>
      </c>
      <c r="C86" s="822" t="s">
        <v>670</v>
      </c>
    </row>
    <row r="87" spans="1:13">
      <c r="A87" s="822" t="s">
        <v>1350</v>
      </c>
      <c r="B87" s="822">
        <f>+B72*B52*2.5</f>
        <v>4.5</v>
      </c>
    </row>
    <row r="88" spans="1:13" ht="14.5" thickBot="1">
      <c r="A88" s="822" t="s">
        <v>1351</v>
      </c>
      <c r="B88" s="908">
        <f>B86-B87</f>
        <v>33.254709677419349</v>
      </c>
    </row>
    <row r="89" spans="1:13" ht="14.5" thickBot="1">
      <c r="A89" s="823" t="s">
        <v>1364</v>
      </c>
      <c r="E89" s="909" t="s">
        <v>1352</v>
      </c>
      <c r="F89" s="910" t="s">
        <v>1353</v>
      </c>
      <c r="G89" s="910" t="s">
        <v>628</v>
      </c>
      <c r="H89" s="910" t="s">
        <v>522</v>
      </c>
      <c r="I89" s="910" t="s">
        <v>521</v>
      </c>
      <c r="J89" s="910" t="s">
        <v>1443</v>
      </c>
      <c r="K89" s="910" t="s">
        <v>1444</v>
      </c>
      <c r="L89" s="822" t="s">
        <v>1376</v>
      </c>
      <c r="M89" s="822" t="s">
        <v>1377</v>
      </c>
    </row>
    <row r="90" spans="1:13" ht="26.5" thickBot="1">
      <c r="A90" s="889" t="s">
        <v>241</v>
      </c>
      <c r="B90" s="822">
        <v>1.2</v>
      </c>
      <c r="C90" s="822">
        <v>1.6</v>
      </c>
      <c r="E90" s="930" t="str">
        <f>[3]Locsolieu!$AD$15</f>
        <v>C15</v>
      </c>
      <c r="F90" s="911" t="s">
        <v>1359</v>
      </c>
      <c r="G90" s="932">
        <f>[3]Locsolieu!AF16</f>
        <v>44.633299999999998</v>
      </c>
      <c r="H90" s="932">
        <f>[3]Locsolieu!AG16</f>
        <v>0.36022999999999999</v>
      </c>
      <c r="I90" s="932">
        <f>[3]Locsolieu!AH16</f>
        <v>6.8099999999999994E-2</v>
      </c>
      <c r="J90" s="932">
        <f>[3]Locsolieu!AI16</f>
        <v>-0.28270000000000001</v>
      </c>
      <c r="K90" s="932">
        <f>[3]Locsolieu!AJ16</f>
        <v>7.2900000000000006E-2</v>
      </c>
      <c r="L90" s="822">
        <f>I90+J90*$B$45</f>
        <v>-8.738499999999999E-2</v>
      </c>
      <c r="M90" s="822">
        <f>H90+K90*$B$45</f>
        <v>0.40032499999999999</v>
      </c>
    </row>
    <row r="91" spans="1:13" ht="39.5" thickBot="1">
      <c r="A91" s="822" t="s">
        <v>1365</v>
      </c>
      <c r="B91" s="912">
        <f>B90*G90/$B$88</f>
        <v>1.6105977324579785</v>
      </c>
      <c r="C91" s="912">
        <f>C90*G90/$B$88</f>
        <v>2.1474636432773049</v>
      </c>
      <c r="E91" s="930" t="str">
        <f>[3]Locsolieu!$AD$15</f>
        <v>C15</v>
      </c>
      <c r="F91" s="911" t="s">
        <v>1360</v>
      </c>
      <c r="G91" s="932">
        <f>[3]Locsolieu!AF17</f>
        <v>40.240699999999997</v>
      </c>
      <c r="H91" s="932">
        <f>[3]Locsolieu!AG17</f>
        <v>0.8599</v>
      </c>
      <c r="I91" s="932">
        <f>[3]Locsolieu!AH17</f>
        <v>0.64746000000000004</v>
      </c>
      <c r="J91" s="932">
        <f>[3]Locsolieu!AI17</f>
        <v>0.43430000000000002</v>
      </c>
      <c r="K91" s="932">
        <f>[3]Locsolieu!AJ17</f>
        <v>0.46560000000000001</v>
      </c>
      <c r="L91" s="822">
        <f>I91+J91*$B$45</f>
        <v>0.88632500000000003</v>
      </c>
      <c r="M91" s="822">
        <f>H91+K91*$B$45</f>
        <v>1.11598</v>
      </c>
    </row>
    <row r="92" spans="1:13" ht="26.5" thickBot="1">
      <c r="A92" s="822" t="s">
        <v>248</v>
      </c>
      <c r="B92" s="822">
        <v>3</v>
      </c>
      <c r="E92" s="930" t="str">
        <f>[3]Locsolieu!$AD$15</f>
        <v>C15</v>
      </c>
      <c r="F92" s="911" t="s">
        <v>1361</v>
      </c>
      <c r="G92" s="932">
        <f>[3]Locsolieu!AF18</f>
        <v>40.240699999999997</v>
      </c>
      <c r="H92" s="932">
        <f>[3]Locsolieu!AG18</f>
        <v>0</v>
      </c>
      <c r="I92" s="932">
        <f>[3]Locsolieu!AH18</f>
        <v>0.64746000000000004</v>
      </c>
      <c r="J92" s="932">
        <f>[3]Locsolieu!AI18</f>
        <v>0.43430000000000002</v>
      </c>
      <c r="K92" s="932">
        <f>[3]Locsolieu!AJ18</f>
        <v>0.46560000000000001</v>
      </c>
      <c r="L92" s="822">
        <f t="shared" ref="L92:L94" si="4">I92+J92*$B$45</f>
        <v>0.88632500000000003</v>
      </c>
      <c r="M92" s="822">
        <f t="shared" ref="M92:M94" si="5">H92+K92*$B$45</f>
        <v>0.25607999999999997</v>
      </c>
    </row>
    <row r="93" spans="1:13" ht="26.5" thickBot="1">
      <c r="A93" s="822" t="s">
        <v>1366</v>
      </c>
      <c r="B93" s="822">
        <f>3*D39</f>
        <v>0.89999999999999991</v>
      </c>
      <c r="E93" s="930" t="str">
        <f>[3]Locsolieu!$AD$15</f>
        <v>C15</v>
      </c>
      <c r="F93" s="911" t="s">
        <v>1362</v>
      </c>
      <c r="G93" s="932">
        <f>[3]Locsolieu!AF19</f>
        <v>40.240699999999997</v>
      </c>
      <c r="H93" s="932">
        <f>[3]Locsolieu!AG19</f>
        <v>0.8599</v>
      </c>
      <c r="I93" s="932">
        <f>[3]Locsolieu!AH19</f>
        <v>0.64746000000000004</v>
      </c>
      <c r="J93" s="932">
        <f>[3]Locsolieu!AI19</f>
        <v>0.46560000000000001</v>
      </c>
      <c r="K93" s="932">
        <f>[3]Locsolieu!AJ19</f>
        <v>0.43430000000000002</v>
      </c>
      <c r="L93" s="822">
        <f t="shared" si="4"/>
        <v>0.90354000000000001</v>
      </c>
      <c r="M93" s="822">
        <f t="shared" si="5"/>
        <v>1.098765</v>
      </c>
    </row>
    <row r="94" spans="1:13" ht="26.5" thickBot="1">
      <c r="A94" s="822" t="s">
        <v>1367</v>
      </c>
      <c r="B94" s="822">
        <f>3*D39</f>
        <v>0.89999999999999991</v>
      </c>
      <c r="E94" s="930" t="str">
        <f>[3]Locsolieu!$AD$15</f>
        <v>C15</v>
      </c>
      <c r="F94" s="911" t="s">
        <v>1363</v>
      </c>
      <c r="G94" s="932">
        <f>[3]Locsolieu!AF20</f>
        <v>-0.14030000000000001</v>
      </c>
      <c r="H94" s="932">
        <f>[3]Locsolieu!AG20</f>
        <v>-0.69389000000000001</v>
      </c>
      <c r="I94" s="932">
        <f>[3]Locsolieu!AH20</f>
        <v>9.8300000000000002E-3</v>
      </c>
      <c r="J94" s="932">
        <f>[3]Locsolieu!AI20</f>
        <v>0</v>
      </c>
      <c r="K94" s="932">
        <f>[3]Locsolieu!AJ20</f>
        <v>0.499</v>
      </c>
      <c r="L94" s="822">
        <f t="shared" si="4"/>
        <v>9.8300000000000002E-3</v>
      </c>
      <c r="M94" s="822">
        <f t="shared" si="5"/>
        <v>-0.41944000000000004</v>
      </c>
    </row>
    <row r="95" spans="1:13">
      <c r="A95" s="822" t="s">
        <v>1368</v>
      </c>
      <c r="B95" s="822">
        <f>D39/2</f>
        <v>0.15</v>
      </c>
    </row>
    <row r="96" spans="1:13">
      <c r="A96" s="822" t="s">
        <v>621</v>
      </c>
      <c r="B96" s="822">
        <f>H96</f>
        <v>1.06</v>
      </c>
      <c r="C96" s="822" t="s">
        <v>6</v>
      </c>
      <c r="D96" s="822">
        <v>1.5</v>
      </c>
      <c r="E96" s="822" t="s">
        <v>1476</v>
      </c>
      <c r="F96" s="822">
        <f>0.5*D96*D97</f>
        <v>1.125</v>
      </c>
      <c r="G96" s="822" t="s">
        <v>1477</v>
      </c>
      <c r="H96" s="822">
        <f>ROUND(SQRT(F96),2)</f>
        <v>1.06</v>
      </c>
    </row>
    <row r="97" spans="1:25">
      <c r="A97" s="822" t="s">
        <v>228</v>
      </c>
      <c r="B97" s="822">
        <f>B96</f>
        <v>1.06</v>
      </c>
      <c r="C97" s="822" t="s">
        <v>6</v>
      </c>
      <c r="D97" s="822">
        <f>B94+D39+B95*2</f>
        <v>1.5</v>
      </c>
    </row>
    <row r="98" spans="1:25">
      <c r="A98" s="822" t="s">
        <v>1373</v>
      </c>
      <c r="B98" s="822">
        <f>ROUND(B96*B97,2)</f>
        <v>1.1200000000000001</v>
      </c>
      <c r="C98" s="822" t="s">
        <v>3</v>
      </c>
      <c r="Q98" s="925"/>
      <c r="R98" s="925"/>
      <c r="S98" s="925"/>
      <c r="T98" s="925"/>
      <c r="U98" s="925"/>
      <c r="V98" s="925"/>
    </row>
    <row r="100" spans="1:25" ht="17.5">
      <c r="A100" s="823" t="s">
        <v>1369</v>
      </c>
      <c r="E100" s="913" t="s">
        <v>1378</v>
      </c>
      <c r="F100" s="913" t="s">
        <v>1379</v>
      </c>
      <c r="G100" s="913" t="s">
        <v>1380</v>
      </c>
      <c r="H100" s="913" t="s">
        <v>1381</v>
      </c>
      <c r="I100" s="913" t="s">
        <v>1382</v>
      </c>
      <c r="J100" s="913" t="s">
        <v>1385</v>
      </c>
      <c r="K100" s="913" t="s">
        <v>1383</v>
      </c>
      <c r="L100" s="913" t="s">
        <v>1384</v>
      </c>
      <c r="Q100" s="925" t="str">
        <f>E100</f>
        <v>Tên cọc</v>
      </c>
      <c r="R100" s="925" t="s">
        <v>1458</v>
      </c>
      <c r="S100" s="925" t="s">
        <v>1459</v>
      </c>
      <c r="T100" s="925" t="s">
        <v>1460</v>
      </c>
      <c r="U100" s="925" t="s">
        <v>1461</v>
      </c>
      <c r="V100" s="925" t="s">
        <v>1462</v>
      </c>
    </row>
    <row r="101" spans="1:25" ht="19.5">
      <c r="A101" s="7" t="s">
        <v>1370</v>
      </c>
      <c r="B101" s="935">
        <v>1.1499999999999999</v>
      </c>
      <c r="E101" s="913">
        <v>1</v>
      </c>
      <c r="F101" s="913">
        <f>-B93/2</f>
        <v>-0.44999999999999996</v>
      </c>
      <c r="G101" s="913">
        <v>0.45</v>
      </c>
      <c r="H101" s="914">
        <f t="shared" ref="H101:I103" si="6">F101^2</f>
        <v>0.20249999999999996</v>
      </c>
      <c r="I101" s="914">
        <f t="shared" si="6"/>
        <v>0.20250000000000001</v>
      </c>
      <c r="J101" s="915"/>
      <c r="K101" s="913"/>
      <c r="L101" s="916">
        <f>$B$105/$B$92+$L$90*G101/$I$104+$M$90*F101/$H$104</f>
        <v>15.074468518518518</v>
      </c>
      <c r="Q101" s="926">
        <f t="shared" ref="Q101:T103" si="7">E101</f>
        <v>1</v>
      </c>
      <c r="R101" s="934">
        <f t="shared" si="7"/>
        <v>-0.44999999999999996</v>
      </c>
      <c r="S101" s="934">
        <f t="shared" si="7"/>
        <v>0.45</v>
      </c>
      <c r="T101" s="934">
        <f t="shared" si="7"/>
        <v>0.20249999999999996</v>
      </c>
      <c r="U101" s="934">
        <f>I101</f>
        <v>0.20250000000000001</v>
      </c>
      <c r="V101" s="934">
        <f>L101</f>
        <v>15.074468518518518</v>
      </c>
    </row>
    <row r="102" spans="1:25">
      <c r="A102" s="822" t="s">
        <v>1371</v>
      </c>
      <c r="B102" s="935">
        <v>2.5</v>
      </c>
      <c r="C102" s="822" t="s">
        <v>670</v>
      </c>
      <c r="E102" s="913">
        <v>2</v>
      </c>
      <c r="F102" s="913">
        <f>+B93/2</f>
        <v>0.44999999999999996</v>
      </c>
      <c r="G102" s="913">
        <v>0</v>
      </c>
      <c r="H102" s="914">
        <f t="shared" si="6"/>
        <v>0.20249999999999996</v>
      </c>
      <c r="I102" s="914">
        <f t="shared" si="6"/>
        <v>0</v>
      </c>
      <c r="J102" s="913"/>
      <c r="K102" s="913"/>
      <c r="L102" s="916">
        <f>$B$105/$B$92+$L$90*G102/$I$104+$M$90*F102/$H$104</f>
        <v>15.764637037037037</v>
      </c>
      <c r="Q102" s="926">
        <f t="shared" si="7"/>
        <v>2</v>
      </c>
      <c r="R102" s="934">
        <f t="shared" si="7"/>
        <v>0.44999999999999996</v>
      </c>
      <c r="S102" s="934">
        <f t="shared" si="7"/>
        <v>0</v>
      </c>
      <c r="T102" s="934">
        <f t="shared" si="7"/>
        <v>0.20249999999999996</v>
      </c>
      <c r="U102" s="934">
        <f>I102</f>
        <v>0</v>
      </c>
      <c r="V102" s="934">
        <f>L102</f>
        <v>15.764637037037037</v>
      </c>
    </row>
    <row r="103" spans="1:25">
      <c r="A103" s="822" t="s">
        <v>1372</v>
      </c>
      <c r="B103" s="935">
        <v>1.1499999999999999</v>
      </c>
      <c r="E103" s="913">
        <v>3</v>
      </c>
      <c r="F103" s="913">
        <v>-0.45</v>
      </c>
      <c r="G103" s="913">
        <v>-0.45</v>
      </c>
      <c r="H103" s="914">
        <f t="shared" si="6"/>
        <v>0.20250000000000001</v>
      </c>
      <c r="I103" s="914">
        <f t="shared" si="6"/>
        <v>0.20250000000000001</v>
      </c>
      <c r="J103" s="913"/>
      <c r="K103" s="913"/>
      <c r="L103" s="916">
        <f>$B$105/$B$92+$L$90*G103/$I$104+$M$90*F103/$H$104</f>
        <v>15.268657407407407</v>
      </c>
      <c r="Q103" s="926">
        <v>3</v>
      </c>
      <c r="R103" s="934">
        <f t="shared" si="7"/>
        <v>-0.45</v>
      </c>
      <c r="S103" s="934">
        <f t="shared" si="7"/>
        <v>-0.45</v>
      </c>
      <c r="T103" s="934">
        <f t="shared" si="7"/>
        <v>0.20250000000000001</v>
      </c>
      <c r="U103" s="934">
        <f>I103</f>
        <v>0.20250000000000001</v>
      </c>
      <c r="V103" s="934">
        <f>L103</f>
        <v>15.268657407407407</v>
      </c>
    </row>
    <row r="104" spans="1:25">
      <c r="A104" s="822" t="s">
        <v>1374</v>
      </c>
      <c r="B104" s="935">
        <f>B102*B98*B45*B101</f>
        <v>1.7709999999999999</v>
      </c>
      <c r="C104" s="822" t="s">
        <v>670</v>
      </c>
      <c r="H104" s="907">
        <f>SUM(H101:H103)</f>
        <v>0.60749999999999993</v>
      </c>
      <c r="I104" s="907">
        <f>SUM(I101:I103)</f>
        <v>0.40500000000000003</v>
      </c>
      <c r="K104" s="822" t="s">
        <v>1386</v>
      </c>
      <c r="L104" s="892">
        <f>MAX(L101:L103)</f>
        <v>15.764637037037037</v>
      </c>
    </row>
    <row r="105" spans="1:25">
      <c r="A105" s="822" t="s">
        <v>1375</v>
      </c>
      <c r="B105" s="935">
        <f>B104+G90</f>
        <v>46.404299999999999</v>
      </c>
      <c r="C105" s="822" t="s">
        <v>670</v>
      </c>
      <c r="K105" s="822" t="s">
        <v>1388</v>
      </c>
      <c r="L105" s="892">
        <f>MIN(L101:L103)</f>
        <v>15.074468518518518</v>
      </c>
    </row>
    <row r="106" spans="1:25">
      <c r="A106" s="822" t="s">
        <v>1387</v>
      </c>
      <c r="B106" s="935">
        <f>B101/B103*B88</f>
        <v>33.254709677419349</v>
      </c>
      <c r="K106" s="822">
        <f>1.2*1.2</f>
        <v>1.44</v>
      </c>
    </row>
    <row r="107" spans="1:25" ht="16" customHeight="1">
      <c r="Q107" s="1018" t="str">
        <f>E108</f>
        <v>Tên cọc</v>
      </c>
      <c r="R107" s="1018" t="s">
        <v>1458</v>
      </c>
      <c r="S107" s="1018" t="s">
        <v>1459</v>
      </c>
      <c r="T107" s="1018" t="s">
        <v>1460</v>
      </c>
      <c r="U107" s="951" t="s">
        <v>1461</v>
      </c>
      <c r="V107" s="953" t="s">
        <v>1462</v>
      </c>
      <c r="W107" s="953"/>
      <c r="X107" s="953"/>
      <c r="Y107" s="953"/>
    </row>
    <row r="108" spans="1:25" ht="16">
      <c r="E108" s="913" t="s">
        <v>1378</v>
      </c>
      <c r="F108" s="913" t="s">
        <v>1379</v>
      </c>
      <c r="G108" s="913" t="s">
        <v>1380</v>
      </c>
      <c r="H108" s="913" t="s">
        <v>1381</v>
      </c>
      <c r="I108" s="913" t="s">
        <v>1382</v>
      </c>
      <c r="J108" s="913" t="s">
        <v>1385</v>
      </c>
      <c r="K108" s="913" t="s">
        <v>1383</v>
      </c>
      <c r="L108" s="913" t="s">
        <v>1389</v>
      </c>
      <c r="M108" s="822" t="s">
        <v>1390</v>
      </c>
      <c r="N108" s="822" t="s">
        <v>1391</v>
      </c>
      <c r="O108" s="822" t="s">
        <v>1392</v>
      </c>
      <c r="Q108" s="1019"/>
      <c r="R108" s="1019"/>
      <c r="S108" s="1019"/>
      <c r="T108" s="1019"/>
      <c r="U108" s="952"/>
      <c r="V108" s="927" t="s">
        <v>1463</v>
      </c>
      <c r="W108" s="927" t="s">
        <v>1464</v>
      </c>
      <c r="X108" s="927" t="s">
        <v>1465</v>
      </c>
      <c r="Y108" s="927" t="s">
        <v>1466</v>
      </c>
    </row>
    <row r="109" spans="1:25">
      <c r="E109" s="913">
        <f>E101</f>
        <v>1</v>
      </c>
      <c r="F109" s="913">
        <f t="shared" ref="F109:K109" si="8">F101</f>
        <v>-0.44999999999999996</v>
      </c>
      <c r="G109" s="913">
        <f t="shared" si="8"/>
        <v>0.45</v>
      </c>
      <c r="H109" s="913">
        <f t="shared" si="8"/>
        <v>0.20249999999999996</v>
      </c>
      <c r="I109" s="913">
        <f t="shared" si="8"/>
        <v>0.20250000000000001</v>
      </c>
      <c r="J109" s="913">
        <f t="shared" si="8"/>
        <v>0</v>
      </c>
      <c r="K109" s="913">
        <f t="shared" si="8"/>
        <v>0</v>
      </c>
      <c r="L109" s="914">
        <f>$B$105/$B$92+$L$91*G101/$I$104+$M$91*F101/$H$104</f>
        <v>15.626253703703705</v>
      </c>
      <c r="M109" s="914">
        <f>$B$105/$B$92+$L$92*H101/$I$104+$M$92*G101/$H$104</f>
        <v>16.100951388888888</v>
      </c>
      <c r="N109" s="914">
        <f>$B$105/$B$92+$L$93*I101/$I$104+$M$93*H101/$H$104</f>
        <v>16.286124999999998</v>
      </c>
      <c r="O109" s="914">
        <f>$B$105/$B$92+$L$94*J101/$I$104+$M$94*I101/$H$104</f>
        <v>15.328286666666667</v>
      </c>
      <c r="Q109" s="926">
        <f t="shared" ref="Q109:S111" si="9">E109</f>
        <v>1</v>
      </c>
      <c r="R109" s="933">
        <f t="shared" si="9"/>
        <v>-0.44999999999999996</v>
      </c>
      <c r="S109" s="933">
        <f t="shared" si="9"/>
        <v>0.45</v>
      </c>
      <c r="T109" s="933">
        <f>ROUND(H109,2)</f>
        <v>0.2</v>
      </c>
      <c r="U109" s="933">
        <f>ROUND(I109,2)</f>
        <v>0.2</v>
      </c>
      <c r="V109" s="933">
        <f t="shared" ref="V109:Y111" si="10">L109</f>
        <v>15.626253703703705</v>
      </c>
      <c r="W109" s="933">
        <f t="shared" si="10"/>
        <v>16.100951388888888</v>
      </c>
      <c r="X109" s="933">
        <f t="shared" si="10"/>
        <v>16.286124999999998</v>
      </c>
      <c r="Y109" s="933">
        <f t="shared" si="10"/>
        <v>15.328286666666667</v>
      </c>
    </row>
    <row r="110" spans="1:25">
      <c r="E110" s="913">
        <f t="shared" ref="E110:K111" si="11">E102</f>
        <v>2</v>
      </c>
      <c r="F110" s="913">
        <f t="shared" si="11"/>
        <v>0.44999999999999996</v>
      </c>
      <c r="G110" s="913">
        <f t="shared" si="11"/>
        <v>0</v>
      </c>
      <c r="H110" s="913">
        <f t="shared" si="11"/>
        <v>0.20249999999999996</v>
      </c>
      <c r="I110" s="913">
        <f t="shared" si="11"/>
        <v>0</v>
      </c>
      <c r="J110" s="913">
        <f t="shared" si="11"/>
        <v>0</v>
      </c>
      <c r="K110" s="913">
        <f t="shared" si="11"/>
        <v>0</v>
      </c>
      <c r="L110" s="914">
        <f>$B$105/$B$92+$L$91*G102/$I$104+$M$91*F102/$H$104</f>
        <v>16.294751851851853</v>
      </c>
      <c r="M110" s="914">
        <f>$B$105/$B$92+$L$92*H102/$I$104+$M$92*G102/$H$104</f>
        <v>15.911262499999999</v>
      </c>
      <c r="N110" s="914">
        <f>$B$105/$B$92+$L$93*I102/$I$104+$M$93*H102/$H$104</f>
        <v>15.834355</v>
      </c>
      <c r="O110" s="914">
        <f>$B$105/$B$92+$L$94*J102/$I$104+$M$94*I102/$H$104</f>
        <v>15.4681</v>
      </c>
      <c r="Q110" s="926">
        <f t="shared" si="9"/>
        <v>2</v>
      </c>
      <c r="R110" s="933">
        <f t="shared" si="9"/>
        <v>0.44999999999999996</v>
      </c>
      <c r="S110" s="933">
        <f t="shared" si="9"/>
        <v>0</v>
      </c>
      <c r="T110" s="933">
        <f t="shared" ref="T110:T111" si="12">ROUND(H110,2)</f>
        <v>0.2</v>
      </c>
      <c r="U110" s="933">
        <f>ROUND(I110,2)</f>
        <v>0</v>
      </c>
      <c r="V110" s="933">
        <f t="shared" si="10"/>
        <v>16.294751851851853</v>
      </c>
      <c r="W110" s="933">
        <f t="shared" si="10"/>
        <v>15.911262499999999</v>
      </c>
      <c r="X110" s="933">
        <f t="shared" si="10"/>
        <v>15.834355</v>
      </c>
      <c r="Y110" s="933">
        <f t="shared" si="10"/>
        <v>15.4681</v>
      </c>
    </row>
    <row r="111" spans="1:25">
      <c r="E111" s="913">
        <f t="shared" si="11"/>
        <v>3</v>
      </c>
      <c r="F111" s="913">
        <f t="shared" si="11"/>
        <v>-0.45</v>
      </c>
      <c r="G111" s="913">
        <f t="shared" si="11"/>
        <v>-0.45</v>
      </c>
      <c r="H111" s="913">
        <f t="shared" si="11"/>
        <v>0.20250000000000001</v>
      </c>
      <c r="I111" s="913">
        <f t="shared" si="11"/>
        <v>0.20250000000000001</v>
      </c>
      <c r="J111" s="913">
        <f t="shared" si="11"/>
        <v>0</v>
      </c>
      <c r="K111" s="913">
        <f t="shared" si="11"/>
        <v>0</v>
      </c>
      <c r="L111" s="914">
        <f>$B$105/$B$92+$L$91*G103/$I$104+$M$91*F103/$H$104</f>
        <v>13.656642592592593</v>
      </c>
      <c r="M111" s="914">
        <f>$B$105/$B$92+$L$92*H103/$I$104+$M$92*G103/$H$104</f>
        <v>15.721573611111111</v>
      </c>
      <c r="N111" s="914">
        <f>$B$105/$B$92+$L$93*I103/$I$104+$M$93*H103/$H$104</f>
        <v>16.286124999999998</v>
      </c>
      <c r="O111" s="914">
        <f>$B$105/$B$92+$L$94*J103/$I$104+$M$94*I103/$H$104</f>
        <v>15.328286666666667</v>
      </c>
      <c r="Q111" s="926">
        <f t="shared" si="9"/>
        <v>3</v>
      </c>
      <c r="R111" s="933">
        <f t="shared" si="9"/>
        <v>-0.45</v>
      </c>
      <c r="S111" s="933">
        <f t="shared" si="9"/>
        <v>-0.45</v>
      </c>
      <c r="T111" s="933">
        <f t="shared" si="12"/>
        <v>0.2</v>
      </c>
      <c r="U111" s="933">
        <f>ROUND(I111,2)</f>
        <v>0.2</v>
      </c>
      <c r="V111" s="933">
        <f t="shared" si="10"/>
        <v>13.656642592592593</v>
      </c>
      <c r="W111" s="933">
        <f t="shared" si="10"/>
        <v>15.721573611111111</v>
      </c>
      <c r="X111" s="933">
        <f t="shared" si="10"/>
        <v>16.286124999999998</v>
      </c>
      <c r="Y111" s="933">
        <f t="shared" si="10"/>
        <v>15.328286666666667</v>
      </c>
    </row>
    <row r="112" spans="1:25">
      <c r="A112" s="823" t="s">
        <v>1393</v>
      </c>
      <c r="L112" s="914"/>
    </row>
    <row r="113" spans="1:11">
      <c r="A113"/>
      <c r="B113" s="892">
        <f>'[2]Co Ly dat'!W15</f>
        <v>2.251633165829146</v>
      </c>
      <c r="C113" s="822">
        <f>ROUNDDOWN(B113,0)</f>
        <v>2</v>
      </c>
      <c r="D113" s="917">
        <f>+(B113-C113)*60</f>
        <v>15.097989949748758</v>
      </c>
      <c r="F113" s="6">
        <f>'[2]Co Ly dat'!V15</f>
        <v>9.0065326633165839</v>
      </c>
      <c r="G113" s="907">
        <f>ROUNDDOWN(F113,0)</f>
        <v>9</v>
      </c>
      <c r="H113" s="917">
        <f>+(F113-G113)*60</f>
        <v>0.39195979899503186</v>
      </c>
    </row>
    <row r="114" spans="1:11">
      <c r="A114" s="822" t="s">
        <v>1394</v>
      </c>
      <c r="B114" s="822">
        <f>B51</f>
        <v>19.899999999999999</v>
      </c>
    </row>
    <row r="115" spans="1:11">
      <c r="A115" s="822" t="s">
        <v>1395</v>
      </c>
      <c r="B115" s="892">
        <f>D115+2*B114*TAN(RADIANS(B113))</f>
        <v>2.3248824754781277</v>
      </c>
      <c r="D115" s="822">
        <f>B96-B95*2</f>
        <v>0.76</v>
      </c>
      <c r="E115" s="822">
        <f>B97-B95*2</f>
        <v>0.76</v>
      </c>
    </row>
    <row r="116" spans="1:11">
      <c r="A116" s="822" t="s">
        <v>1396</v>
      </c>
      <c r="B116" s="892">
        <f>E115+2*B114*TAN(RADIANS(B113))</f>
        <v>2.3248824754781277</v>
      </c>
      <c r="C116" s="940"/>
      <c r="F116" s="822">
        <f>TAN(PI()*RADIANS(B113))</f>
        <v>0.12409071984357102</v>
      </c>
    </row>
    <row r="117" spans="1:11">
      <c r="A117" s="822" t="s">
        <v>1397</v>
      </c>
      <c r="B117" s="892">
        <f>B115*B116</f>
        <v>5.4050785247853073</v>
      </c>
      <c r="C117" s="822" t="s">
        <v>3</v>
      </c>
    </row>
    <row r="118" spans="1:11">
      <c r="A118" s="822" t="s">
        <v>1398</v>
      </c>
      <c r="B118" s="822">
        <v>2</v>
      </c>
      <c r="I118" s="822">
        <f>SIN(J118*PI()/180)</f>
        <v>3.925981575906861E-2</v>
      </c>
      <c r="J118" s="907">
        <v>2.25</v>
      </c>
      <c r="K118" s="908">
        <f>(J118*PI()/180)</f>
        <v>3.9269908169872414E-2</v>
      </c>
    </row>
    <row r="119" spans="1:11">
      <c r="A119" s="822" t="s">
        <v>1399</v>
      </c>
      <c r="B119" s="935">
        <f>B117*D46*B118</f>
        <v>16.215235574355923</v>
      </c>
      <c r="C119" s="822" t="s">
        <v>670</v>
      </c>
      <c r="I119" s="822">
        <f>SIN((K119))</f>
        <v>3.925981575906861E-2</v>
      </c>
      <c r="K119" s="822">
        <f>RADIANS(J118)</f>
        <v>3.9269908169872414E-2</v>
      </c>
    </row>
    <row r="120" spans="1:11">
      <c r="A120" s="822" t="s">
        <v>1400</v>
      </c>
      <c r="B120" s="935">
        <f>B92*B72*B51*2.5</f>
        <v>13.432500000000001</v>
      </c>
      <c r="C120" s="822" t="s">
        <v>670</v>
      </c>
    </row>
    <row r="121" spans="1:11">
      <c r="A121" s="822" t="s">
        <v>1401</v>
      </c>
      <c r="B121" s="936">
        <f>'[2]Co Ly dat'!N16</f>
        <v>37.548000000000002</v>
      </c>
      <c r="C121" s="822" t="s">
        <v>670</v>
      </c>
    </row>
    <row r="122" spans="1:11">
      <c r="A122" s="822" t="s">
        <v>1402</v>
      </c>
      <c r="B122" s="936">
        <f>(B117-B92*B61)*B121*1</f>
        <v>192.8119284486387</v>
      </c>
      <c r="C122" s="822" t="s">
        <v>670</v>
      </c>
      <c r="D122" s="908">
        <f>(B117-B92*B61)*B121*1</f>
        <v>192.8119284486387</v>
      </c>
    </row>
    <row r="123" spans="1:11">
      <c r="A123" s="822" t="s">
        <v>1403</v>
      </c>
      <c r="B123" s="936">
        <f>B119+B120+B122</f>
        <v>222.45966402299462</v>
      </c>
      <c r="C123" s="822" t="s">
        <v>670</v>
      </c>
    </row>
    <row r="124" spans="1:11">
      <c r="A124" s="823" t="s">
        <v>1404</v>
      </c>
    </row>
    <row r="125" spans="1:11">
      <c r="A125" s="822" t="s">
        <v>1405</v>
      </c>
      <c r="B125" s="892">
        <f>B123+G90</f>
        <v>267.09296402299464</v>
      </c>
      <c r="C125" s="822" t="s">
        <v>670</v>
      </c>
    </row>
    <row r="126" spans="1:11">
      <c r="A126" s="822" t="s">
        <v>1406</v>
      </c>
      <c r="B126" s="892">
        <f>L90/B101</f>
        <v>-7.5986956521739132E-2</v>
      </c>
      <c r="C126" s="822" t="s">
        <v>670</v>
      </c>
    </row>
    <row r="127" spans="1:11">
      <c r="A127" s="822" t="s">
        <v>1407</v>
      </c>
      <c r="B127" s="892">
        <f>M90/B101</f>
        <v>0.34810869565217395</v>
      </c>
      <c r="C127" s="822" t="s">
        <v>670</v>
      </c>
    </row>
    <row r="128" spans="1:11">
      <c r="A128" s="822" t="s">
        <v>1408</v>
      </c>
      <c r="B128" s="892">
        <f>B115^2*B116/6</f>
        <v>2.0943620568094219</v>
      </c>
    </row>
    <row r="129" spans="1:11">
      <c r="A129" s="822" t="s">
        <v>1409</v>
      </c>
      <c r="B129" s="892">
        <f>B115*B116^2/6</f>
        <v>2.0943620568094219</v>
      </c>
    </row>
    <row r="130" spans="1:11">
      <c r="A130" s="892"/>
      <c r="C130" s="823" t="s">
        <v>1442</v>
      </c>
    </row>
    <row r="131" spans="1:11">
      <c r="A131" s="822" t="s">
        <v>1410</v>
      </c>
      <c r="B131" s="822">
        <v>1.1000000000000001</v>
      </c>
      <c r="D131" s="822" t="s">
        <v>1452</v>
      </c>
      <c r="E131" s="822">
        <f>B96</f>
        <v>1.06</v>
      </c>
      <c r="F131" s="822" t="str">
        <f>[2]TinhMong!F131</f>
        <v>bc</v>
      </c>
      <c r="G131" s="822">
        <f>C153</f>
        <v>0.3</v>
      </c>
      <c r="H131" s="822" t="s">
        <v>1454</v>
      </c>
      <c r="I131" s="822">
        <f>(E131-G131)/2-($H$134-$D$39/2)</f>
        <v>0.22999999999999995</v>
      </c>
      <c r="J131" s="822">
        <f>[2]TinhMong!J131</f>
        <v>0</v>
      </c>
    </row>
    <row r="132" spans="1:11">
      <c r="A132" s="822" t="s">
        <v>428</v>
      </c>
      <c r="B132" s="822">
        <v>1.4</v>
      </c>
      <c r="D132" s="822" t="s">
        <v>1451</v>
      </c>
      <c r="E132" s="822">
        <f>B97</f>
        <v>1.06</v>
      </c>
      <c r="F132" s="822" t="str">
        <f>[2]TinhMong!F132</f>
        <v>hc</v>
      </c>
      <c r="G132" s="822">
        <f>C154</f>
        <v>0.3</v>
      </c>
      <c r="H132" s="822" t="s">
        <v>1453</v>
      </c>
      <c r="I132" s="822">
        <f>(E132-G132)/2-($H$134-$D$39/2)</f>
        <v>0.22999999999999995</v>
      </c>
      <c r="J132" s="822">
        <f>[2]TinhMong!J132</f>
        <v>0</v>
      </c>
    </row>
    <row r="133" spans="1:11">
      <c r="A133" s="822" t="s">
        <v>3</v>
      </c>
      <c r="B133" s="822">
        <v>1</v>
      </c>
      <c r="D133" s="822" t="s">
        <v>1455</v>
      </c>
      <c r="E133" s="928">
        <f>J133+H133</f>
        <v>0.32999999999999996</v>
      </c>
      <c r="F133" s="822" t="str">
        <f>[2]TinhMong!F133</f>
        <v>m</v>
      </c>
      <c r="G133" s="822" t="s">
        <v>1456</v>
      </c>
      <c r="H133" s="822">
        <f>B50</f>
        <v>0.1</v>
      </c>
      <c r="I133" s="822" t="s">
        <v>6</v>
      </c>
      <c r="J133" s="822">
        <f>MAX(I131:I132)</f>
        <v>0.22999999999999995</v>
      </c>
    </row>
    <row r="134" spans="1:11">
      <c r="A134" s="822" t="s">
        <v>1411</v>
      </c>
      <c r="B134" s="822">
        <f>'[2]Co Ly dat'!O11</f>
        <v>1.01</v>
      </c>
      <c r="H134" s="822">
        <f>0.9-0.6</f>
        <v>0.30000000000000004</v>
      </c>
    </row>
    <row r="135" spans="1:11">
      <c r="A135" s="822" t="s">
        <v>1412</v>
      </c>
      <c r="B135" s="936">
        <f>'[2]Co Ly dat'!M16</f>
        <v>0.87085427135678373</v>
      </c>
      <c r="H135" s="822">
        <f>+H134/2+0.2</f>
        <v>0.35000000000000003</v>
      </c>
      <c r="I135" s="822">
        <f>1.2-0.3</f>
        <v>0.89999999999999991</v>
      </c>
      <c r="J135" s="822">
        <f>1.2-0.3</f>
        <v>0.89999999999999991</v>
      </c>
    </row>
    <row r="136" spans="1:11">
      <c r="A136" s="822" t="s">
        <v>1413</v>
      </c>
      <c r="B136" s="822">
        <f>'[2]TinhMongM2 (2)'!K43</f>
        <v>2.75</v>
      </c>
      <c r="J136" s="822">
        <f>514.4*3*0.9</f>
        <v>1388.8799999999999</v>
      </c>
    </row>
    <row r="137" spans="1:11">
      <c r="A137" s="822" t="s">
        <v>514</v>
      </c>
      <c r="B137" s="822">
        <v>0</v>
      </c>
    </row>
    <row r="138" spans="1:11" ht="19">
      <c r="A138" s="889" t="s">
        <v>1414</v>
      </c>
      <c r="B138" s="822">
        <f>'[2]Co Ly dat'!V11</f>
        <v>9.67</v>
      </c>
      <c r="H138" s="822">
        <v>7657</v>
      </c>
    </row>
    <row r="139" spans="1:11">
      <c r="A139" s="822" t="s">
        <v>515</v>
      </c>
      <c r="B139" s="822">
        <v>0.17</v>
      </c>
      <c r="H139" s="822">
        <f>+H138*3.2*(3.2-0.6)^2/8</f>
        <v>20704.528000000002</v>
      </c>
      <c r="I139" s="822">
        <f>3.2*(3.2-0.6)^2/8</f>
        <v>2.7040000000000006</v>
      </c>
      <c r="J139" s="822">
        <f>1388.9</f>
        <v>1388.9</v>
      </c>
      <c r="K139" s="822">
        <f>+J139/I139</f>
        <v>513.6464497041419</v>
      </c>
    </row>
    <row r="140" spans="1:11">
      <c r="A140" s="822" t="s">
        <v>621</v>
      </c>
      <c r="B140" s="822">
        <v>1.7</v>
      </c>
      <c r="H140" s="822">
        <f>1918*1.1</f>
        <v>2109.8000000000002</v>
      </c>
      <c r="J140" s="822">
        <f>+J139/3</f>
        <v>462.9666666666667</v>
      </c>
    </row>
    <row r="141" spans="1:11">
      <c r="A141" s="822" t="s">
        <v>599</v>
      </c>
      <c r="B141" s="822">
        <v>4.0999999999999996</v>
      </c>
    </row>
    <row r="142" spans="1:11">
      <c r="A142" s="822" t="s">
        <v>1415</v>
      </c>
      <c r="B142" s="908">
        <f>B132*B133/B131*(B139*B115*B134+B140*B51*B135+B141*B136)</f>
        <v>52.353868408595815</v>
      </c>
      <c r="J142" s="822">
        <f>+J140/1.2</f>
        <v>385.8055555555556</v>
      </c>
    </row>
    <row r="143" spans="1:11">
      <c r="A143" s="822" t="s">
        <v>1416</v>
      </c>
      <c r="H143" s="822">
        <f>650.76*4</f>
        <v>2603.04</v>
      </c>
    </row>
    <row r="144" spans="1:11">
      <c r="A144" s="822" t="s">
        <v>1417</v>
      </c>
      <c r="B144" s="938">
        <f>B125/B117</f>
        <v>49.415186624620539</v>
      </c>
      <c r="H144" s="822">
        <f>548.03*4</f>
        <v>2192.12</v>
      </c>
    </row>
    <row r="145" spans="1:28">
      <c r="A145" s="822" t="s">
        <v>1418</v>
      </c>
      <c r="B145" s="892">
        <f>B125/B117+B126/B128+B127/B129</f>
        <v>49.545117234395327</v>
      </c>
      <c r="K145" s="822">
        <f>514.4*3</f>
        <v>1543.1999999999998</v>
      </c>
      <c r="L145" s="822">
        <f>+K145*1.2</f>
        <v>1851.8399999999997</v>
      </c>
    </row>
    <row r="146" spans="1:28">
      <c r="A146" s="822" t="s">
        <v>1419</v>
      </c>
      <c r="B146" s="892">
        <f>B125/B117-B126/B128-B127/B129</f>
        <v>49.28525601484575</v>
      </c>
    </row>
    <row r="147" spans="1:28">
      <c r="A147" s="822" t="s">
        <v>1420</v>
      </c>
      <c r="B147" s="892">
        <f>1.2*B142</f>
        <v>62.824642090314974</v>
      </c>
    </row>
    <row r="148" spans="1:28" ht="14.5" thickBot="1"/>
    <row r="149" spans="1:28" ht="101" thickBot="1">
      <c r="A149" s="823" t="s">
        <v>1421</v>
      </c>
      <c r="E149" s="1003" t="s">
        <v>1338</v>
      </c>
      <c r="F149" s="960" t="s">
        <v>1468</v>
      </c>
      <c r="G149" s="961" t="s">
        <v>1467</v>
      </c>
      <c r="H149" s="962" t="s">
        <v>1422</v>
      </c>
    </row>
    <row r="150" spans="1:28" ht="19" thickBot="1">
      <c r="A150"/>
      <c r="B150" s="937">
        <f>B144-H155</f>
        <v>11.867186624620537</v>
      </c>
      <c r="C150" s="822" t="s">
        <v>670</v>
      </c>
      <c r="E150" s="1004"/>
      <c r="F150" s="963" t="s">
        <v>6</v>
      </c>
      <c r="G150" s="963" t="s">
        <v>1424</v>
      </c>
      <c r="H150" s="963" t="s">
        <v>1347</v>
      </c>
    </row>
    <row r="151" spans="1:28" ht="17" thickBot="1">
      <c r="E151" s="890">
        <v>1</v>
      </c>
      <c r="F151" s="252">
        <v>10</v>
      </c>
      <c r="G151" s="252">
        <v>1.74</v>
      </c>
      <c r="H151" s="891">
        <f>G151*F151</f>
        <v>17.399999999999999</v>
      </c>
    </row>
    <row r="152" spans="1:28" ht="17" thickBot="1">
      <c r="A152" s="823" t="s">
        <v>1433</v>
      </c>
      <c r="E152" s="890">
        <v>2</v>
      </c>
      <c r="F152" s="252">
        <v>4.5999999999999996</v>
      </c>
      <c r="G152" s="252">
        <v>2.0499999999999998</v>
      </c>
      <c r="H152" s="891">
        <f>G152*F152</f>
        <v>9.4299999999999979</v>
      </c>
    </row>
    <row r="153" spans="1:28" ht="17" thickBot="1">
      <c r="A153" s="822" t="s">
        <v>1434</v>
      </c>
      <c r="B153" s="822">
        <f>[2]TH!B199</f>
        <v>30</v>
      </c>
      <c r="C153" s="822">
        <f>B153/100</f>
        <v>0.3</v>
      </c>
      <c r="D153" s="822" t="s">
        <v>6</v>
      </c>
      <c r="E153" s="890">
        <v>3</v>
      </c>
      <c r="F153" s="252">
        <v>1.3</v>
      </c>
      <c r="G153" s="252">
        <v>2.06</v>
      </c>
      <c r="H153" s="891">
        <f t="shared" ref="H153:H154" si="13">G153*F153</f>
        <v>2.6780000000000004</v>
      </c>
    </row>
    <row r="154" spans="1:28" ht="17" thickBot="1">
      <c r="A154" s="822" t="s">
        <v>1435</v>
      </c>
      <c r="B154" s="822">
        <f>[2]TH!B200</f>
        <v>30</v>
      </c>
      <c r="C154" s="822">
        <f>B154/100</f>
        <v>0.3</v>
      </c>
      <c r="D154" s="822" t="s">
        <v>6</v>
      </c>
      <c r="E154" s="890">
        <v>4</v>
      </c>
      <c r="F154" s="252">
        <f>B49</f>
        <v>4</v>
      </c>
      <c r="G154" s="252">
        <v>2.0099999999999998</v>
      </c>
      <c r="H154" s="891">
        <f t="shared" si="13"/>
        <v>8.0399999999999991</v>
      </c>
    </row>
    <row r="155" spans="1:28" ht="17" thickBot="1">
      <c r="A155" s="822" t="s">
        <v>513</v>
      </c>
      <c r="B155" s="822">
        <v>10</v>
      </c>
      <c r="C155" s="822">
        <f>B155/100</f>
        <v>0.1</v>
      </c>
      <c r="D155" s="822" t="s">
        <v>6</v>
      </c>
      <c r="E155" s="1005" t="s">
        <v>1423</v>
      </c>
      <c r="F155" s="1006"/>
      <c r="G155" s="1007"/>
      <c r="H155" s="918">
        <f>SUM(H151:H154)</f>
        <v>37.548000000000002</v>
      </c>
    </row>
    <row r="156" spans="1:28">
      <c r="A156" s="822" t="s">
        <v>514</v>
      </c>
      <c r="B156" s="822">
        <f>E133-C155</f>
        <v>0.22999999999999995</v>
      </c>
      <c r="C156" s="822" t="s">
        <v>6</v>
      </c>
    </row>
    <row r="157" spans="1:28" ht="14.5" thickBot="1">
      <c r="A157" s="822" t="s">
        <v>1436</v>
      </c>
      <c r="B157" s="822">
        <f>C153+2*B156</f>
        <v>0.7599999999999999</v>
      </c>
      <c r="C157" s="822" t="s">
        <v>6</v>
      </c>
    </row>
    <row r="158" spans="1:28" ht="14" customHeight="1">
      <c r="A158" s="822" t="s">
        <v>1437</v>
      </c>
      <c r="B158" s="822">
        <f>C154+2*B156</f>
        <v>0.7599999999999999</v>
      </c>
      <c r="C158" s="822" t="s">
        <v>6</v>
      </c>
      <c r="E158" s="995" t="s">
        <v>1282</v>
      </c>
      <c r="F158" s="995" t="s">
        <v>1425</v>
      </c>
      <c r="G158" s="995" t="s">
        <v>1426</v>
      </c>
      <c r="H158" s="999" t="s">
        <v>1427</v>
      </c>
      <c r="I158" s="999" t="s">
        <v>1428</v>
      </c>
      <c r="J158" s="995" t="s">
        <v>1429</v>
      </c>
      <c r="K158" s="995"/>
      <c r="L158" s="995"/>
      <c r="M158" s="995"/>
    </row>
    <row r="159" spans="1:28" ht="14.5" customHeight="1" thickBot="1">
      <c r="A159" s="822" t="s">
        <v>1438</v>
      </c>
      <c r="B159" s="822">
        <f>(2*(C153+C154)+2*(B157+B158))/2</f>
        <v>2.1199999999999997</v>
      </c>
      <c r="C159" s="822" t="s">
        <v>6</v>
      </c>
      <c r="E159" s="996"/>
      <c r="F159" s="996"/>
      <c r="G159" s="997"/>
      <c r="H159" s="1000"/>
      <c r="I159" s="1000"/>
      <c r="J159" s="996"/>
      <c r="K159" s="997"/>
      <c r="L159" s="997"/>
      <c r="M159" s="996"/>
    </row>
    <row r="160" spans="1:28" ht="33.5" thickBot="1">
      <c r="A160"/>
      <c r="B160" s="822">
        <f>1*H23*B159*B156</f>
        <v>36.569999999999986</v>
      </c>
      <c r="C160" s="822" t="s">
        <v>670</v>
      </c>
      <c r="E160" s="997"/>
      <c r="F160" s="997"/>
      <c r="G160" s="867" t="s">
        <v>6</v>
      </c>
      <c r="H160" s="1001"/>
      <c r="I160" s="1002"/>
      <c r="J160" s="997"/>
      <c r="K160" s="867" t="s">
        <v>1347</v>
      </c>
      <c r="L160" s="867" t="s">
        <v>1347</v>
      </c>
      <c r="M160" s="997"/>
      <c r="S160" s="964" t="s">
        <v>1430</v>
      </c>
      <c r="T160" s="965" t="s">
        <v>1470</v>
      </c>
      <c r="U160" s="964" t="s">
        <v>1472</v>
      </c>
      <c r="V160" s="964"/>
      <c r="W160" s="965"/>
      <c r="X160" s="964"/>
      <c r="Y160" s="964"/>
      <c r="Z160" s="965"/>
      <c r="AA160" s="965"/>
      <c r="AB160" s="965"/>
    </row>
    <row r="161" spans="1:28" ht="17" thickBot="1">
      <c r="A161" s="822" t="s">
        <v>1469</v>
      </c>
      <c r="B161" s="908">
        <f>ROUND(B115/4,2)</f>
        <v>0.57999999999999996</v>
      </c>
      <c r="C161" s="822" t="s">
        <v>6</v>
      </c>
      <c r="E161" s="869">
        <v>4</v>
      </c>
      <c r="F161" s="252">
        <v>1</v>
      </c>
      <c r="G161" s="252">
        <v>0</v>
      </c>
      <c r="H161" s="891">
        <f>$B$116/$B$115</f>
        <v>1</v>
      </c>
      <c r="I161" s="919">
        <f>G161/H161</f>
        <v>0</v>
      </c>
      <c r="J161" s="252">
        <v>1</v>
      </c>
      <c r="K161" s="920">
        <f>J161*$B$150</f>
        <v>11.867186624620537</v>
      </c>
      <c r="L161" s="921">
        <f>H155</f>
        <v>37.548000000000002</v>
      </c>
      <c r="M161" s="920">
        <f>K161/L161</f>
        <v>0.31605376117557621</v>
      </c>
      <c r="N161" s="908">
        <f>M161-0.2</f>
        <v>0.1160537611755762</v>
      </c>
      <c r="S161" s="966">
        <v>1</v>
      </c>
      <c r="T161" s="947">
        <v>0</v>
      </c>
      <c r="U161" s="947">
        <f>T161/$B$115</f>
        <v>0</v>
      </c>
      <c r="V161" s="987">
        <f>$B$116/$B$115</f>
        <v>1</v>
      </c>
      <c r="W161" s="947">
        <f>'[4]Tinh lun M1'!E4</f>
        <v>1</v>
      </c>
      <c r="X161" s="948">
        <f>W161*$B$150</f>
        <v>11.867186624620537</v>
      </c>
      <c r="Y161" s="949">
        <f>$H$155</f>
        <v>37.548000000000002</v>
      </c>
      <c r="Z161" s="948">
        <f>X161/Y161</f>
        <v>0.31605376117557621</v>
      </c>
      <c r="AA161" s="950"/>
      <c r="AB161" s="950"/>
    </row>
    <row r="162" spans="1:28" ht="17" thickBot="1">
      <c r="A162" s="823" t="s">
        <v>1439</v>
      </c>
      <c r="E162" s="869">
        <v>4</v>
      </c>
      <c r="F162" s="252">
        <v>2</v>
      </c>
      <c r="G162" s="252">
        <v>1.5</v>
      </c>
      <c r="H162" s="891">
        <f t="shared" ref="H162:H164" si="14">$B$116/$B$115</f>
        <v>1</v>
      </c>
      <c r="I162" s="919">
        <f t="shared" ref="I162:I164" si="15">G162/H162</f>
        <v>1.5</v>
      </c>
      <c r="J162" s="252">
        <v>0.89</v>
      </c>
      <c r="K162" s="920">
        <f>J162*$B$150</f>
        <v>10.561796095912278</v>
      </c>
      <c r="L162" s="921">
        <f>L161+$G$154*G162</f>
        <v>40.563000000000002</v>
      </c>
      <c r="M162" s="920">
        <f t="shared" ref="M162:M164" si="16">K162/L162</f>
        <v>0.26038005314972457</v>
      </c>
      <c r="N162" s="908">
        <f>M162-0.2</f>
        <v>6.0380053149724555E-2</v>
      </c>
      <c r="S162" s="330">
        <v>2</v>
      </c>
      <c r="T162" s="942">
        <f>+T161+$B$161</f>
        <v>0.57999999999999996</v>
      </c>
      <c r="U162" s="942">
        <f>T162/$B$115</f>
        <v>0.24947497609775698</v>
      </c>
      <c r="V162" s="988"/>
      <c r="W162" s="942">
        <f>'[4]Tinh lun M1'!E5</f>
        <v>0.92</v>
      </c>
      <c r="X162" s="943">
        <f t="shared" ref="X162:X172" si="17">W162*$B$150</f>
        <v>10.917811694650894</v>
      </c>
      <c r="Y162" s="944">
        <f>Y161+$G$154*T162</f>
        <v>38.713799999999999</v>
      </c>
      <c r="Z162" s="943">
        <f t="shared" ref="Z162:Z172" si="18">X162/Y162</f>
        <v>0.28201343434772341</v>
      </c>
      <c r="AA162" s="945">
        <f>$M$43</f>
        <v>544.67999999999995</v>
      </c>
      <c r="AB162" s="945">
        <f>ROUND(0.8*(X161+X162)/2*$B$161/AA162*100,2)</f>
        <v>0.97</v>
      </c>
    </row>
    <row r="163" spans="1:28" ht="17" thickBot="1">
      <c r="A163" s="822" t="s">
        <v>1440</v>
      </c>
      <c r="B163" s="822">
        <v>1</v>
      </c>
      <c r="E163" s="869">
        <v>4</v>
      </c>
      <c r="F163" s="252">
        <v>3</v>
      </c>
      <c r="G163" s="252">
        <v>3</v>
      </c>
      <c r="H163" s="891">
        <f t="shared" si="14"/>
        <v>1</v>
      </c>
      <c r="I163" s="919">
        <f t="shared" si="15"/>
        <v>3</v>
      </c>
      <c r="J163" s="252">
        <v>0.7</v>
      </c>
      <c r="K163" s="920">
        <f t="shared" ref="K163:K164" si="19">J163*$B$150</f>
        <v>8.3070306372343747</v>
      </c>
      <c r="L163" s="921">
        <f t="shared" ref="L163:L164" si="20">L162+$G$154*G163</f>
        <v>46.593000000000004</v>
      </c>
      <c r="M163" s="920">
        <f t="shared" si="16"/>
        <v>0.17828924167223348</v>
      </c>
      <c r="N163" s="908">
        <f>M163-0.2</f>
        <v>-2.1710758327766533E-2</v>
      </c>
      <c r="S163" s="330">
        <v>3</v>
      </c>
      <c r="T163" s="942">
        <f t="shared" ref="T163:T172" si="21">+T162+$B$161</f>
        <v>1.1599999999999999</v>
      </c>
      <c r="U163" s="942">
        <f t="shared" ref="U163:U172" si="22">T163/$B$115</f>
        <v>0.49894995219551397</v>
      </c>
      <c r="V163" s="988"/>
      <c r="W163" s="942">
        <f>'[4]Tinh lun M1'!E6</f>
        <v>0.70599999999999996</v>
      </c>
      <c r="X163" s="943">
        <f t="shared" si="17"/>
        <v>8.3782337569820982</v>
      </c>
      <c r="Y163" s="944">
        <f t="shared" ref="Y163:Y172" si="23">Y162+$G$154*T163</f>
        <v>41.045400000000001</v>
      </c>
      <c r="Z163" s="943">
        <f t="shared" si="18"/>
        <v>0.2041211379833574</v>
      </c>
      <c r="AA163" s="945">
        <f t="shared" ref="AA163:AA172" si="24">$M$43</f>
        <v>544.67999999999995</v>
      </c>
      <c r="AB163" s="945">
        <f t="shared" ref="AB163:AB172" si="25">ROUND(0.8*(X162+X163)/2*$B$161/AA163*100,2)</f>
        <v>0.82</v>
      </c>
    </row>
    <row r="164" spans="1:28" ht="17" thickBot="1">
      <c r="A164" s="822" t="s">
        <v>522</v>
      </c>
      <c r="B164" s="892">
        <f>B163*$L$104*B165</f>
        <v>4.729391111111112</v>
      </c>
      <c r="C164" s="822" t="s">
        <v>672</v>
      </c>
      <c r="E164" s="869">
        <v>4</v>
      </c>
      <c r="F164" s="252">
        <v>4</v>
      </c>
      <c r="G164" s="252">
        <v>4.5</v>
      </c>
      <c r="H164" s="891">
        <f t="shared" si="14"/>
        <v>1</v>
      </c>
      <c r="I164" s="919">
        <f t="shared" si="15"/>
        <v>4.5</v>
      </c>
      <c r="J164" s="252">
        <v>0.51</v>
      </c>
      <c r="K164" s="920">
        <f t="shared" si="19"/>
        <v>6.0522651785564738</v>
      </c>
      <c r="L164" s="921">
        <f t="shared" si="20"/>
        <v>55.638000000000005</v>
      </c>
      <c r="M164" s="920">
        <f t="shared" si="16"/>
        <v>0.10877934466653139</v>
      </c>
      <c r="S164" s="330">
        <v>4</v>
      </c>
      <c r="T164" s="942">
        <f t="shared" si="21"/>
        <v>1.7399999999999998</v>
      </c>
      <c r="U164" s="942">
        <f t="shared" si="22"/>
        <v>0.7484249282932709</v>
      </c>
      <c r="V164" s="988"/>
      <c r="W164" s="942">
        <f>'[4]Tinh lun M1'!E7</f>
        <v>0.49099999999999999</v>
      </c>
      <c r="X164" s="943">
        <f t="shared" si="17"/>
        <v>5.8267886326886833</v>
      </c>
      <c r="Y164" s="944">
        <f t="shared" si="23"/>
        <v>44.5428</v>
      </c>
      <c r="Z164" s="943">
        <f t="shared" si="18"/>
        <v>0.13081325450327963</v>
      </c>
      <c r="AA164" s="945">
        <f t="shared" si="24"/>
        <v>544.67999999999995</v>
      </c>
      <c r="AB164" s="945">
        <f t="shared" si="25"/>
        <v>0.61</v>
      </c>
    </row>
    <row r="165" spans="1:28" ht="16.5">
      <c r="A165" s="822" t="s">
        <v>99</v>
      </c>
      <c r="B165" s="822">
        <f>0.9/2-$D$39/2</f>
        <v>0.30000000000000004</v>
      </c>
      <c r="C165" s="822" t="s">
        <v>6</v>
      </c>
      <c r="S165" s="330">
        <v>5</v>
      </c>
      <c r="T165" s="942">
        <f t="shared" si="21"/>
        <v>2.3199999999999998</v>
      </c>
      <c r="U165" s="942">
        <f t="shared" si="22"/>
        <v>0.99789990439102794</v>
      </c>
      <c r="V165" s="988"/>
      <c r="W165" s="942">
        <f>'[4]Tinh lun M1'!E8</f>
        <v>0.34100000000000003</v>
      </c>
      <c r="X165" s="943">
        <f t="shared" si="17"/>
        <v>4.0467106389956031</v>
      </c>
      <c r="Y165" s="944">
        <f t="shared" si="23"/>
        <v>49.205999999999996</v>
      </c>
      <c r="Z165" s="943">
        <f t="shared" si="18"/>
        <v>8.2240186948656743E-2</v>
      </c>
      <c r="AA165" s="945">
        <f t="shared" si="24"/>
        <v>544.67999999999995</v>
      </c>
      <c r="AB165" s="945">
        <f t="shared" si="25"/>
        <v>0.42</v>
      </c>
    </row>
    <row r="166" spans="1:28" ht="17" thickBot="1">
      <c r="A166"/>
      <c r="B166" s="922">
        <f>B164/(0.9*$H$22*$B$167*$B$156^2)</f>
        <v>4.5671764225241135E-2</v>
      </c>
      <c r="D166" s="892"/>
      <c r="S166" s="330">
        <v>6</v>
      </c>
      <c r="T166" s="942">
        <f t="shared" si="21"/>
        <v>2.9</v>
      </c>
      <c r="U166" s="942">
        <f t="shared" si="22"/>
        <v>1.247374880488785</v>
      </c>
      <c r="V166" s="988"/>
      <c r="W166" s="942">
        <f>'[4]Tinh lun M1'!E9</f>
        <v>0.246</v>
      </c>
      <c r="X166" s="943">
        <f t="shared" si="17"/>
        <v>2.9193279096566522</v>
      </c>
      <c r="Y166" s="944">
        <f t="shared" si="23"/>
        <v>55.034999999999997</v>
      </c>
      <c r="Z166" s="943">
        <f t="shared" si="18"/>
        <v>5.3044933399775639E-2</v>
      </c>
      <c r="AA166" s="945">
        <f t="shared" si="24"/>
        <v>544.67999999999995</v>
      </c>
      <c r="AB166" s="945">
        <f t="shared" si="25"/>
        <v>0.3</v>
      </c>
    </row>
    <row r="167" spans="1:28" ht="14" customHeight="1">
      <c r="A167" s="822" t="s">
        <v>1441</v>
      </c>
      <c r="B167" s="822">
        <v>1.5</v>
      </c>
      <c r="E167" s="991" t="s">
        <v>1201</v>
      </c>
      <c r="F167" s="991" t="s">
        <v>1430</v>
      </c>
      <c r="G167" s="991"/>
      <c r="H167" s="991"/>
      <c r="I167" s="991"/>
      <c r="J167" s="991" t="s">
        <v>1431</v>
      </c>
      <c r="K167" s="991" t="s">
        <v>111</v>
      </c>
      <c r="S167" s="330">
        <v>7</v>
      </c>
      <c r="T167" s="942">
        <f t="shared" si="21"/>
        <v>3.48</v>
      </c>
      <c r="U167" s="942">
        <f t="shared" si="22"/>
        <v>1.496849856586542</v>
      </c>
      <c r="V167" s="988"/>
      <c r="W167" s="942">
        <f>'[4]Tinh lun M1'!E10</f>
        <v>0.18099999999999999</v>
      </c>
      <c r="X167" s="943">
        <f t="shared" si="17"/>
        <v>2.1479607790563171</v>
      </c>
      <c r="Y167" s="944">
        <f t="shared" si="23"/>
        <v>62.029799999999994</v>
      </c>
      <c r="Z167" s="943">
        <f t="shared" si="18"/>
        <v>3.4627884969100617E-2</v>
      </c>
      <c r="AA167" s="945">
        <f t="shared" si="24"/>
        <v>544.67999999999995</v>
      </c>
      <c r="AB167" s="945">
        <f t="shared" si="25"/>
        <v>0.22</v>
      </c>
    </row>
    <row r="168" spans="1:28" ht="14.5" customHeight="1" thickBot="1">
      <c r="A168"/>
      <c r="B168" s="923">
        <f>(1-SQRT(1-2*B166))</f>
        <v>4.6765258947452204E-2</v>
      </c>
      <c r="E168" s="998"/>
      <c r="F168" s="998"/>
      <c r="G168" s="990"/>
      <c r="H168" s="990"/>
      <c r="I168" s="990"/>
      <c r="J168" s="990"/>
      <c r="K168" s="990"/>
      <c r="S168" s="330">
        <v>8</v>
      </c>
      <c r="T168" s="942">
        <f t="shared" si="21"/>
        <v>4.0599999999999996</v>
      </c>
      <c r="U168" s="942">
        <f t="shared" si="22"/>
        <v>1.7463248326842988</v>
      </c>
      <c r="V168" s="988"/>
      <c r="W168" s="942">
        <f>'[4]Tinh lun M1'!E11</f>
        <v>0.13800000000000001</v>
      </c>
      <c r="X168" s="943">
        <f t="shared" si="17"/>
        <v>1.6376717541976342</v>
      </c>
      <c r="Y168" s="944">
        <f t="shared" si="23"/>
        <v>70.190399999999997</v>
      </c>
      <c r="Z168" s="943">
        <f t="shared" si="18"/>
        <v>2.3331848147291286E-2</v>
      </c>
      <c r="AA168" s="945">
        <f t="shared" si="24"/>
        <v>544.67999999999995</v>
      </c>
      <c r="AB168" s="945">
        <f t="shared" si="25"/>
        <v>0.16</v>
      </c>
    </row>
    <row r="169" spans="1:28" ht="19" thickBot="1">
      <c r="A169" s="822" t="s">
        <v>258</v>
      </c>
      <c r="B169" s="924">
        <f>B168*0.9*$H$22*$B$167*$B$156/$H$31</f>
        <v>7.5196031105773803E-4</v>
      </c>
      <c r="C169" s="892">
        <f>B169*10^4</f>
        <v>7.5196031105773802</v>
      </c>
      <c r="D169" s="822" t="s">
        <v>534</v>
      </c>
      <c r="E169" s="990"/>
      <c r="F169" s="990"/>
      <c r="G169" s="967" t="s">
        <v>1347</v>
      </c>
      <c r="H169" s="967" t="s">
        <v>1347</v>
      </c>
      <c r="I169" s="967"/>
      <c r="J169" s="967" t="s">
        <v>1347</v>
      </c>
      <c r="K169" s="967" t="s">
        <v>631</v>
      </c>
      <c r="S169" s="330">
        <v>9</v>
      </c>
      <c r="T169" s="942">
        <f t="shared" si="21"/>
        <v>4.6399999999999997</v>
      </c>
      <c r="U169" s="942">
        <f t="shared" si="22"/>
        <v>1.9957998087820559</v>
      </c>
      <c r="V169" s="988"/>
      <c r="W169" s="942">
        <f>'[4]Tinh lun M1'!E12</f>
        <v>0.11</v>
      </c>
      <c r="X169" s="943">
        <f t="shared" si="17"/>
        <v>1.305390528708259</v>
      </c>
      <c r="Y169" s="944">
        <f t="shared" si="23"/>
        <v>79.516799999999989</v>
      </c>
      <c r="Z169" s="943">
        <f t="shared" si="18"/>
        <v>1.6416537495325002E-2</v>
      </c>
      <c r="AA169" s="945">
        <f t="shared" si="24"/>
        <v>544.67999999999995</v>
      </c>
      <c r="AB169" s="945">
        <f t="shared" si="25"/>
        <v>0.13</v>
      </c>
    </row>
    <row r="170" spans="1:28" ht="17" thickBot="1">
      <c r="B170" s="822">
        <v>8</v>
      </c>
      <c r="C170" s="822">
        <v>12</v>
      </c>
      <c r="D170" s="822">
        <f>(B167-0.1)/(B170-1)*1000</f>
        <v>199.99999999999997</v>
      </c>
      <c r="E170" s="890">
        <v>4</v>
      </c>
      <c r="F170" s="967">
        <v>1</v>
      </c>
      <c r="G170" s="968">
        <f>K161</f>
        <v>11.867186624620537</v>
      </c>
      <c r="H170" s="989">
        <f>G170+G171</f>
        <v>22.428982720532815</v>
      </c>
      <c r="I170" s="991">
        <v>0.8</v>
      </c>
      <c r="J170" s="991">
        <f>$M$43</f>
        <v>544.67999999999995</v>
      </c>
      <c r="K170" s="989">
        <f>I170/J170*H170*1.5*100</f>
        <v>4.9413929765439129</v>
      </c>
      <c r="M170" s="822">
        <f>0.8/11420*336.99*1.5</f>
        <v>3.5410507880910685E-2</v>
      </c>
      <c r="N170" s="822">
        <f>+M170*100</f>
        <v>3.5410507880910687</v>
      </c>
      <c r="S170" s="330">
        <v>10</v>
      </c>
      <c r="T170" s="942">
        <f t="shared" si="21"/>
        <v>5.22</v>
      </c>
      <c r="U170" s="942">
        <f t="shared" si="22"/>
        <v>2.2452747848798129</v>
      </c>
      <c r="V170" s="988"/>
      <c r="W170" s="942">
        <f>'[4]Tinh lun M1'!E13</f>
        <v>8.7999999999999995E-2</v>
      </c>
      <c r="X170" s="943">
        <f t="shared" si="17"/>
        <v>1.0443124229666072</v>
      </c>
      <c r="Y170" s="944">
        <f t="shared" si="23"/>
        <v>90.008999999999986</v>
      </c>
      <c r="Z170" s="943">
        <f t="shared" si="18"/>
        <v>1.160231113518212E-2</v>
      </c>
      <c r="AA170" s="945">
        <f t="shared" si="24"/>
        <v>544.67999999999995</v>
      </c>
      <c r="AB170" s="945">
        <f t="shared" si="25"/>
        <v>0.1</v>
      </c>
    </row>
    <row r="171" spans="1:28" ht="17" thickBot="1">
      <c r="C171" s="892">
        <f>B170*(C170/10)^2/4*3.14</f>
        <v>9.0432000000000006</v>
      </c>
      <c r="D171" s="822" t="s">
        <v>534</v>
      </c>
      <c r="E171" s="890">
        <v>4</v>
      </c>
      <c r="F171" s="967">
        <v>2</v>
      </c>
      <c r="G171" s="969">
        <f>K162</f>
        <v>10.561796095912278</v>
      </c>
      <c r="H171" s="990"/>
      <c r="I171" s="990"/>
      <c r="J171" s="990"/>
      <c r="K171" s="990"/>
      <c r="S171" s="330">
        <v>11</v>
      </c>
      <c r="T171" s="942">
        <f t="shared" si="21"/>
        <v>5.8</v>
      </c>
      <c r="U171" s="942">
        <f t="shared" si="22"/>
        <v>2.49474976097757</v>
      </c>
      <c r="V171" s="988"/>
      <c r="W171" s="942">
        <f>'[4]Tinh lun M1'!E14</f>
        <v>7.4999999999999997E-2</v>
      </c>
      <c r="X171" s="943">
        <f t="shared" si="17"/>
        <v>0.8900389968465402</v>
      </c>
      <c r="Y171" s="944">
        <f t="shared" si="23"/>
        <v>101.66699999999999</v>
      </c>
      <c r="Z171" s="943">
        <f t="shared" si="18"/>
        <v>8.7544532330701245E-3</v>
      </c>
      <c r="AA171" s="945">
        <f t="shared" si="24"/>
        <v>544.67999999999995</v>
      </c>
      <c r="AB171" s="945">
        <f t="shared" si="25"/>
        <v>0.08</v>
      </c>
    </row>
    <row r="172" spans="1:28" ht="17" thickBot="1">
      <c r="B172" s="908">
        <f>B164/(0.9*B167*B156)</f>
        <v>15.231533369117916</v>
      </c>
      <c r="C172" s="822">
        <v>1.2999999999999999E-2</v>
      </c>
      <c r="E172" s="890">
        <v>4</v>
      </c>
      <c r="F172" s="967">
        <v>2</v>
      </c>
      <c r="G172" s="969">
        <f>G171</f>
        <v>10.561796095912278</v>
      </c>
      <c r="H172" s="989">
        <f>G172+G173</f>
        <v>18.868826733146655</v>
      </c>
      <c r="I172" s="991">
        <v>0.8</v>
      </c>
      <c r="J172" s="991">
        <f t="shared" ref="J172" si="26">$M$43</f>
        <v>544.67999999999995</v>
      </c>
      <c r="K172" s="989">
        <f t="shared" ref="K172" si="27">I172/J172*H172*1.5*100</f>
        <v>4.1570448850290056</v>
      </c>
      <c r="S172" s="330">
        <v>12</v>
      </c>
      <c r="T172" s="942">
        <f t="shared" si="21"/>
        <v>6.38</v>
      </c>
      <c r="U172" s="942">
        <f t="shared" si="22"/>
        <v>2.744224737075327</v>
      </c>
      <c r="V172" s="988"/>
      <c r="W172" s="942">
        <f>'[4]Tinh lun M1'!E15</f>
        <v>6.3E-2</v>
      </c>
      <c r="X172" s="943">
        <f t="shared" si="17"/>
        <v>0.7476327573510938</v>
      </c>
      <c r="Y172" s="944">
        <f t="shared" si="23"/>
        <v>114.49079999999998</v>
      </c>
      <c r="Z172" s="943">
        <f t="shared" si="18"/>
        <v>6.5300684190440971E-3</v>
      </c>
      <c r="AA172" s="945">
        <f t="shared" si="24"/>
        <v>544.67999999999995</v>
      </c>
      <c r="AB172" s="945">
        <f t="shared" si="25"/>
        <v>7.0000000000000007E-2</v>
      </c>
    </row>
    <row r="173" spans="1:28" ht="17" thickBot="1">
      <c r="C173" s="822">
        <f>(1-SQRT(1-2*C172))/2</f>
        <v>6.5428083409869164E-3</v>
      </c>
      <c r="E173" s="890">
        <v>4</v>
      </c>
      <c r="F173" s="967">
        <v>3</v>
      </c>
      <c r="G173" s="969">
        <f>K163</f>
        <v>8.3070306372343747</v>
      </c>
      <c r="H173" s="990"/>
      <c r="I173" s="990"/>
      <c r="J173" s="990"/>
      <c r="K173" s="990"/>
      <c r="S173" s="7"/>
      <c r="T173" s="7"/>
      <c r="U173" s="7"/>
      <c r="V173" s="7"/>
      <c r="W173" s="7"/>
      <c r="X173" s="7"/>
      <c r="Y173" s="7"/>
      <c r="Z173" s="7"/>
      <c r="AA173" s="941" t="s">
        <v>1471</v>
      </c>
      <c r="AB173" s="946">
        <f>SUM(AB162:AB172)</f>
        <v>3.88</v>
      </c>
    </row>
    <row r="174" spans="1:28" ht="17" thickBot="1">
      <c r="E174" s="890">
        <v>4</v>
      </c>
      <c r="F174" s="967">
        <v>3</v>
      </c>
      <c r="G174" s="969">
        <f>G173</f>
        <v>8.3070306372343747</v>
      </c>
      <c r="H174" s="989">
        <f>G174+G175</f>
        <v>14.359295815790848</v>
      </c>
      <c r="I174" s="991">
        <v>0.8</v>
      </c>
      <c r="J174" s="991">
        <f t="shared" ref="J174" si="28">$M$43</f>
        <v>544.67999999999995</v>
      </c>
      <c r="K174" s="989">
        <f t="shared" ref="K174" si="29">I174/J174*H174*1.5*100</f>
        <v>3.1635373024434568</v>
      </c>
      <c r="R174" s="822" t="s">
        <v>1473</v>
      </c>
      <c r="S174" s="822">
        <f>S172</f>
        <v>12</v>
      </c>
      <c r="AA174" s="7"/>
      <c r="AB174" s="7"/>
    </row>
    <row r="175" spans="1:28" ht="17" thickBot="1">
      <c r="E175" s="890">
        <v>4</v>
      </c>
      <c r="F175" s="967">
        <v>4</v>
      </c>
      <c r="G175" s="968">
        <f>K164</f>
        <v>6.0522651785564738</v>
      </c>
      <c r="H175" s="990"/>
      <c r="I175" s="990"/>
      <c r="J175" s="990"/>
      <c r="K175" s="990"/>
      <c r="R175" s="822" t="s">
        <v>1243</v>
      </c>
      <c r="S175" s="935">
        <f>+T172</f>
        <v>6.38</v>
      </c>
    </row>
    <row r="176" spans="1:28" ht="17" thickBot="1">
      <c r="A176" s="823" t="s">
        <v>1445</v>
      </c>
      <c r="E176" s="992" t="s">
        <v>1432</v>
      </c>
      <c r="F176" s="993"/>
      <c r="G176" s="993"/>
      <c r="H176" s="993"/>
      <c r="I176" s="993"/>
      <c r="J176" s="994"/>
      <c r="K176" s="968">
        <f>SUM(K170:K175)</f>
        <v>12.261975164016375</v>
      </c>
      <c r="R176" s="822" t="s">
        <v>1474</v>
      </c>
      <c r="S176" s="822">
        <f>AB173</f>
        <v>3.88</v>
      </c>
    </row>
    <row r="177" spans="1:5">
      <c r="A177" s="822" t="s">
        <v>1440</v>
      </c>
      <c r="B177" s="822">
        <v>2</v>
      </c>
    </row>
    <row r="178" spans="1:5">
      <c r="A178" s="822" t="s">
        <v>522</v>
      </c>
      <c r="B178" s="892">
        <f>B177*$L$104*B179</f>
        <v>9.458782222222224</v>
      </c>
      <c r="C178" s="822" t="s">
        <v>672</v>
      </c>
    </row>
    <row r="179" spans="1:5">
      <c r="A179" s="822" t="s">
        <v>99</v>
      </c>
      <c r="B179" s="822">
        <f>0.9/2-$D$39/2</f>
        <v>0.30000000000000004</v>
      </c>
      <c r="C179" s="822" t="s">
        <v>6</v>
      </c>
    </row>
    <row r="180" spans="1:5">
      <c r="B180" s="922">
        <f>B178/(0.9*$H$22*$B$167*$B$156^2)</f>
        <v>9.134352845048227E-2</v>
      </c>
      <c r="D180" s="892"/>
    </row>
    <row r="181" spans="1:5">
      <c r="A181" s="822" t="s">
        <v>1441</v>
      </c>
      <c r="B181" s="822">
        <v>1.5</v>
      </c>
      <c r="E181" s="822">
        <v>7.0000000000000007E-2</v>
      </c>
    </row>
    <row r="182" spans="1:5">
      <c r="B182" s="923">
        <f>(1-SQRT(1-2*B180))</f>
        <v>9.5946382619351844E-2</v>
      </c>
      <c r="E182" s="822">
        <f>1-SQRT(1-2*E181)</f>
        <v>7.263815045042965E-2</v>
      </c>
    </row>
    <row r="183" spans="1:5">
      <c r="A183" s="822" t="s">
        <v>258</v>
      </c>
      <c r="B183" s="924">
        <f>B182*0.9*$H$22*$B$167*$B$156/$H$31</f>
        <v>1.5427664326713457E-3</v>
      </c>
      <c r="C183" s="892">
        <f>B183*10^4</f>
        <v>15.427664326713456</v>
      </c>
      <c r="D183" s="822" t="s">
        <v>534</v>
      </c>
      <c r="E183" s="822">
        <f>+E182*0.9*1.45*320*140/36.5</f>
        <v>116.34840624476492</v>
      </c>
    </row>
    <row r="184" spans="1:5">
      <c r="B184" s="822">
        <v>11</v>
      </c>
      <c r="C184" s="822">
        <v>12</v>
      </c>
      <c r="D184" s="822">
        <f>(B181-0.1)/(B184-1)*1000</f>
        <v>139.99999999999997</v>
      </c>
    </row>
    <row r="185" spans="1:5">
      <c r="C185" s="892">
        <f>B184*(C184/10)^2/4*3.14</f>
        <v>12.4344</v>
      </c>
      <c r="D185" s="822" t="s">
        <v>534</v>
      </c>
    </row>
    <row r="186" spans="1:5">
      <c r="B186" s="908">
        <f>B178/(0.9*B181*B170)</f>
        <v>0.87581316872427994</v>
      </c>
      <c r="C186" s="822">
        <v>1.2999999999999999E-2</v>
      </c>
    </row>
    <row r="187" spans="1:5">
      <c r="C187" s="822">
        <f>(1-SQRT(1-2*C186))/2</f>
        <v>6.5428083409869164E-3</v>
      </c>
    </row>
  </sheetData>
  <mergeCells count="49">
    <mergeCell ref="E176:J176"/>
    <mergeCell ref="H172:H173"/>
    <mergeCell ref="I172:I173"/>
    <mergeCell ref="J172:J173"/>
    <mergeCell ref="K172:K173"/>
    <mergeCell ref="H174:H175"/>
    <mergeCell ref="I174:I175"/>
    <mergeCell ref="J174:J175"/>
    <mergeCell ref="K174:K175"/>
    <mergeCell ref="V161:V172"/>
    <mergeCell ref="J167:J168"/>
    <mergeCell ref="K167:K168"/>
    <mergeCell ref="H170:H171"/>
    <mergeCell ref="I170:I171"/>
    <mergeCell ref="J170:J171"/>
    <mergeCell ref="K170:K171"/>
    <mergeCell ref="E167:E169"/>
    <mergeCell ref="F167:F169"/>
    <mergeCell ref="G167:G168"/>
    <mergeCell ref="H167:H168"/>
    <mergeCell ref="I167:I168"/>
    <mergeCell ref="E155:G155"/>
    <mergeCell ref="E158:E160"/>
    <mergeCell ref="F158:F160"/>
    <mergeCell ref="G158:G159"/>
    <mergeCell ref="H158:H160"/>
    <mergeCell ref="I158:I160"/>
    <mergeCell ref="P58:P59"/>
    <mergeCell ref="Q107:Q108"/>
    <mergeCell ref="R107:R108"/>
    <mergeCell ref="S107:S108"/>
    <mergeCell ref="J158:J160"/>
    <mergeCell ref="K158:K159"/>
    <mergeCell ref="L158:L159"/>
    <mergeCell ref="M158:M160"/>
    <mergeCell ref="T107:T108"/>
    <mergeCell ref="E149:E150"/>
    <mergeCell ref="K39:K42"/>
    <mergeCell ref="L39:L42"/>
    <mergeCell ref="M39:M42"/>
    <mergeCell ref="K58:K59"/>
    <mergeCell ref="L58:L59"/>
    <mergeCell ref="M58:M59"/>
    <mergeCell ref="E39:E42"/>
    <mergeCell ref="F39:F42"/>
    <mergeCell ref="G39:G42"/>
    <mergeCell ref="H39:H42"/>
    <mergeCell ref="I39:I42"/>
    <mergeCell ref="J39:J42"/>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83FB7-E8DF-4A1D-A975-BAF1FD238B4D}">
  <sheetPr codeName="Sheet8"/>
  <dimension ref="A1:AH35"/>
  <sheetViews>
    <sheetView tabSelected="1" zoomScale="145" zoomScaleNormal="145" workbookViewId="0">
      <selection activeCell="Q32" sqref="Q32"/>
    </sheetView>
  </sheetViews>
  <sheetFormatPr defaultColWidth="9.08203125" defaultRowHeight="13.25" customHeight="1"/>
  <cols>
    <col min="1" max="1" width="7.33203125" style="804" customWidth="1"/>
    <col min="2" max="2" width="10.25" style="804" customWidth="1"/>
    <col min="3" max="17" width="8.75" style="804" customWidth="1"/>
    <col min="18" max="21" width="8.75" style="804" hidden="1" customWidth="1"/>
    <col min="22" max="25" width="8.75" style="804" customWidth="1"/>
    <col min="26" max="26" width="16.08203125" style="804" bestFit="1" customWidth="1"/>
    <col min="27" max="16384" width="9.08203125" style="804"/>
  </cols>
  <sheetData>
    <row r="1" spans="1:32" ht="13.25" customHeight="1">
      <c r="A1" s="1009" t="s">
        <v>1201</v>
      </c>
      <c r="B1" s="1009" t="s">
        <v>1202</v>
      </c>
      <c r="C1" s="1009" t="s">
        <v>1203</v>
      </c>
      <c r="D1" s="1009" t="s">
        <v>1204</v>
      </c>
      <c r="E1" s="1009" t="s">
        <v>1205</v>
      </c>
      <c r="F1" s="1009" t="s">
        <v>1206</v>
      </c>
      <c r="G1" s="1009" t="s">
        <v>1207</v>
      </c>
      <c r="H1" s="1009" t="s">
        <v>1208</v>
      </c>
      <c r="I1" s="1009" t="s">
        <v>1209</v>
      </c>
      <c r="J1" s="1009" t="s">
        <v>1210</v>
      </c>
      <c r="K1" s="1009" t="s">
        <v>1211</v>
      </c>
      <c r="L1" s="802"/>
      <c r="M1" s="1034" t="s">
        <v>1203</v>
      </c>
      <c r="N1" s="1009" t="s">
        <v>1204</v>
      </c>
      <c r="O1" s="1009" t="s">
        <v>1205</v>
      </c>
      <c r="P1" s="1009" t="s">
        <v>1206</v>
      </c>
      <c r="Q1" s="1009" t="s">
        <v>1207</v>
      </c>
      <c r="R1" s="1028" t="s">
        <v>1208</v>
      </c>
      <c r="S1" s="1029"/>
      <c r="T1" s="1029"/>
      <c r="U1" s="1029"/>
      <c r="V1" s="1014"/>
      <c r="W1" s="1009" t="s">
        <v>1209</v>
      </c>
      <c r="X1" s="1009" t="s">
        <v>1210</v>
      </c>
      <c r="Y1" s="1009" t="s">
        <v>1211</v>
      </c>
      <c r="Z1" s="803"/>
      <c r="AA1" s="803" t="s">
        <v>1212</v>
      </c>
      <c r="AB1" s="803">
        <v>9.81</v>
      </c>
    </row>
    <row r="2" spans="1:32" ht="13.25" customHeight="1">
      <c r="A2" s="1010"/>
      <c r="B2" s="1010"/>
      <c r="C2" s="1010"/>
      <c r="D2" s="1010"/>
      <c r="E2" s="1010"/>
      <c r="F2" s="1010"/>
      <c r="G2" s="1010"/>
      <c r="H2" s="1010"/>
      <c r="I2" s="1010"/>
      <c r="J2" s="1010"/>
      <c r="K2" s="1010"/>
      <c r="L2" s="805"/>
      <c r="M2" s="1035"/>
      <c r="N2" s="1010"/>
      <c r="O2" s="1010"/>
      <c r="P2" s="1010"/>
      <c r="Q2" s="1010"/>
      <c r="R2" s="1030"/>
      <c r="S2" s="1031"/>
      <c r="T2" s="1031"/>
      <c r="U2" s="1031"/>
      <c r="V2" s="1015"/>
      <c r="W2" s="1010"/>
      <c r="X2" s="1010"/>
      <c r="Y2" s="1010"/>
      <c r="Z2" s="803"/>
      <c r="AA2" s="803" t="s">
        <v>1213</v>
      </c>
      <c r="AB2" s="803">
        <f>ROUND(1/AB1,3)</f>
        <v>0.10199999999999999</v>
      </c>
    </row>
    <row r="3" spans="1:32" ht="13.25" customHeight="1">
      <c r="A3" s="1010"/>
      <c r="B3" s="1010"/>
      <c r="C3" s="1010"/>
      <c r="D3" s="1010"/>
      <c r="E3" s="1010"/>
      <c r="F3" s="1010"/>
      <c r="G3" s="1010"/>
      <c r="H3" s="1010"/>
      <c r="I3" s="1010"/>
      <c r="J3" s="1010"/>
      <c r="K3" s="1010"/>
      <c r="L3" s="805"/>
      <c r="M3" s="1035"/>
      <c r="N3" s="1010"/>
      <c r="O3" s="1010"/>
      <c r="P3" s="1010"/>
      <c r="Q3" s="1010"/>
      <c r="R3" s="1030"/>
      <c r="S3" s="1031"/>
      <c r="T3" s="1031"/>
      <c r="U3" s="1031"/>
      <c r="V3" s="1015"/>
      <c r="W3" s="1010"/>
      <c r="X3" s="1010"/>
      <c r="Y3" s="1010"/>
      <c r="Z3" s="803"/>
      <c r="AA3" s="803"/>
      <c r="AB3" s="803"/>
    </row>
    <row r="4" spans="1:32" ht="13.25" customHeight="1" thickBot="1">
      <c r="A4" s="1010"/>
      <c r="B4" s="1010"/>
      <c r="C4" s="1011"/>
      <c r="D4" s="1011"/>
      <c r="E4" s="1011"/>
      <c r="F4" s="1011"/>
      <c r="G4" s="1011"/>
      <c r="H4" s="1011"/>
      <c r="I4" s="1011"/>
      <c r="J4" s="1011"/>
      <c r="K4" s="1011"/>
      <c r="L4" s="806"/>
      <c r="M4" s="1036"/>
      <c r="N4" s="1011"/>
      <c r="O4" s="1011"/>
      <c r="P4" s="1011"/>
      <c r="Q4" s="1011"/>
      <c r="R4" s="1032"/>
      <c r="S4" s="1033"/>
      <c r="T4" s="1033"/>
      <c r="U4" s="1033"/>
      <c r="V4" s="1016"/>
      <c r="W4" s="1011"/>
      <c r="X4" s="1011"/>
      <c r="Y4" s="1011"/>
      <c r="Z4" s="803" t="str">
        <f>"Chiều sâu đặt đài " &amp;TinhMong!B46</f>
        <v>Chiều sâu đặt đài -1,5</v>
      </c>
      <c r="AA4" s="803" t="s">
        <v>1304</v>
      </c>
      <c r="AB4" s="803">
        <f>TinhMong!B51</f>
        <v>19.899999999999999</v>
      </c>
      <c r="AC4" s="804" t="s">
        <v>6</v>
      </c>
    </row>
    <row r="5" spans="1:32" ht="13.25" customHeight="1" thickBot="1">
      <c r="A5" s="1010"/>
      <c r="B5" s="1010"/>
      <c r="C5" s="807" t="s">
        <v>1214</v>
      </c>
      <c r="D5" s="807" t="s">
        <v>1215</v>
      </c>
      <c r="E5" s="807" t="s">
        <v>1216</v>
      </c>
      <c r="F5" s="807" t="s">
        <v>1217</v>
      </c>
      <c r="G5" s="1009" t="s">
        <v>1218</v>
      </c>
      <c r="H5" s="808" t="s">
        <v>1219</v>
      </c>
      <c r="I5" s="807" t="s">
        <v>375</v>
      </c>
      <c r="J5" s="1009" t="s">
        <v>1220</v>
      </c>
      <c r="K5" s="807" t="s">
        <v>1221</v>
      </c>
      <c r="L5" s="807" t="s">
        <v>1222</v>
      </c>
      <c r="M5" s="809" t="s">
        <v>1214</v>
      </c>
      <c r="N5" s="807" t="s">
        <v>1215</v>
      </c>
      <c r="O5" s="807" t="s">
        <v>1216</v>
      </c>
      <c r="P5" s="807" t="s">
        <v>1217</v>
      </c>
      <c r="Q5" s="1009" t="s">
        <v>1218</v>
      </c>
      <c r="R5" s="1022" t="s">
        <v>1219</v>
      </c>
      <c r="S5" s="1023"/>
      <c r="T5" s="1023"/>
      <c r="U5" s="1023"/>
      <c r="V5" s="1024"/>
      <c r="W5" s="807" t="s">
        <v>375</v>
      </c>
      <c r="X5" s="1009" t="s">
        <v>1220</v>
      </c>
      <c r="Y5" s="807" t="s">
        <v>1221</v>
      </c>
      <c r="Z5" s="804" t="s">
        <v>1246</v>
      </c>
      <c r="AB5" s="803" t="s">
        <v>1285</v>
      </c>
      <c r="AC5" s="804" t="s">
        <v>1303</v>
      </c>
      <c r="AE5" s="804" t="s">
        <v>1306</v>
      </c>
      <c r="AF5" s="804" t="s">
        <v>1307</v>
      </c>
    </row>
    <row r="6" spans="1:32" ht="13.25" customHeight="1" thickBot="1">
      <c r="A6" s="1011"/>
      <c r="B6" s="1011"/>
      <c r="C6" s="807" t="s">
        <v>58</v>
      </c>
      <c r="D6" s="807" t="s">
        <v>1223</v>
      </c>
      <c r="E6" s="807" t="s">
        <v>1223</v>
      </c>
      <c r="F6" s="807" t="s">
        <v>698</v>
      </c>
      <c r="G6" s="1011"/>
      <c r="H6" s="807" t="s">
        <v>1224</v>
      </c>
      <c r="I6" s="807" t="s">
        <v>1225</v>
      </c>
      <c r="J6" s="1011"/>
      <c r="K6" s="807" t="s">
        <v>1225</v>
      </c>
      <c r="L6" s="807">
        <v>-0.5</v>
      </c>
      <c r="M6" s="809" t="s">
        <v>58</v>
      </c>
      <c r="N6" s="807" t="s">
        <v>732</v>
      </c>
      <c r="O6" s="807" t="s">
        <v>732</v>
      </c>
      <c r="P6" s="807" t="s">
        <v>698</v>
      </c>
      <c r="Q6" s="1011"/>
      <c r="R6" s="1025" t="s">
        <v>1224</v>
      </c>
      <c r="S6" s="1026"/>
      <c r="T6" s="1026"/>
      <c r="U6" s="1026"/>
      <c r="V6" s="1027"/>
      <c r="W6" s="807" t="s">
        <v>731</v>
      </c>
      <c r="X6" s="1011"/>
      <c r="Y6" s="807" t="s">
        <v>731</v>
      </c>
    </row>
    <row r="7" spans="1:32" ht="13.25" customHeight="1" thickBot="1">
      <c r="A7" s="810" t="s">
        <v>1226</v>
      </c>
      <c r="B7" s="811" t="s">
        <v>1227</v>
      </c>
      <c r="C7" s="812">
        <v>1</v>
      </c>
      <c r="D7" s="812" t="s">
        <v>694</v>
      </c>
      <c r="E7" s="812" t="s">
        <v>694</v>
      </c>
      <c r="F7" s="812" t="s">
        <v>694</v>
      </c>
      <c r="G7" s="812" t="s">
        <v>694</v>
      </c>
      <c r="H7" s="812" t="s">
        <v>694</v>
      </c>
      <c r="I7" s="812" t="s">
        <v>694</v>
      </c>
      <c r="J7" s="812" t="s">
        <v>694</v>
      </c>
      <c r="K7" s="812" t="s">
        <v>694</v>
      </c>
      <c r="L7" s="812">
        <f>+L6-M7</f>
        <v>-1.5</v>
      </c>
      <c r="M7" s="813">
        <f>C7</f>
        <v>1</v>
      </c>
      <c r="N7" s="812" t="str">
        <f t="shared" ref="N7:O7" si="0">D7</f>
        <v>-</v>
      </c>
      <c r="O7" s="812" t="str">
        <f t="shared" si="0"/>
        <v>-</v>
      </c>
      <c r="P7" s="812" t="str">
        <f>F7</f>
        <v>-</v>
      </c>
      <c r="Q7" s="812" t="str">
        <f t="shared" ref="Q7:R14" si="1">G7</f>
        <v>-</v>
      </c>
      <c r="R7" s="812" t="str">
        <f t="shared" si="1"/>
        <v>-</v>
      </c>
      <c r="S7" s="812"/>
      <c r="T7" s="812"/>
      <c r="U7" s="812"/>
      <c r="V7" s="812"/>
      <c r="W7" s="812" t="str">
        <f>I7</f>
        <v>-</v>
      </c>
      <c r="X7" s="812" t="str">
        <f>J7</f>
        <v>-</v>
      </c>
      <c r="Y7" s="812" t="str">
        <f>K7</f>
        <v>-</v>
      </c>
      <c r="Z7" s="803">
        <f>ABS(TinhMong!B46)</f>
        <v>1.5</v>
      </c>
      <c r="AA7" s="803">
        <f t="shared" ref="AA7:AA16" si="2">ABS(Z7)</f>
        <v>1.5</v>
      </c>
      <c r="AB7" s="803">
        <f>(L6)/2</f>
        <v>-0.25</v>
      </c>
      <c r="AC7" s="804">
        <v>0</v>
      </c>
      <c r="AE7" s="804">
        <v>0</v>
      </c>
      <c r="AF7" s="804">
        <f>+AE7*M7</f>
        <v>0</v>
      </c>
    </row>
    <row r="8" spans="1:32" ht="13.25" customHeight="1" thickBot="1">
      <c r="A8" s="814">
        <v>1</v>
      </c>
      <c r="B8" s="815" t="s">
        <v>1228</v>
      </c>
      <c r="C8" s="812">
        <v>10</v>
      </c>
      <c r="D8" s="812">
        <v>17.100000000000001</v>
      </c>
      <c r="E8" s="812">
        <v>7.1</v>
      </c>
      <c r="F8" s="812">
        <v>73.3</v>
      </c>
      <c r="G8" s="812">
        <v>2</v>
      </c>
      <c r="H8" s="812" t="s">
        <v>1229</v>
      </c>
      <c r="I8" s="812">
        <v>5.8</v>
      </c>
      <c r="J8" s="812">
        <v>0.8</v>
      </c>
      <c r="K8" s="812">
        <v>860</v>
      </c>
      <c r="L8" s="812">
        <f t="shared" ref="L8:L14" si="3">+L7-M8</f>
        <v>-11.5</v>
      </c>
      <c r="M8" s="813">
        <f>C8</f>
        <v>10</v>
      </c>
      <c r="N8" s="812">
        <f>ROUND(D8*$AB$2,2)</f>
        <v>1.74</v>
      </c>
      <c r="O8" s="812">
        <f>ROUND(E8*$AB$2,2)</f>
        <v>0.72</v>
      </c>
      <c r="P8" s="812">
        <f>F8</f>
        <v>73.3</v>
      </c>
      <c r="Q8" s="812">
        <f t="shared" si="1"/>
        <v>2</v>
      </c>
      <c r="R8" s="812" t="str">
        <f t="shared" si="1"/>
        <v>6o30'</v>
      </c>
      <c r="S8" s="812">
        <v>6</v>
      </c>
      <c r="T8" s="812">
        <v>30</v>
      </c>
      <c r="U8" s="812" t="str">
        <f>S8&amp;"º"&amp;T8&amp;"'"</f>
        <v>6º30'</v>
      </c>
      <c r="V8" s="812">
        <f>ROUND(S8+T8/60,2)</f>
        <v>6.5</v>
      </c>
      <c r="W8" s="812">
        <f>ROUND(I8*$AB$2,2)</f>
        <v>0.59</v>
      </c>
      <c r="X8" s="812">
        <f>J8</f>
        <v>0.8</v>
      </c>
      <c r="Y8" s="812">
        <f>ROUND(K8*$AB$2,2)</f>
        <v>87.72</v>
      </c>
      <c r="Z8" s="803">
        <f>L6+Z7</f>
        <v>1</v>
      </c>
      <c r="AA8" s="803">
        <f t="shared" si="2"/>
        <v>1</v>
      </c>
      <c r="AB8" s="803">
        <f t="shared" ref="AB8:AB16" si="4">AB7-M7/2</f>
        <v>-0.75</v>
      </c>
      <c r="AC8" s="804">
        <v>0</v>
      </c>
      <c r="AD8" s="804">
        <f>AB4</f>
        <v>19.899999999999999</v>
      </c>
      <c r="AE8" s="804">
        <v>0</v>
      </c>
      <c r="AF8" s="804">
        <f>AE8*M7</f>
        <v>0</v>
      </c>
    </row>
    <row r="9" spans="1:32" ht="13.25" customHeight="1" thickBot="1">
      <c r="A9" s="814">
        <v>2</v>
      </c>
      <c r="B9" s="816" t="s">
        <v>1230</v>
      </c>
      <c r="C9" s="812">
        <v>4.5999999999999996</v>
      </c>
      <c r="D9" s="812">
        <v>20.100000000000001</v>
      </c>
      <c r="E9" s="812">
        <v>10.1</v>
      </c>
      <c r="F9" s="812">
        <v>24.1</v>
      </c>
      <c r="G9" s="812">
        <v>9</v>
      </c>
      <c r="H9" s="812" t="s">
        <v>1231</v>
      </c>
      <c r="I9" s="812">
        <v>17.3</v>
      </c>
      <c r="J9" s="812">
        <v>0.53</v>
      </c>
      <c r="K9" s="812">
        <v>8230</v>
      </c>
      <c r="L9" s="812">
        <f t="shared" si="3"/>
        <v>-16.100000000000001</v>
      </c>
      <c r="M9" s="813">
        <f t="shared" ref="M9:M14" si="5">C9</f>
        <v>4.5999999999999996</v>
      </c>
      <c r="N9" s="812">
        <f t="shared" ref="N9:O14" si="6">ROUND(D9*$AB$2,2)</f>
        <v>2.0499999999999998</v>
      </c>
      <c r="O9" s="812">
        <f t="shared" si="6"/>
        <v>1.03</v>
      </c>
      <c r="P9" s="812">
        <f t="shared" ref="P9:P14" si="7">F9</f>
        <v>24.1</v>
      </c>
      <c r="Q9" s="812">
        <f t="shared" si="1"/>
        <v>9</v>
      </c>
      <c r="R9" s="812" t="str">
        <f t="shared" si="1"/>
        <v>9o30’</v>
      </c>
      <c r="S9" s="812">
        <v>9</v>
      </c>
      <c r="T9" s="812">
        <v>30</v>
      </c>
      <c r="U9" s="812" t="str">
        <f t="shared" ref="U9:U14" si="8">S9&amp;"º"&amp;T9&amp;"'"</f>
        <v>9º30'</v>
      </c>
      <c r="V9" s="812">
        <f t="shared" ref="V9:V14" si="9">ROUND(S9+T9/60,2)</f>
        <v>9.5</v>
      </c>
      <c r="W9" s="812">
        <f t="shared" ref="W9:W14" si="10">ROUND(I9*$AB$2,2)</f>
        <v>1.76</v>
      </c>
      <c r="X9" s="812">
        <f t="shared" ref="X9:X14" si="11">J9</f>
        <v>0.53</v>
      </c>
      <c r="Y9" s="812">
        <f t="shared" ref="Y9:Y14" si="12">ROUND(K9*$AB$2,2)</f>
        <v>839.46</v>
      </c>
      <c r="Z9" s="803">
        <f>-Z8+M7</f>
        <v>0</v>
      </c>
      <c r="AA9" s="803">
        <f t="shared" si="2"/>
        <v>0</v>
      </c>
      <c r="AB9" s="803">
        <f t="shared" si="4"/>
        <v>-5.75</v>
      </c>
      <c r="AC9" s="804">
        <f t="shared" ref="AC9:AC16" si="13">IF(AD9&gt;0,M8,M8+AD9)</f>
        <v>10</v>
      </c>
      <c r="AD9" s="804">
        <f t="shared" ref="AD9:AD16" si="14">AD8-M8</f>
        <v>9.8999999999999986</v>
      </c>
      <c r="AE9" s="804">
        <v>0.45</v>
      </c>
      <c r="AF9" s="804">
        <f>AE9*M8</f>
        <v>4.5</v>
      </c>
    </row>
    <row r="10" spans="1:32" ht="13.25" customHeight="1" thickBot="1">
      <c r="A10" s="814">
        <v>3</v>
      </c>
      <c r="B10" s="817" t="s">
        <v>1232</v>
      </c>
      <c r="C10" s="812">
        <v>1.3</v>
      </c>
      <c r="D10" s="812">
        <v>20.2</v>
      </c>
      <c r="E10" s="812">
        <v>10.199999999999999</v>
      </c>
      <c r="F10" s="812">
        <v>17.600000000000001</v>
      </c>
      <c r="G10" s="812">
        <v>19</v>
      </c>
      <c r="H10" s="812" t="s">
        <v>1233</v>
      </c>
      <c r="I10" s="812">
        <v>3.3</v>
      </c>
      <c r="J10" s="812" t="s">
        <v>694</v>
      </c>
      <c r="K10" s="812">
        <v>10340</v>
      </c>
      <c r="L10" s="812">
        <f t="shared" si="3"/>
        <v>-17.400000000000002</v>
      </c>
      <c r="M10" s="813">
        <f t="shared" si="5"/>
        <v>1.3</v>
      </c>
      <c r="N10" s="812">
        <f t="shared" si="6"/>
        <v>2.06</v>
      </c>
      <c r="O10" s="812">
        <f t="shared" si="6"/>
        <v>1.04</v>
      </c>
      <c r="P10" s="812">
        <f t="shared" si="7"/>
        <v>17.600000000000001</v>
      </c>
      <c r="Q10" s="812">
        <f t="shared" si="1"/>
        <v>19</v>
      </c>
      <c r="R10" s="812" t="str">
        <f t="shared" si="1"/>
        <v>24o30’</v>
      </c>
      <c r="S10" s="812">
        <v>24</v>
      </c>
      <c r="T10" s="812">
        <v>30</v>
      </c>
      <c r="U10" s="812" t="str">
        <f t="shared" si="8"/>
        <v>24º30'</v>
      </c>
      <c r="V10" s="812">
        <f t="shared" si="9"/>
        <v>24.5</v>
      </c>
      <c r="W10" s="812">
        <f t="shared" si="10"/>
        <v>0.34</v>
      </c>
      <c r="X10" s="812" t="str">
        <f t="shared" si="11"/>
        <v>-</v>
      </c>
      <c r="Y10" s="812">
        <f t="shared" si="12"/>
        <v>1054.68</v>
      </c>
      <c r="Z10" s="803">
        <f t="shared" ref="Z10:Z16" si="15">Z9-M8</f>
        <v>-10</v>
      </c>
      <c r="AA10" s="803">
        <f t="shared" si="2"/>
        <v>10</v>
      </c>
      <c r="AB10" s="803">
        <f t="shared" si="4"/>
        <v>-8.0500000000000007</v>
      </c>
      <c r="AC10" s="804">
        <f t="shared" si="13"/>
        <v>4.5999999999999996</v>
      </c>
      <c r="AD10" s="804">
        <f t="shared" si="14"/>
        <v>5.2999999999999989</v>
      </c>
      <c r="AE10" s="804">
        <v>1.2</v>
      </c>
      <c r="AF10" s="804">
        <f>AE10*M9</f>
        <v>5.52</v>
      </c>
    </row>
    <row r="11" spans="1:32" s="877" customFormat="1" ht="13.25" customHeight="1" thickBot="1">
      <c r="A11" s="872">
        <v>4</v>
      </c>
      <c r="B11" s="873" t="s">
        <v>1234</v>
      </c>
      <c r="C11" s="874">
        <v>10.4</v>
      </c>
      <c r="D11" s="874">
        <v>19.7</v>
      </c>
      <c r="E11" s="874">
        <v>9.9</v>
      </c>
      <c r="F11" s="874">
        <v>22.5</v>
      </c>
      <c r="G11" s="874">
        <v>16</v>
      </c>
      <c r="H11" s="874" t="s">
        <v>1235</v>
      </c>
      <c r="I11" s="875">
        <v>27</v>
      </c>
      <c r="J11" s="874">
        <v>0.5</v>
      </c>
      <c r="K11" s="874">
        <v>5340</v>
      </c>
      <c r="L11" s="875">
        <f t="shared" si="3"/>
        <v>-27.800000000000004</v>
      </c>
      <c r="M11" s="875">
        <f t="shared" si="5"/>
        <v>10.4</v>
      </c>
      <c r="N11" s="875">
        <f t="shared" si="6"/>
        <v>2.0099999999999998</v>
      </c>
      <c r="O11" s="875">
        <f t="shared" si="6"/>
        <v>1.01</v>
      </c>
      <c r="P11" s="875">
        <f t="shared" si="7"/>
        <v>22.5</v>
      </c>
      <c r="Q11" s="875">
        <f t="shared" si="1"/>
        <v>16</v>
      </c>
      <c r="R11" s="875" t="str">
        <f t="shared" si="1"/>
        <v>9o40’</v>
      </c>
      <c r="S11" s="875">
        <v>9</v>
      </c>
      <c r="T11" s="875">
        <v>40</v>
      </c>
      <c r="U11" s="875" t="str">
        <f t="shared" si="8"/>
        <v>9º40'</v>
      </c>
      <c r="V11" s="875">
        <f t="shared" si="9"/>
        <v>9.67</v>
      </c>
      <c r="W11" s="875">
        <f t="shared" si="10"/>
        <v>2.75</v>
      </c>
      <c r="X11" s="875">
        <f t="shared" si="11"/>
        <v>0.5</v>
      </c>
      <c r="Y11" s="875">
        <f t="shared" si="12"/>
        <v>544.67999999999995</v>
      </c>
      <c r="Z11" s="803">
        <f t="shared" si="15"/>
        <v>-14.6</v>
      </c>
      <c r="AA11" s="803">
        <f t="shared" si="2"/>
        <v>14.6</v>
      </c>
      <c r="AB11" s="803">
        <f t="shared" si="4"/>
        <v>-8.7000000000000011</v>
      </c>
      <c r="AC11" s="804">
        <f t="shared" si="13"/>
        <v>1.3</v>
      </c>
      <c r="AD11" s="804">
        <f t="shared" si="14"/>
        <v>3.9999999999999991</v>
      </c>
      <c r="AE11" s="804">
        <v>4.8</v>
      </c>
      <c r="AF11" s="804">
        <f>AE11*M10</f>
        <v>6.24</v>
      </c>
    </row>
    <row r="12" spans="1:32" ht="13.25" customHeight="1" thickBot="1">
      <c r="A12" s="819">
        <v>5</v>
      </c>
      <c r="B12" s="817" t="s">
        <v>1236</v>
      </c>
      <c r="C12" s="820">
        <v>5.8</v>
      </c>
      <c r="D12" s="820">
        <v>20</v>
      </c>
      <c r="E12" s="820">
        <v>10.1</v>
      </c>
      <c r="F12" s="820">
        <v>23.8</v>
      </c>
      <c r="G12" s="820">
        <v>21</v>
      </c>
      <c r="H12" s="820" t="s">
        <v>1237</v>
      </c>
      <c r="I12" s="812">
        <v>23.8</v>
      </c>
      <c r="J12" s="820">
        <v>0.2</v>
      </c>
      <c r="K12" s="820">
        <v>8500</v>
      </c>
      <c r="L12" s="812">
        <f t="shared" si="3"/>
        <v>-33.6</v>
      </c>
      <c r="M12" s="813">
        <f t="shared" si="5"/>
        <v>5.8</v>
      </c>
      <c r="N12" s="812">
        <f t="shared" si="6"/>
        <v>2.04</v>
      </c>
      <c r="O12" s="812">
        <f t="shared" si="6"/>
        <v>1.03</v>
      </c>
      <c r="P12" s="812">
        <f t="shared" si="7"/>
        <v>23.8</v>
      </c>
      <c r="Q12" s="812">
        <f t="shared" si="1"/>
        <v>21</v>
      </c>
      <c r="R12" s="812" t="str">
        <f t="shared" si="1"/>
        <v>15o20’</v>
      </c>
      <c r="S12" s="812">
        <v>15</v>
      </c>
      <c r="T12" s="812">
        <v>20</v>
      </c>
      <c r="U12" s="812" t="str">
        <f t="shared" si="8"/>
        <v>15º20'</v>
      </c>
      <c r="V12" s="812">
        <f t="shared" si="9"/>
        <v>15.33</v>
      </c>
      <c r="W12" s="812">
        <f t="shared" si="10"/>
        <v>2.4300000000000002</v>
      </c>
      <c r="X12" s="812">
        <f t="shared" si="11"/>
        <v>0.2</v>
      </c>
      <c r="Y12" s="812">
        <f t="shared" si="12"/>
        <v>867</v>
      </c>
      <c r="Z12" s="876">
        <f t="shared" si="15"/>
        <v>-15.9</v>
      </c>
      <c r="AA12" s="876">
        <f t="shared" si="2"/>
        <v>15.9</v>
      </c>
      <c r="AB12" s="803">
        <f t="shared" si="4"/>
        <v>-13.900000000000002</v>
      </c>
      <c r="AC12" s="804">
        <f t="shared" si="13"/>
        <v>3.9999999999999991</v>
      </c>
      <c r="AD12" s="804">
        <f t="shared" si="14"/>
        <v>-6.4000000000000012</v>
      </c>
      <c r="AE12" s="804">
        <v>2.65</v>
      </c>
      <c r="AF12" s="804">
        <f>AE12*M11</f>
        <v>27.56</v>
      </c>
    </row>
    <row r="13" spans="1:32" ht="13.25" customHeight="1" thickBot="1">
      <c r="A13" s="814">
        <v>6</v>
      </c>
      <c r="B13" s="817" t="s">
        <v>1238</v>
      </c>
      <c r="C13" s="812">
        <v>14.9</v>
      </c>
      <c r="D13" s="812">
        <v>20.100000000000001</v>
      </c>
      <c r="E13" s="812">
        <v>10.199999999999999</v>
      </c>
      <c r="F13" s="812">
        <v>21.3</v>
      </c>
      <c r="G13" s="812">
        <v>27</v>
      </c>
      <c r="H13" s="812" t="s">
        <v>1239</v>
      </c>
      <c r="I13" s="812">
        <v>7.4</v>
      </c>
      <c r="J13" s="812" t="s">
        <v>694</v>
      </c>
      <c r="K13" s="812">
        <v>11420</v>
      </c>
      <c r="L13" s="812">
        <f t="shared" si="3"/>
        <v>-48.5</v>
      </c>
      <c r="M13" s="813">
        <f t="shared" si="5"/>
        <v>14.9</v>
      </c>
      <c r="N13" s="812">
        <f t="shared" si="6"/>
        <v>2.0499999999999998</v>
      </c>
      <c r="O13" s="812">
        <f t="shared" si="6"/>
        <v>1.04</v>
      </c>
      <c r="P13" s="812">
        <f t="shared" si="7"/>
        <v>21.3</v>
      </c>
      <c r="Q13" s="812">
        <f t="shared" si="1"/>
        <v>27</v>
      </c>
      <c r="R13" s="812" t="str">
        <f t="shared" si="1"/>
        <v>21o30’</v>
      </c>
      <c r="S13" s="812">
        <v>21</v>
      </c>
      <c r="T13" s="812">
        <v>30</v>
      </c>
      <c r="U13" s="812" t="str">
        <f t="shared" si="8"/>
        <v>21º30'</v>
      </c>
      <c r="V13" s="812">
        <f t="shared" si="9"/>
        <v>21.5</v>
      </c>
      <c r="W13" s="812">
        <f t="shared" si="10"/>
        <v>0.75</v>
      </c>
      <c r="X13" s="812" t="str">
        <f t="shared" si="11"/>
        <v>-</v>
      </c>
      <c r="Y13" s="812">
        <f t="shared" si="12"/>
        <v>1164.8399999999999</v>
      </c>
      <c r="Z13" s="803">
        <f t="shared" si="15"/>
        <v>-26.3</v>
      </c>
      <c r="AA13" s="803">
        <f t="shared" si="2"/>
        <v>26.3</v>
      </c>
      <c r="AB13" s="803">
        <f t="shared" si="4"/>
        <v>-16.8</v>
      </c>
      <c r="AC13" s="804">
        <f t="shared" si="13"/>
        <v>-6.4000000000000012</v>
      </c>
      <c r="AD13" s="804">
        <f t="shared" si="14"/>
        <v>-12.200000000000001</v>
      </c>
    </row>
    <row r="14" spans="1:32" ht="13.25" customHeight="1" thickBot="1">
      <c r="A14" s="810">
        <v>7</v>
      </c>
      <c r="B14" s="818" t="s">
        <v>1240</v>
      </c>
      <c r="C14" s="812">
        <v>20.9</v>
      </c>
      <c r="D14" s="812">
        <v>20.2</v>
      </c>
      <c r="E14" s="812">
        <v>10.3</v>
      </c>
      <c r="F14" s="812">
        <v>18.7</v>
      </c>
      <c r="G14" s="812">
        <v>30</v>
      </c>
      <c r="H14" s="821" t="s">
        <v>1241</v>
      </c>
      <c r="I14" s="812">
        <v>3.1</v>
      </c>
      <c r="J14" s="812" t="s">
        <v>694</v>
      </c>
      <c r="K14" s="812">
        <v>14562</v>
      </c>
      <c r="L14" s="812">
        <f t="shared" si="3"/>
        <v>-69.400000000000006</v>
      </c>
      <c r="M14" s="813">
        <f t="shared" si="5"/>
        <v>20.9</v>
      </c>
      <c r="N14" s="812">
        <f t="shared" si="6"/>
        <v>2.06</v>
      </c>
      <c r="O14" s="812">
        <f t="shared" si="6"/>
        <v>1.05</v>
      </c>
      <c r="P14" s="812">
        <f t="shared" si="7"/>
        <v>18.7</v>
      </c>
      <c r="Q14" s="812">
        <f t="shared" si="1"/>
        <v>30</v>
      </c>
      <c r="R14" s="812" t="str">
        <f t="shared" si="1"/>
        <v>27o00’</v>
      </c>
      <c r="S14" s="812">
        <v>27</v>
      </c>
      <c r="T14" s="812">
        <v>0</v>
      </c>
      <c r="U14" s="812" t="str">
        <f t="shared" si="8"/>
        <v>27º0'</v>
      </c>
      <c r="V14" s="812">
        <f t="shared" si="9"/>
        <v>27</v>
      </c>
      <c r="W14" s="812">
        <f t="shared" si="10"/>
        <v>0.32</v>
      </c>
      <c r="X14" s="812" t="str">
        <f t="shared" si="11"/>
        <v>-</v>
      </c>
      <c r="Y14" s="812">
        <f t="shared" si="12"/>
        <v>1485.32</v>
      </c>
      <c r="Z14" s="803">
        <f t="shared" si="15"/>
        <v>-32.1</v>
      </c>
      <c r="AA14" s="803">
        <f t="shared" si="2"/>
        <v>32.1</v>
      </c>
      <c r="AB14" s="803">
        <f t="shared" si="4"/>
        <v>-24.25</v>
      </c>
      <c r="AC14" s="804">
        <f t="shared" si="13"/>
        <v>-12.200000000000001</v>
      </c>
      <c r="AD14" s="804">
        <f t="shared" si="14"/>
        <v>-27.1</v>
      </c>
    </row>
    <row r="15" spans="1:32" ht="13.25" customHeight="1">
      <c r="Q15"/>
      <c r="V15" s="804">
        <f>(M8*V8+V9*M9+M10*V10+V11*TinhMong!B49)/(M8+M9+M10+TinhMong!B49)</f>
        <v>9.0065326633165839</v>
      </c>
      <c r="W15" s="885">
        <f>+V15/4</f>
        <v>2.251633165829146</v>
      </c>
      <c r="Z15" s="803">
        <f t="shared" si="15"/>
        <v>-47</v>
      </c>
      <c r="AA15" s="803">
        <f t="shared" si="2"/>
        <v>47</v>
      </c>
      <c r="AB15" s="803">
        <f t="shared" si="4"/>
        <v>-34.700000000000003</v>
      </c>
      <c r="AC15" s="804">
        <f t="shared" si="13"/>
        <v>-27.1</v>
      </c>
      <c r="AD15" s="804">
        <f t="shared" si="14"/>
        <v>-48</v>
      </c>
    </row>
    <row r="16" spans="1:32" ht="13.25" customHeight="1">
      <c r="M16" s="804">
        <f>(O8*M8+O9*M9+O10*M10+O11*TinhMong!B49)/(TinhMong!B49+M8+M9+M10)</f>
        <v>0.87085427135678373</v>
      </c>
      <c r="N16" s="804">
        <f>(M8*N8+N9*M9+N10*M10+TinhMong!B49*'Co Ly dat'!N11)</f>
        <v>37.548000000000002</v>
      </c>
      <c r="Z16" s="803">
        <f t="shared" si="15"/>
        <v>-67.900000000000006</v>
      </c>
      <c r="AA16" s="803">
        <f t="shared" si="2"/>
        <v>67.900000000000006</v>
      </c>
      <c r="AB16" s="803">
        <f t="shared" si="4"/>
        <v>-34.700000000000003</v>
      </c>
      <c r="AC16" s="804">
        <f t="shared" si="13"/>
        <v>-48</v>
      </c>
      <c r="AD16" s="804">
        <f t="shared" si="14"/>
        <v>-48</v>
      </c>
    </row>
    <row r="17" spans="1:34" ht="13.25" customHeight="1">
      <c r="Z17" s="1020" t="s">
        <v>1305</v>
      </c>
      <c r="AA17" s="1021"/>
      <c r="AB17" s="879" t="e">
        <f>IF(AF17=#REF!," ",AF17-#REF!)</f>
        <v>#REF!</v>
      </c>
      <c r="AC17" s="880">
        <v>2</v>
      </c>
      <c r="AD17" s="881" t="s">
        <v>1274</v>
      </c>
      <c r="AE17" s="882" t="e">
        <f>#REF!</f>
        <v>#REF!</v>
      </c>
      <c r="AF17" s="883" t="e">
        <f>ABS(#REF!+#REF!+#REF!-#REF!-#REF!-#REF!)</f>
        <v>#REF!</v>
      </c>
      <c r="AG17" s="884">
        <v>0</v>
      </c>
      <c r="AH17" s="878"/>
    </row>
    <row r="19" spans="1:34" ht="13.25" customHeight="1">
      <c r="F19" s="804" t="s">
        <v>1217</v>
      </c>
      <c r="G19" s="804" t="s">
        <v>1312</v>
      </c>
      <c r="H19" s="804" t="s">
        <v>1313</v>
      </c>
      <c r="I19" s="804" t="s">
        <v>621</v>
      </c>
      <c r="N19" s="804" t="s">
        <v>1222</v>
      </c>
    </row>
    <row r="20" spans="1:34" ht="13.25" customHeight="1">
      <c r="A20" s="804">
        <v>1</v>
      </c>
      <c r="B20" s="804" t="s">
        <v>1308</v>
      </c>
      <c r="C20" s="804">
        <v>2.4</v>
      </c>
      <c r="D20" s="804">
        <v>17.899999999999999</v>
      </c>
      <c r="F20" s="804">
        <v>36</v>
      </c>
      <c r="G20" s="804">
        <v>41</v>
      </c>
      <c r="H20" s="804">
        <v>24.5</v>
      </c>
      <c r="I20" s="885">
        <f>(F20-H20)/(G20-H20)</f>
        <v>0.69696969696969702</v>
      </c>
      <c r="J20" s="804">
        <v>17</v>
      </c>
      <c r="K20" s="804">
        <v>20</v>
      </c>
      <c r="M20" s="804">
        <v>6800</v>
      </c>
      <c r="N20" s="804">
        <f>C20</f>
        <v>2.4</v>
      </c>
    </row>
    <row r="21" spans="1:34" ht="13.25" customHeight="1">
      <c r="A21" s="804">
        <v>2</v>
      </c>
      <c r="B21" s="804" t="s">
        <v>1308</v>
      </c>
      <c r="C21" s="804">
        <v>6.8</v>
      </c>
      <c r="D21" s="804">
        <v>17.600000000000001</v>
      </c>
      <c r="F21" s="804">
        <v>40</v>
      </c>
      <c r="G21" s="804">
        <v>46</v>
      </c>
      <c r="H21" s="804">
        <v>28</v>
      </c>
      <c r="I21" s="885">
        <f t="shared" ref="I21:I22" si="16">(F21-H21)/(G21-H21)</f>
        <v>0.66666666666666663</v>
      </c>
      <c r="J21" s="804">
        <v>16</v>
      </c>
      <c r="K21" s="804">
        <v>25</v>
      </c>
      <c r="M21" s="804">
        <v>6300</v>
      </c>
      <c r="N21" s="804">
        <f>+N20+C21</f>
        <v>9.1999999999999993</v>
      </c>
    </row>
    <row r="22" spans="1:34" ht="13.25" customHeight="1">
      <c r="A22" s="804">
        <v>3</v>
      </c>
      <c r="B22" s="804" t="s">
        <v>1309</v>
      </c>
      <c r="C22" s="804">
        <v>8.6999999999999993</v>
      </c>
      <c r="D22" s="804">
        <v>18.100000000000001</v>
      </c>
      <c r="F22" s="804">
        <v>28</v>
      </c>
      <c r="G22" s="804">
        <v>30</v>
      </c>
      <c r="H22" s="804">
        <v>24</v>
      </c>
      <c r="I22" s="885">
        <f t="shared" si="16"/>
        <v>0.66666666666666663</v>
      </c>
      <c r="J22" s="804">
        <v>21</v>
      </c>
      <c r="K22" s="804">
        <v>7</v>
      </c>
      <c r="M22" s="804">
        <v>6500</v>
      </c>
      <c r="N22" s="804">
        <f t="shared" ref="N22:N24" si="17">+N21+C22</f>
        <v>17.899999999999999</v>
      </c>
    </row>
    <row r="23" spans="1:34" ht="13.25" customHeight="1">
      <c r="A23" s="804">
        <v>4</v>
      </c>
      <c r="B23" s="804" t="s">
        <v>1310</v>
      </c>
      <c r="C23" s="804">
        <v>6</v>
      </c>
      <c r="D23" s="804">
        <v>18.5</v>
      </c>
      <c r="F23" s="804">
        <v>24</v>
      </c>
      <c r="G23" s="804">
        <v>0</v>
      </c>
      <c r="J23" s="804">
        <v>30</v>
      </c>
      <c r="M23" s="804">
        <v>12000</v>
      </c>
      <c r="N23" s="804">
        <f t="shared" si="17"/>
        <v>23.9</v>
      </c>
    </row>
    <row r="24" spans="1:34" ht="13.25" customHeight="1">
      <c r="A24" s="804">
        <v>5</v>
      </c>
      <c r="B24" s="804" t="s">
        <v>1311</v>
      </c>
      <c r="C24" s="804">
        <v>10</v>
      </c>
      <c r="D24" s="804">
        <v>18</v>
      </c>
      <c r="F24" s="804">
        <v>18</v>
      </c>
      <c r="G24" s="804">
        <v>0</v>
      </c>
      <c r="J24" s="804">
        <v>35</v>
      </c>
      <c r="M24" s="804">
        <v>25000</v>
      </c>
      <c r="N24" s="804">
        <f t="shared" si="17"/>
        <v>33.9</v>
      </c>
    </row>
    <row r="25" spans="1:34" ht="13.25" customHeight="1">
      <c r="P25" s="804">
        <v>16.899999999999999</v>
      </c>
      <c r="Q25" s="804">
        <f>+P25-1.5+3</f>
        <v>18.399999999999999</v>
      </c>
      <c r="V25" s="804">
        <v>18</v>
      </c>
    </row>
    <row r="26" spans="1:34" ht="13.25" customHeight="1">
      <c r="V26" s="804">
        <f>+V25-1.5-0.2</f>
        <v>16.3</v>
      </c>
    </row>
    <row r="32" spans="1:34" ht="13.25" customHeight="1">
      <c r="AC32" s="804">
        <f>(165+150)/2</f>
        <v>157.5</v>
      </c>
    </row>
    <row r="33" spans="26:26" ht="13.25" customHeight="1">
      <c r="Z33" s="804">
        <v>16.899999999999999</v>
      </c>
    </row>
    <row r="34" spans="26:26" ht="13.25" customHeight="1">
      <c r="Z34" s="804">
        <v>0.5</v>
      </c>
    </row>
    <row r="35" spans="26:26" ht="13.25" customHeight="1">
      <c r="Z35" s="804">
        <v>4</v>
      </c>
    </row>
  </sheetData>
  <mergeCells count="27">
    <mergeCell ref="F1:F4"/>
    <mergeCell ref="A1:A6"/>
    <mergeCell ref="B1:B6"/>
    <mergeCell ref="C1:C4"/>
    <mergeCell ref="D1:D4"/>
    <mergeCell ref="E1:E4"/>
    <mergeCell ref="H1:H4"/>
    <mergeCell ref="I1:I4"/>
    <mergeCell ref="J1:J4"/>
    <mergeCell ref="K1:K4"/>
    <mergeCell ref="M1:M4"/>
    <mergeCell ref="Z17:AA17"/>
    <mergeCell ref="X1:X4"/>
    <mergeCell ref="Y1:Y4"/>
    <mergeCell ref="G5:G6"/>
    <mergeCell ref="J5:J6"/>
    <mergeCell ref="Q5:Q6"/>
    <mergeCell ref="R5:V5"/>
    <mergeCell ref="X5:X6"/>
    <mergeCell ref="R6:V6"/>
    <mergeCell ref="N1:N4"/>
    <mergeCell ref="O1:O4"/>
    <mergeCell ref="P1:P4"/>
    <mergeCell ref="Q1:Q4"/>
    <mergeCell ref="R1:V4"/>
    <mergeCell ref="W1:W4"/>
    <mergeCell ref="G1:G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C88C1-1BE4-44E0-BC59-847F0CFCBC83}">
  <sheetPr codeName="Sheet9"/>
  <dimension ref="A1:N15"/>
  <sheetViews>
    <sheetView workbookViewId="0">
      <selection activeCell="C4" sqref="C4:C8"/>
    </sheetView>
  </sheetViews>
  <sheetFormatPr defaultRowHeight="14"/>
  <cols>
    <col min="1" max="1" width="8.33203125" bestFit="1" customWidth="1"/>
    <col min="2" max="2" width="10.75" bestFit="1" customWidth="1"/>
    <col min="3" max="3" width="19.9140625" customWidth="1"/>
  </cols>
  <sheetData>
    <row r="1" spans="1:14" ht="20" thickBot="1">
      <c r="A1" s="1043" t="s">
        <v>1338</v>
      </c>
      <c r="B1" s="1043" t="s">
        <v>1337</v>
      </c>
      <c r="C1" s="1043" t="s">
        <v>1336</v>
      </c>
      <c r="D1" s="901" t="s">
        <v>1344</v>
      </c>
      <c r="E1" s="901" t="s">
        <v>1285</v>
      </c>
      <c r="F1" s="902" t="s">
        <v>1345</v>
      </c>
      <c r="G1" s="901" t="s">
        <v>1346</v>
      </c>
    </row>
    <row r="2" spans="1:14" ht="19" thickBot="1">
      <c r="A2" s="1044"/>
      <c r="B2" s="1044"/>
      <c r="C2" s="1044"/>
      <c r="D2" s="903" t="s">
        <v>6</v>
      </c>
      <c r="E2" s="903" t="s">
        <v>6</v>
      </c>
      <c r="F2" s="904" t="s">
        <v>1347</v>
      </c>
      <c r="G2" s="903" t="s">
        <v>843</v>
      </c>
    </row>
    <row r="3" spans="1:14" ht="17" thickBot="1">
      <c r="A3" s="895" t="s">
        <v>1330</v>
      </c>
      <c r="B3" s="896" t="s">
        <v>694</v>
      </c>
      <c r="C3" s="896" t="s">
        <v>694</v>
      </c>
      <c r="D3" s="894">
        <v>1.5</v>
      </c>
      <c r="E3" s="894">
        <v>0.75</v>
      </c>
      <c r="F3" s="896" t="s">
        <v>694</v>
      </c>
      <c r="G3" s="896" t="s">
        <v>694</v>
      </c>
    </row>
    <row r="4" spans="1:14" ht="20" customHeight="1" thickBot="1">
      <c r="A4" s="1037" t="s">
        <v>1331</v>
      </c>
      <c r="B4" s="1037" t="s">
        <v>1292</v>
      </c>
      <c r="C4" s="1039" t="s">
        <v>1293</v>
      </c>
      <c r="D4" s="894">
        <v>2</v>
      </c>
      <c r="E4" s="894">
        <v>2.5</v>
      </c>
      <c r="F4" s="894">
        <v>0.6</v>
      </c>
      <c r="G4" s="897">
        <f>F4*D4</f>
        <v>1.2</v>
      </c>
      <c r="H4" s="9">
        <f>+G4+H3</f>
        <v>1.2</v>
      </c>
      <c r="I4">
        <f>E3+D3/2+D4/2</f>
        <v>2.5</v>
      </c>
    </row>
    <row r="5" spans="1:14" ht="17" thickBot="1">
      <c r="A5" s="1041"/>
      <c r="B5" s="1041"/>
      <c r="C5" s="1042"/>
      <c r="D5" s="894">
        <v>2</v>
      </c>
      <c r="E5" s="894">
        <v>4.5</v>
      </c>
      <c r="F5" s="894">
        <v>0.8</v>
      </c>
      <c r="G5" s="897">
        <f t="shared" ref="G5:G14" si="0">F5*D5</f>
        <v>1.6</v>
      </c>
      <c r="H5" s="9">
        <f t="shared" ref="H5:H14" si="1">+G5+H4</f>
        <v>2.8</v>
      </c>
    </row>
    <row r="6" spans="1:14" ht="17" thickBot="1">
      <c r="A6" s="1041"/>
      <c r="B6" s="1041"/>
      <c r="C6" s="1042"/>
      <c r="D6" s="894">
        <v>2</v>
      </c>
      <c r="E6" s="894">
        <v>6.5</v>
      </c>
      <c r="F6" s="894">
        <v>0.8</v>
      </c>
      <c r="G6" s="897">
        <f t="shared" si="0"/>
        <v>1.6</v>
      </c>
      <c r="H6" s="9">
        <f t="shared" si="1"/>
        <v>4.4000000000000004</v>
      </c>
    </row>
    <row r="7" spans="1:14" ht="17" thickBot="1">
      <c r="A7" s="1041"/>
      <c r="B7" s="1041"/>
      <c r="C7" s="1042"/>
      <c r="D7" s="894">
        <v>2</v>
      </c>
      <c r="E7" s="894">
        <v>8.5</v>
      </c>
      <c r="F7" s="894">
        <v>0.8</v>
      </c>
      <c r="G7" s="897">
        <f t="shared" si="0"/>
        <v>1.6</v>
      </c>
      <c r="H7" s="9">
        <f t="shared" si="1"/>
        <v>6</v>
      </c>
    </row>
    <row r="8" spans="1:14" ht="17" thickBot="1">
      <c r="A8" s="1038"/>
      <c r="B8" s="1038"/>
      <c r="C8" s="1040"/>
      <c r="D8" s="894">
        <v>2</v>
      </c>
      <c r="E8" s="894">
        <v>10.5</v>
      </c>
      <c r="F8" s="894">
        <v>0.8</v>
      </c>
      <c r="G8" s="897">
        <f t="shared" si="0"/>
        <v>1.6</v>
      </c>
      <c r="H8" s="9">
        <f t="shared" si="1"/>
        <v>7.6</v>
      </c>
      <c r="N8">
        <f>1.2*7.3</f>
        <v>8.76</v>
      </c>
    </row>
    <row r="9" spans="1:14" ht="17" customHeight="1" thickBot="1">
      <c r="A9" s="1037" t="s">
        <v>1332</v>
      </c>
      <c r="B9" s="1037" t="s">
        <v>1292</v>
      </c>
      <c r="C9" s="1039" t="s">
        <v>1294</v>
      </c>
      <c r="D9" s="894">
        <v>2</v>
      </c>
      <c r="E9" s="894">
        <v>12.5</v>
      </c>
      <c r="F9" s="894">
        <v>2.5099999999999998</v>
      </c>
      <c r="G9" s="897">
        <f t="shared" si="0"/>
        <v>5.0199999999999996</v>
      </c>
      <c r="H9" s="9">
        <f t="shared" si="1"/>
        <v>12.62</v>
      </c>
      <c r="N9">
        <f>1.2*2.3</f>
        <v>2.76</v>
      </c>
    </row>
    <row r="10" spans="1:14" ht="17" thickBot="1">
      <c r="A10" s="1041"/>
      <c r="B10" s="1041"/>
      <c r="C10" s="1042"/>
      <c r="D10" s="894">
        <v>2</v>
      </c>
      <c r="E10" s="894">
        <v>14.5</v>
      </c>
      <c r="F10" s="894">
        <v>2.5499999999999998</v>
      </c>
      <c r="G10" s="897">
        <f t="shared" si="0"/>
        <v>5.0999999999999996</v>
      </c>
      <c r="H10" s="9">
        <f t="shared" si="1"/>
        <v>17.72</v>
      </c>
    </row>
    <row r="11" spans="1:14" ht="17" thickBot="1">
      <c r="A11" s="1038"/>
      <c r="B11" s="1038"/>
      <c r="C11" s="1040"/>
      <c r="D11" s="894">
        <v>0.6</v>
      </c>
      <c r="E11" s="894">
        <v>15.8</v>
      </c>
      <c r="F11" s="894">
        <v>2.5823999999999998</v>
      </c>
      <c r="G11" s="897">
        <f t="shared" si="0"/>
        <v>1.5494399999999999</v>
      </c>
      <c r="H11" s="9">
        <f t="shared" si="1"/>
        <v>19.269439999999999</v>
      </c>
    </row>
    <row r="12" spans="1:14" ht="17" thickBot="1">
      <c r="A12" s="898" t="s">
        <v>1333</v>
      </c>
      <c r="B12" s="896" t="s">
        <v>1295</v>
      </c>
      <c r="C12" s="899" t="s">
        <v>1296</v>
      </c>
      <c r="D12" s="894">
        <v>1.3</v>
      </c>
      <c r="E12" s="894">
        <v>16.75</v>
      </c>
      <c r="F12" s="894">
        <v>7.4450000000000003</v>
      </c>
      <c r="G12" s="897">
        <f t="shared" si="0"/>
        <v>9.6785000000000014</v>
      </c>
      <c r="H12" s="9">
        <f t="shared" si="1"/>
        <v>28.947940000000003</v>
      </c>
    </row>
    <row r="13" spans="1:14" ht="17" thickBot="1">
      <c r="A13" s="1037" t="s">
        <v>1334</v>
      </c>
      <c r="B13" s="1037" t="s">
        <v>1297</v>
      </c>
      <c r="C13" s="1039" t="s">
        <v>1298</v>
      </c>
      <c r="D13" s="894">
        <v>2</v>
      </c>
      <c r="E13" s="894">
        <v>18.399999999999999</v>
      </c>
      <c r="F13" s="894">
        <v>2.9359999999999999</v>
      </c>
      <c r="G13" s="897">
        <f t="shared" si="0"/>
        <v>5.8719999999999999</v>
      </c>
      <c r="H13" s="9">
        <f t="shared" si="1"/>
        <v>34.819940000000003</v>
      </c>
    </row>
    <row r="14" spans="1:14" ht="17" thickBot="1">
      <c r="A14" s="1038"/>
      <c r="B14" s="1038"/>
      <c r="C14" s="1040"/>
      <c r="D14" s="894">
        <v>1.5</v>
      </c>
      <c r="E14" s="894">
        <v>20.149999999999999</v>
      </c>
      <c r="F14" s="894">
        <v>3.0059999999999998</v>
      </c>
      <c r="G14" s="897">
        <f t="shared" si="0"/>
        <v>4.5089999999999995</v>
      </c>
      <c r="H14" s="9">
        <f t="shared" si="1"/>
        <v>39.328940000000003</v>
      </c>
    </row>
    <row r="15" spans="1:14" ht="17" thickBot="1">
      <c r="A15" s="900"/>
      <c r="B15" s="900"/>
      <c r="C15" s="900"/>
      <c r="D15" s="900"/>
      <c r="E15" s="900"/>
      <c r="F15" s="905" t="s">
        <v>657</v>
      </c>
      <c r="G15" s="906">
        <f>SUM(G4:G14)</f>
        <v>39.328940000000003</v>
      </c>
      <c r="H15" s="9"/>
    </row>
  </sheetData>
  <mergeCells count="12">
    <mergeCell ref="A1:A2"/>
    <mergeCell ref="B1:B2"/>
    <mergeCell ref="C1:C2"/>
    <mergeCell ref="C4:C8"/>
    <mergeCell ref="A4:A8"/>
    <mergeCell ref="B4:B8"/>
    <mergeCell ref="A13:A14"/>
    <mergeCell ref="B13:B14"/>
    <mergeCell ref="C13:C14"/>
    <mergeCell ref="A9:A11"/>
    <mergeCell ref="B9:B11"/>
    <mergeCell ref="C9:C11"/>
  </mergeCell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09202-7E1C-40AF-9FCD-EA7E3BFDFA6D}">
  <sheetPr codeName="Sheet10"/>
  <dimension ref="A1:H11"/>
  <sheetViews>
    <sheetView workbookViewId="0">
      <selection activeCell="B8" sqref="B8"/>
    </sheetView>
  </sheetViews>
  <sheetFormatPr defaultRowHeight="14"/>
  <cols>
    <col min="1" max="1" width="7.83203125" bestFit="1" customWidth="1"/>
    <col min="2" max="2" width="9.83203125" bestFit="1" customWidth="1"/>
    <col min="3" max="3" width="13.75" bestFit="1" customWidth="1"/>
  </cols>
  <sheetData>
    <row r="1" spans="1:8" ht="17" thickBot="1">
      <c r="A1" s="1045" t="s">
        <v>1302</v>
      </c>
      <c r="B1" s="1045"/>
      <c r="C1" s="1045"/>
      <c r="D1" s="1045"/>
      <c r="E1" s="1045"/>
      <c r="F1" s="1045"/>
      <c r="G1" s="1045"/>
      <c r="H1" s="1045"/>
    </row>
    <row r="2" spans="1:8" ht="20" thickBot="1">
      <c r="A2" s="999" t="s">
        <v>1282</v>
      </c>
      <c r="B2" s="999" t="s">
        <v>1283</v>
      </c>
      <c r="C2" s="999" t="s">
        <v>1284</v>
      </c>
      <c r="D2" s="865" t="s">
        <v>1285</v>
      </c>
      <c r="E2" s="865" t="s">
        <v>1286</v>
      </c>
      <c r="F2" s="999" t="s">
        <v>1287</v>
      </c>
      <c r="G2" s="866" t="s">
        <v>1288</v>
      </c>
      <c r="H2" s="865" t="s">
        <v>1289</v>
      </c>
    </row>
    <row r="3" spans="1:8" ht="19.5" thickBot="1">
      <c r="A3" s="1001"/>
      <c r="B3" s="1001"/>
      <c r="C3" s="1001"/>
      <c r="D3" s="867" t="s">
        <v>6</v>
      </c>
      <c r="E3" s="867" t="s">
        <v>6</v>
      </c>
      <c r="F3" s="1001"/>
      <c r="G3" s="868" t="s">
        <v>1290</v>
      </c>
      <c r="H3" s="867" t="s">
        <v>1291</v>
      </c>
    </row>
    <row r="4" spans="1:8" ht="17" thickBot="1">
      <c r="A4" s="869" t="s">
        <v>1226</v>
      </c>
      <c r="B4" s="252" t="s">
        <v>694</v>
      </c>
      <c r="C4" s="252" t="s">
        <v>694</v>
      </c>
      <c r="D4" s="252" t="s">
        <v>694</v>
      </c>
      <c r="E4" s="252" t="s">
        <v>694</v>
      </c>
      <c r="F4" s="252" t="s">
        <v>694</v>
      </c>
      <c r="G4" s="252" t="s">
        <v>694</v>
      </c>
      <c r="H4" s="252" t="s">
        <v>694</v>
      </c>
    </row>
    <row r="5" spans="1:8" ht="20" thickBot="1">
      <c r="A5" s="869">
        <v>1</v>
      </c>
      <c r="B5" s="252" t="s">
        <v>1292</v>
      </c>
      <c r="C5" s="252" t="s">
        <v>1293</v>
      </c>
      <c r="D5" s="252">
        <v>6.7750000000000004</v>
      </c>
      <c r="E5" s="252">
        <v>6.45</v>
      </c>
      <c r="F5" s="252">
        <v>1</v>
      </c>
      <c r="G5" s="252">
        <v>8</v>
      </c>
      <c r="H5" s="252">
        <v>51.6</v>
      </c>
    </row>
    <row r="6" spans="1:8" ht="20" thickBot="1">
      <c r="A6" s="869">
        <v>2</v>
      </c>
      <c r="B6" s="252" t="s">
        <v>1292</v>
      </c>
      <c r="C6" s="252" t="s">
        <v>1294</v>
      </c>
      <c r="D6" s="252">
        <v>12.3</v>
      </c>
      <c r="E6" s="252">
        <v>4.5999999999999996</v>
      </c>
      <c r="F6" s="252">
        <v>1</v>
      </c>
      <c r="G6" s="252">
        <v>27</v>
      </c>
      <c r="H6" s="252">
        <v>124.2</v>
      </c>
    </row>
    <row r="7" spans="1:8" ht="17" thickBot="1">
      <c r="A7" s="869">
        <v>3</v>
      </c>
      <c r="B7" s="870" t="s">
        <v>1295</v>
      </c>
      <c r="C7" s="252" t="s">
        <v>1296</v>
      </c>
      <c r="D7" s="252">
        <v>15.25</v>
      </c>
      <c r="E7" s="252">
        <v>1.3</v>
      </c>
      <c r="F7" s="252">
        <v>1</v>
      </c>
      <c r="G7" s="252">
        <v>51</v>
      </c>
      <c r="H7" s="252">
        <v>66.3</v>
      </c>
    </row>
    <row r="8" spans="1:8" ht="20" thickBot="1">
      <c r="A8" s="869">
        <v>4</v>
      </c>
      <c r="B8" s="870" t="s">
        <v>1297</v>
      </c>
      <c r="C8" s="252" t="s">
        <v>1298</v>
      </c>
      <c r="D8" s="252">
        <v>21.1</v>
      </c>
      <c r="E8" s="252">
        <v>10.4</v>
      </c>
      <c r="F8" s="252">
        <v>1</v>
      </c>
      <c r="G8" s="252">
        <v>30</v>
      </c>
      <c r="H8" s="252">
        <v>312</v>
      </c>
    </row>
    <row r="9" spans="1:8" ht="20" thickBot="1">
      <c r="A9" s="869">
        <v>5</v>
      </c>
      <c r="B9" s="870" t="s">
        <v>1299</v>
      </c>
      <c r="C9" s="252" t="s">
        <v>1300</v>
      </c>
      <c r="D9" s="252">
        <v>29.2</v>
      </c>
      <c r="E9" s="252">
        <v>5.8</v>
      </c>
      <c r="F9" s="252">
        <v>1</v>
      </c>
      <c r="G9" s="252">
        <v>93</v>
      </c>
      <c r="H9" s="252">
        <v>539.4</v>
      </c>
    </row>
    <row r="10" spans="1:8" ht="17" thickBot="1">
      <c r="A10" s="869">
        <v>6</v>
      </c>
      <c r="B10" s="870" t="s">
        <v>1295</v>
      </c>
      <c r="C10" s="252" t="s">
        <v>1301</v>
      </c>
      <c r="D10" s="252">
        <v>34.024999999999999</v>
      </c>
      <c r="E10" s="252">
        <v>3.85</v>
      </c>
      <c r="F10" s="252">
        <v>0.8</v>
      </c>
      <c r="G10" s="252">
        <v>50</v>
      </c>
      <c r="H10" s="252">
        <v>154</v>
      </c>
    </row>
    <row r="11" spans="1:8" ht="17" thickBot="1">
      <c r="A11" s="528"/>
      <c r="B11" s="528"/>
      <c r="C11" s="528"/>
      <c r="D11" s="528"/>
      <c r="E11" s="528"/>
      <c r="F11" s="528"/>
      <c r="G11" s="871" t="s">
        <v>657</v>
      </c>
      <c r="H11" s="252">
        <v>1247.5</v>
      </c>
    </row>
  </sheetData>
  <mergeCells count="5">
    <mergeCell ref="A2:A3"/>
    <mergeCell ref="B2:B3"/>
    <mergeCell ref="C2:C3"/>
    <mergeCell ref="F2:F3"/>
    <mergeCell ref="A1: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A4DA4-D8CE-4AD6-9875-3EB546097B9F}">
  <sheetPr codeName="Sheet11"/>
  <dimension ref="A1:S78"/>
  <sheetViews>
    <sheetView topLeftCell="A10" workbookViewId="0">
      <selection activeCell="Y26" sqref="Y26"/>
    </sheetView>
  </sheetViews>
  <sheetFormatPr defaultRowHeight="14"/>
  <cols>
    <col min="13" max="13" width="10.83203125" bestFit="1" customWidth="1"/>
    <col min="14" max="14" width="7.08203125" bestFit="1" customWidth="1"/>
    <col min="15" max="15" width="4.75" bestFit="1" customWidth="1"/>
    <col min="16" max="16" width="4.75" customWidth="1"/>
    <col min="17" max="17" width="7.08203125" bestFit="1" customWidth="1"/>
    <col min="18" max="18" width="4.75" bestFit="1" customWidth="1"/>
    <col min="19" max="19" width="3.75" bestFit="1" customWidth="1"/>
  </cols>
  <sheetData>
    <row r="1" spans="1:19" ht="15.5">
      <c r="A1" s="856"/>
      <c r="B1" s="824"/>
      <c r="C1" s="825"/>
      <c r="D1" s="826"/>
      <c r="E1" s="827" t="s">
        <v>1273</v>
      </c>
      <c r="F1" s="825"/>
      <c r="G1" s="825"/>
      <c r="H1" s="828"/>
      <c r="I1" s="825"/>
      <c r="J1" s="825"/>
    </row>
    <row r="2" spans="1:19">
      <c r="A2" s="857"/>
      <c r="B2" s="829"/>
      <c r="C2" s="830"/>
      <c r="D2" s="830"/>
      <c r="E2" s="830"/>
      <c r="F2" s="830"/>
      <c r="G2" s="830"/>
      <c r="H2" s="830"/>
      <c r="I2" s="830"/>
      <c r="J2" s="831"/>
    </row>
    <row r="3" spans="1:19">
      <c r="A3" s="858" t="s">
        <v>1275</v>
      </c>
      <c r="B3" s="832"/>
      <c r="C3" s="824"/>
      <c r="D3" s="833"/>
      <c r="E3" s="824"/>
      <c r="F3" s="824" t="s">
        <v>1314</v>
      </c>
      <c r="G3" s="824"/>
      <c r="H3" s="824"/>
      <c r="I3" s="824"/>
      <c r="J3" s="834"/>
    </row>
    <row r="4" spans="1:19">
      <c r="A4" s="859" t="s">
        <v>1276</v>
      </c>
      <c r="B4" s="835"/>
      <c r="C4" s="836"/>
      <c r="D4" s="837"/>
      <c r="E4" s="833"/>
      <c r="F4" s="836"/>
      <c r="G4" s="836"/>
      <c r="H4" s="824"/>
      <c r="I4" s="824"/>
      <c r="J4" s="834"/>
    </row>
    <row r="5" spans="1:19">
      <c r="A5" s="859" t="s">
        <v>1277</v>
      </c>
      <c r="B5" s="838"/>
      <c r="C5" s="839"/>
      <c r="D5" s="833"/>
      <c r="E5" s="839"/>
      <c r="F5" s="839" t="s">
        <v>1315</v>
      </c>
      <c r="G5" s="839"/>
      <c r="H5" s="839"/>
      <c r="I5" s="839"/>
      <c r="J5" s="840"/>
    </row>
    <row r="6" spans="1:19">
      <c r="A6" s="859" t="s">
        <v>1278</v>
      </c>
      <c r="B6" s="1048" t="s">
        <v>1316</v>
      </c>
      <c r="C6" s="1049" t="s">
        <v>1317</v>
      </c>
      <c r="D6" s="1049" t="s">
        <v>1318</v>
      </c>
      <c r="E6" s="1046" t="s">
        <v>694</v>
      </c>
      <c r="F6" s="1046" t="s">
        <v>694</v>
      </c>
      <c r="G6" s="1046" t="s">
        <v>694</v>
      </c>
      <c r="H6" s="1046" t="s">
        <v>694</v>
      </c>
      <c r="I6" s="1046" t="s">
        <v>694</v>
      </c>
      <c r="J6" s="1046" t="s">
        <v>694</v>
      </c>
    </row>
    <row r="7" spans="1:19">
      <c r="A7" s="858" t="s">
        <v>1279</v>
      </c>
      <c r="B7" s="1048"/>
      <c r="C7" s="1050"/>
      <c r="D7" s="1050"/>
      <c r="E7" s="1047"/>
      <c r="F7" s="1047"/>
      <c r="G7" s="1047"/>
      <c r="H7" s="1047"/>
      <c r="I7" s="1047"/>
      <c r="J7" s="1047"/>
    </row>
    <row r="8" spans="1:19">
      <c r="A8" s="859" t="s">
        <v>1280</v>
      </c>
      <c r="B8" s="841"/>
      <c r="C8" s="839"/>
      <c r="D8" s="833"/>
      <c r="E8" s="839"/>
      <c r="F8" s="839" t="s">
        <v>1319</v>
      </c>
      <c r="G8" s="839"/>
      <c r="H8" s="836"/>
      <c r="I8" s="836"/>
      <c r="J8" s="842"/>
      <c r="L8" t="s">
        <v>1321</v>
      </c>
      <c r="M8" t="s">
        <v>1320</v>
      </c>
      <c r="N8" t="s">
        <v>1322</v>
      </c>
      <c r="O8" t="s">
        <v>1323</v>
      </c>
      <c r="Q8" t="s">
        <v>1324</v>
      </c>
      <c r="R8" t="s">
        <v>1325</v>
      </c>
    </row>
    <row r="9" spans="1:19" ht="16" thickBot="1">
      <c r="A9" s="860" t="s">
        <v>1281</v>
      </c>
      <c r="B9" s="843">
        <v>0.2</v>
      </c>
      <c r="C9" s="844">
        <v>0.3</v>
      </c>
      <c r="D9" s="845">
        <v>0.4</v>
      </c>
      <c r="E9" s="845">
        <v>0.5</v>
      </c>
      <c r="F9" s="845">
        <v>0.6</v>
      </c>
      <c r="G9" s="845">
        <v>0.7</v>
      </c>
      <c r="H9" s="845">
        <v>0.8</v>
      </c>
      <c r="I9" s="845">
        <v>0.9</v>
      </c>
      <c r="J9" s="845">
        <v>1</v>
      </c>
      <c r="L9" s="888">
        <v>1.2</v>
      </c>
      <c r="M9" s="887">
        <v>0.22</v>
      </c>
      <c r="N9">
        <f>ROUNDDOWN(L9,0)</f>
        <v>1</v>
      </c>
      <c r="O9">
        <f>ROUNDUP(L9,0)</f>
        <v>2</v>
      </c>
      <c r="Q9">
        <f>ROUNDDOWN(M9,1)</f>
        <v>0.2</v>
      </c>
      <c r="R9">
        <f>ROUNDUP(M9,1)</f>
        <v>0.30000000000000004</v>
      </c>
      <c r="S9">
        <f>HLOOKUP(Q9,$B$9:$J$78,2,FALSE)</f>
        <v>3.5</v>
      </c>
    </row>
    <row r="10" spans="1:19" ht="14.5" thickTop="1">
      <c r="A10" s="861">
        <v>1</v>
      </c>
      <c r="B10" s="846">
        <v>3.5</v>
      </c>
      <c r="C10" s="846">
        <v>2.2999999999999998</v>
      </c>
      <c r="D10" s="847">
        <v>1.5</v>
      </c>
      <c r="E10" s="847">
        <v>1.2</v>
      </c>
      <c r="F10" s="847">
        <v>0.8</v>
      </c>
      <c r="G10" s="847">
        <v>0.4</v>
      </c>
      <c r="H10" s="847">
        <v>0.4</v>
      </c>
      <c r="I10" s="848">
        <v>0.3</v>
      </c>
      <c r="J10" s="848">
        <v>0.2</v>
      </c>
      <c r="K10" s="847">
        <v>1</v>
      </c>
    </row>
    <row r="11" spans="1:19">
      <c r="A11" s="862">
        <f>(A10+A12)/2</f>
        <v>1.5</v>
      </c>
      <c r="B11" s="849">
        <f>(B10+B12)/2</f>
        <v>3.85</v>
      </c>
      <c r="C11" s="849">
        <f t="shared" ref="C11:J11" si="0">(C10+C12)/2</f>
        <v>2.65</v>
      </c>
      <c r="D11" s="849">
        <f t="shared" si="0"/>
        <v>1.8</v>
      </c>
      <c r="E11" s="849">
        <f t="shared" si="0"/>
        <v>1.45</v>
      </c>
      <c r="F11" s="849">
        <f t="shared" si="0"/>
        <v>1</v>
      </c>
      <c r="G11" s="849">
        <f t="shared" si="0"/>
        <v>0.55000000000000004</v>
      </c>
      <c r="H11" s="849">
        <f t="shared" si="0"/>
        <v>0.45</v>
      </c>
      <c r="I11" s="849">
        <f t="shared" si="0"/>
        <v>0.35</v>
      </c>
      <c r="J11" s="849">
        <f t="shared" si="0"/>
        <v>0.30000000000000004</v>
      </c>
      <c r="K11" s="385">
        <v>2</v>
      </c>
    </row>
    <row r="12" spans="1:19">
      <c r="A12" s="863">
        <v>2</v>
      </c>
      <c r="B12" s="846">
        <v>4.2</v>
      </c>
      <c r="C12" s="846">
        <v>3</v>
      </c>
      <c r="D12" s="847">
        <v>2.1</v>
      </c>
      <c r="E12" s="847">
        <v>1.7</v>
      </c>
      <c r="F12" s="847">
        <v>1.2</v>
      </c>
      <c r="G12" s="847">
        <v>0.7</v>
      </c>
      <c r="H12" s="847">
        <v>0.5</v>
      </c>
      <c r="I12" s="848">
        <v>0.4</v>
      </c>
      <c r="J12" s="848">
        <v>0.4</v>
      </c>
      <c r="K12" s="847">
        <v>3</v>
      </c>
    </row>
    <row r="13" spans="1:19">
      <c r="A13" s="862">
        <f>(A12+A14)/2</f>
        <v>2.5</v>
      </c>
      <c r="B13" s="849">
        <f>(B12+B14)/2</f>
        <v>4.5</v>
      </c>
      <c r="C13" s="849">
        <f t="shared" ref="C13:J13" si="1">(C12+C14)/2</f>
        <v>3.25</v>
      </c>
      <c r="D13" s="849">
        <f t="shared" si="1"/>
        <v>2.2999999999999998</v>
      </c>
      <c r="E13" s="849">
        <f t="shared" si="1"/>
        <v>1.85</v>
      </c>
      <c r="F13" s="849">
        <f t="shared" si="1"/>
        <v>1.2999999999999998</v>
      </c>
      <c r="G13" s="849">
        <f t="shared" si="1"/>
        <v>0.75</v>
      </c>
      <c r="H13" s="849">
        <f t="shared" si="1"/>
        <v>0.6</v>
      </c>
      <c r="I13" s="849">
        <f t="shared" si="1"/>
        <v>0.5</v>
      </c>
      <c r="J13" s="849">
        <f t="shared" si="1"/>
        <v>0.45</v>
      </c>
      <c r="K13" s="385">
        <v>4</v>
      </c>
    </row>
    <row r="14" spans="1:19">
      <c r="A14" s="863">
        <v>3</v>
      </c>
      <c r="B14" s="846">
        <v>4.8</v>
      </c>
      <c r="C14" s="846">
        <v>3.5</v>
      </c>
      <c r="D14" s="847">
        <v>2.5</v>
      </c>
      <c r="E14" s="847">
        <v>2</v>
      </c>
      <c r="F14" s="847">
        <v>1.4</v>
      </c>
      <c r="G14" s="847">
        <v>0.8</v>
      </c>
      <c r="H14" s="847">
        <v>0.7</v>
      </c>
      <c r="I14" s="848">
        <v>0.6</v>
      </c>
      <c r="J14" s="848">
        <v>0.5</v>
      </c>
      <c r="K14" s="847">
        <v>5</v>
      </c>
    </row>
    <row r="15" spans="1:19">
      <c r="A15" s="862">
        <f>(A14+A16)/2</f>
        <v>3.5</v>
      </c>
      <c r="B15" s="849">
        <f>(B14+B16)/2</f>
        <v>5.05</v>
      </c>
      <c r="C15" s="849">
        <f t="shared" ref="C15:J15" si="2">(C14+C16)/2</f>
        <v>3.65</v>
      </c>
      <c r="D15" s="849">
        <f t="shared" si="2"/>
        <v>2.6</v>
      </c>
      <c r="E15" s="849">
        <f t="shared" si="2"/>
        <v>2.1</v>
      </c>
      <c r="F15" s="849">
        <f t="shared" si="2"/>
        <v>1.5</v>
      </c>
      <c r="G15" s="849">
        <f t="shared" si="2"/>
        <v>0.85000000000000009</v>
      </c>
      <c r="H15" s="849">
        <f t="shared" si="2"/>
        <v>0.75</v>
      </c>
      <c r="I15" s="849">
        <f t="shared" si="2"/>
        <v>0.64999999999999991</v>
      </c>
      <c r="J15" s="849">
        <f t="shared" si="2"/>
        <v>0.5</v>
      </c>
      <c r="K15" s="385">
        <v>6</v>
      </c>
    </row>
    <row r="16" spans="1:19">
      <c r="A16" s="863">
        <v>4</v>
      </c>
      <c r="B16" s="846">
        <v>5.3</v>
      </c>
      <c r="C16" s="846">
        <v>3.8</v>
      </c>
      <c r="D16" s="847">
        <v>2.7</v>
      </c>
      <c r="E16" s="847">
        <v>2.2000000000000002</v>
      </c>
      <c r="F16" s="847">
        <v>1.6</v>
      </c>
      <c r="G16" s="847">
        <v>0.9</v>
      </c>
      <c r="H16" s="847">
        <v>0.8</v>
      </c>
      <c r="I16" s="848">
        <v>0.7</v>
      </c>
      <c r="J16" s="848">
        <v>0.5</v>
      </c>
      <c r="K16" s="847">
        <v>7</v>
      </c>
    </row>
    <row r="17" spans="1:11">
      <c r="A17" s="862">
        <f>(A16+A18)/2</f>
        <v>4.5</v>
      </c>
      <c r="B17" s="849">
        <f>(B16+B18)/2</f>
        <v>5.4499999999999993</v>
      </c>
      <c r="C17" s="849">
        <f t="shared" ref="C17:J17" si="3">(C16+C18)/2</f>
        <v>3.9</v>
      </c>
      <c r="D17" s="849">
        <f t="shared" si="3"/>
        <v>2.8</v>
      </c>
      <c r="E17" s="849">
        <f t="shared" si="3"/>
        <v>2.2999999999999998</v>
      </c>
      <c r="F17" s="849">
        <f t="shared" si="3"/>
        <v>1.65</v>
      </c>
      <c r="G17" s="849">
        <f t="shared" si="3"/>
        <v>0.95</v>
      </c>
      <c r="H17" s="849">
        <f t="shared" si="3"/>
        <v>0.8</v>
      </c>
      <c r="I17" s="849">
        <f t="shared" si="3"/>
        <v>0.7</v>
      </c>
      <c r="J17" s="849">
        <f t="shared" si="3"/>
        <v>0.55000000000000004</v>
      </c>
      <c r="K17" s="385">
        <v>8</v>
      </c>
    </row>
    <row r="18" spans="1:11">
      <c r="A18" s="863">
        <v>5</v>
      </c>
      <c r="B18" s="846">
        <v>5.6</v>
      </c>
      <c r="C18" s="846">
        <v>4</v>
      </c>
      <c r="D18" s="847">
        <v>2.9</v>
      </c>
      <c r="E18" s="847">
        <v>2.4</v>
      </c>
      <c r="F18" s="847">
        <v>1.7</v>
      </c>
      <c r="G18" s="847">
        <v>1</v>
      </c>
      <c r="H18" s="847">
        <v>0.8</v>
      </c>
      <c r="I18" s="848">
        <v>0.7</v>
      </c>
      <c r="J18" s="848">
        <v>0.6</v>
      </c>
      <c r="K18" s="847">
        <v>9</v>
      </c>
    </row>
    <row r="19" spans="1:11">
      <c r="A19" s="862">
        <f>(A18+A20)/2</f>
        <v>5.5</v>
      </c>
      <c r="B19" s="849">
        <f>(B18+B20)/2</f>
        <v>5.6999999999999993</v>
      </c>
      <c r="C19" s="849">
        <f t="shared" ref="C19:J19" si="4">(C18+C20)/2</f>
        <v>4.0999999999999996</v>
      </c>
      <c r="D19" s="849">
        <f t="shared" si="4"/>
        <v>3</v>
      </c>
      <c r="E19" s="849">
        <f t="shared" si="4"/>
        <v>2.4500000000000002</v>
      </c>
      <c r="F19" s="849">
        <f t="shared" si="4"/>
        <v>1.75</v>
      </c>
      <c r="G19" s="849">
        <f t="shared" si="4"/>
        <v>1</v>
      </c>
      <c r="H19" s="849">
        <f t="shared" si="4"/>
        <v>0.8</v>
      </c>
      <c r="I19" s="849">
        <f t="shared" si="4"/>
        <v>0.7</v>
      </c>
      <c r="J19" s="849">
        <f t="shared" si="4"/>
        <v>0.6</v>
      </c>
      <c r="K19" s="385">
        <v>10</v>
      </c>
    </row>
    <row r="20" spans="1:11">
      <c r="A20" s="863">
        <v>6</v>
      </c>
      <c r="B20" s="846">
        <v>5.8</v>
      </c>
      <c r="C20" s="846">
        <v>4.2</v>
      </c>
      <c r="D20" s="847">
        <v>3.1</v>
      </c>
      <c r="E20" s="847">
        <v>2.5</v>
      </c>
      <c r="F20" s="847">
        <v>1.8</v>
      </c>
      <c r="G20" s="847">
        <v>1</v>
      </c>
      <c r="H20" s="847">
        <v>0.8</v>
      </c>
      <c r="I20" s="848">
        <v>0.7</v>
      </c>
      <c r="J20" s="848">
        <v>0.6</v>
      </c>
      <c r="K20" s="847">
        <v>11</v>
      </c>
    </row>
    <row r="21" spans="1:11">
      <c r="A21" s="862">
        <f>(A20+A22)/2</f>
        <v>6.5</v>
      </c>
      <c r="B21" s="850">
        <f t="shared" ref="B21:G21" si="5">((A20-A21)*B24-(A24-A21)*B20)/((A20-A21)-(A24-A21))</f>
        <v>5.8999999999999995</v>
      </c>
      <c r="C21" s="850">
        <f t="shared" si="5"/>
        <v>4.25</v>
      </c>
      <c r="D21" s="850">
        <f t="shared" si="5"/>
        <v>3.15</v>
      </c>
      <c r="E21" s="850">
        <f t="shared" si="5"/>
        <v>2.5249999999999999</v>
      </c>
      <c r="F21" s="850">
        <f t="shared" si="5"/>
        <v>1.8249999999999997</v>
      </c>
      <c r="G21" s="850">
        <f t="shared" si="5"/>
        <v>1</v>
      </c>
      <c r="H21" s="851">
        <v>0.8</v>
      </c>
      <c r="I21" s="851">
        <v>0.7</v>
      </c>
      <c r="J21" s="851">
        <v>0.6</v>
      </c>
      <c r="K21" s="385">
        <v>12</v>
      </c>
    </row>
    <row r="22" spans="1:11">
      <c r="A22" s="862">
        <f>(A20+A24)/2</f>
        <v>7</v>
      </c>
      <c r="B22" s="850">
        <f t="shared" ref="B22:G22" si="6">((A20-A22)*B24-(A24-A22)*B20)/((A20-A22)-(A24-A22))</f>
        <v>6</v>
      </c>
      <c r="C22" s="850">
        <f t="shared" si="6"/>
        <v>4.3</v>
      </c>
      <c r="D22" s="850">
        <f t="shared" si="6"/>
        <v>3.1999999999999993</v>
      </c>
      <c r="E22" s="850">
        <f t="shared" si="6"/>
        <v>2.5500000000000003</v>
      </c>
      <c r="F22" s="850">
        <f t="shared" si="6"/>
        <v>1.85</v>
      </c>
      <c r="G22" s="850">
        <f t="shared" si="6"/>
        <v>1</v>
      </c>
      <c r="H22" s="851">
        <v>0.8</v>
      </c>
      <c r="I22" s="851">
        <v>0.7</v>
      </c>
      <c r="J22" s="851">
        <v>0.6</v>
      </c>
      <c r="K22" s="847">
        <v>13</v>
      </c>
    </row>
    <row r="23" spans="1:11">
      <c r="A23" s="862">
        <f>(A22+A24)/2</f>
        <v>7.5</v>
      </c>
      <c r="B23" s="850">
        <f t="shared" ref="B23:G23" si="7">((A20-A23)*B24-(A24-A23)*B20)/((A20-A23)-(A24-A23))</f>
        <v>6.1000000000000005</v>
      </c>
      <c r="C23" s="850">
        <f t="shared" si="7"/>
        <v>4.3500000000000005</v>
      </c>
      <c r="D23" s="850">
        <f t="shared" si="7"/>
        <v>3.25</v>
      </c>
      <c r="E23" s="850">
        <f t="shared" si="7"/>
        <v>2.5750000000000002</v>
      </c>
      <c r="F23" s="850">
        <f t="shared" si="7"/>
        <v>1.875</v>
      </c>
      <c r="G23" s="850">
        <f t="shared" si="7"/>
        <v>1</v>
      </c>
      <c r="H23" s="851">
        <v>0.8</v>
      </c>
      <c r="I23" s="851">
        <v>0.7</v>
      </c>
      <c r="J23" s="851">
        <v>0.6</v>
      </c>
      <c r="K23" s="385">
        <v>14</v>
      </c>
    </row>
    <row r="24" spans="1:11">
      <c r="A24" s="863">
        <v>8</v>
      </c>
      <c r="B24" s="846">
        <v>6.2</v>
      </c>
      <c r="C24" s="846">
        <v>4.4000000000000004</v>
      </c>
      <c r="D24" s="847">
        <v>3.3</v>
      </c>
      <c r="E24" s="847">
        <v>2.6</v>
      </c>
      <c r="F24" s="847">
        <v>1.9</v>
      </c>
      <c r="G24" s="847">
        <v>1</v>
      </c>
      <c r="H24" s="847">
        <v>0.8</v>
      </c>
      <c r="I24" s="848">
        <v>0.7</v>
      </c>
      <c r="J24" s="848">
        <v>0.6</v>
      </c>
      <c r="K24" s="847">
        <v>15</v>
      </c>
    </row>
    <row r="25" spans="1:11">
      <c r="A25" s="862">
        <f>(A24+A26)/2</f>
        <v>8.5</v>
      </c>
      <c r="B25" s="850">
        <f>((A24-A25)*B28-(A28-A25)*B24)/((A24-A25)-(A28-A25))</f>
        <v>6.2750000000000004</v>
      </c>
      <c r="C25" s="850">
        <f>((B24-B25)*C28-(B28-B25)*C24)/((B24-B25)-(B28-B25))</f>
        <v>4.45</v>
      </c>
      <c r="D25" s="850">
        <f>((C24-C25)*D28-(C28-C25)*D24)/((C24-C25)-(C28-C25))</f>
        <v>3.3249999999999997</v>
      </c>
      <c r="E25" s="850">
        <f>((D24-D25)*E28-(D28-D25)*E24)/((D24-D25)-(D28-D25))</f>
        <v>2.625</v>
      </c>
      <c r="F25" s="850">
        <f>((E24-E25)*F28-(E28-E25)*F24)/((E24-E25)-(E28-E25))</f>
        <v>1.8999999999999997</v>
      </c>
      <c r="G25" s="851">
        <v>1</v>
      </c>
      <c r="H25" s="851">
        <v>0.8</v>
      </c>
      <c r="I25" s="851">
        <v>0.7</v>
      </c>
      <c r="J25" s="851">
        <v>0.6</v>
      </c>
      <c r="K25" s="385">
        <v>16</v>
      </c>
    </row>
    <row r="26" spans="1:11">
      <c r="A26" s="862">
        <f>(A24+A28)/2</f>
        <v>9</v>
      </c>
      <c r="B26" s="850">
        <f>((A24-A26)*B28-(A28-A26)*B24)/((A24-A26)-(A28-A26))</f>
        <v>6.35</v>
      </c>
      <c r="C26" s="850">
        <f>((B24-B26)*C28-(B28-B26)*C24)/((B24-B26)-(B28-B26))</f>
        <v>4.5</v>
      </c>
      <c r="D26" s="850">
        <f>((C24-C26)*D28-(C28-C26)*D24)/((C24-C26)-(C28-C26))</f>
        <v>3.35</v>
      </c>
      <c r="E26" s="850">
        <f>((D24-D26)*E28-(D28-D26)*E24)/((D24-D26)-(D28-D26))</f>
        <v>2.65</v>
      </c>
      <c r="F26" s="850">
        <f>((E24-E26)*F28-(E28-E26)*F24)/((E24-E26)-(E28-E26))</f>
        <v>1.9</v>
      </c>
      <c r="G26" s="851">
        <v>1</v>
      </c>
      <c r="H26" s="851">
        <v>0.8</v>
      </c>
      <c r="I26" s="851">
        <v>0.7</v>
      </c>
      <c r="J26" s="851">
        <v>0.6</v>
      </c>
      <c r="K26" s="847">
        <v>17</v>
      </c>
    </row>
    <row r="27" spans="1:11">
      <c r="A27" s="862">
        <f>(A26+A28)/2</f>
        <v>9.5</v>
      </c>
      <c r="B27" s="850">
        <f>((A24-A27)*B28-(A28-A27)*B24)/((A24-A27)-(A28-A27))</f>
        <v>6.4249999999999998</v>
      </c>
      <c r="C27" s="850">
        <f>((B24-B27)*C28-(B28-B27)*C24)/((B24-B27)-(B28-B27))</f>
        <v>4.55</v>
      </c>
      <c r="D27" s="850">
        <f>((C24-C27)*D28-(C28-C27)*D24)/((C24-C27)-(C28-C27))</f>
        <v>3.3749999999999996</v>
      </c>
      <c r="E27" s="850">
        <f>((D24-D27)*E28-(D28-D27)*E24)/((D24-D27)-(D28-D27))</f>
        <v>2.6749999999999998</v>
      </c>
      <c r="F27" s="850">
        <f>((E24-E27)*F28-(E28-E27)*F24)/((E24-E27)-(E28-E27))</f>
        <v>1.9</v>
      </c>
      <c r="G27" s="851">
        <v>1</v>
      </c>
      <c r="H27" s="851">
        <v>0.8</v>
      </c>
      <c r="I27" s="851">
        <v>0.7</v>
      </c>
      <c r="J27" s="851">
        <v>0.6</v>
      </c>
      <c r="K27" s="385">
        <v>18</v>
      </c>
    </row>
    <row r="28" spans="1:11">
      <c r="A28" s="863">
        <v>10</v>
      </c>
      <c r="B28" s="846">
        <v>6.5</v>
      </c>
      <c r="C28" s="846">
        <v>4.5999999999999996</v>
      </c>
      <c r="D28" s="847">
        <v>3.4</v>
      </c>
      <c r="E28" s="847">
        <v>2.7</v>
      </c>
      <c r="F28" s="847">
        <v>1.9</v>
      </c>
      <c r="G28" s="847">
        <v>1</v>
      </c>
      <c r="H28" s="847">
        <v>0.8</v>
      </c>
      <c r="I28" s="848">
        <v>0.7</v>
      </c>
      <c r="J28" s="848">
        <v>0.6</v>
      </c>
      <c r="K28" s="847">
        <v>19</v>
      </c>
    </row>
    <row r="29" spans="1:11">
      <c r="A29" s="862">
        <f>(A28+A30)/2</f>
        <v>10.5</v>
      </c>
      <c r="B29" s="850">
        <f>((A28-A29)*B38-(A38-A29)*B28)/((A28-A29)-(A38-A29))</f>
        <v>6.57</v>
      </c>
      <c r="C29" s="850">
        <f t="shared" ref="C29:H29" si="8">((B28-B29)*C38-(B38-B29)*C28)/((B28-B29)-(B38-B29))</f>
        <v>4.6500000000000004</v>
      </c>
      <c r="D29" s="850">
        <f t="shared" si="8"/>
        <v>3.4400000000000004</v>
      </c>
      <c r="E29" s="850">
        <f t="shared" si="8"/>
        <v>2.7100000000000004</v>
      </c>
      <c r="F29" s="850">
        <f t="shared" si="8"/>
        <v>1.9100000000000001</v>
      </c>
      <c r="G29" s="850">
        <f t="shared" si="8"/>
        <v>1.0100000000000002</v>
      </c>
      <c r="H29" s="850">
        <f t="shared" si="8"/>
        <v>0.8</v>
      </c>
      <c r="I29" s="851">
        <v>0.7</v>
      </c>
      <c r="J29" s="851">
        <v>0.6</v>
      </c>
      <c r="K29" s="385">
        <v>20</v>
      </c>
    </row>
    <row r="30" spans="1:11">
      <c r="A30" s="862">
        <v>11</v>
      </c>
      <c r="B30" s="850">
        <f>((A28-A30)*B38-(A38-A30)*B28)/((A28-A30)-(A38-A30))</f>
        <v>6.6400000000000006</v>
      </c>
      <c r="C30" s="850">
        <f t="shared" ref="C30:H30" si="9">((B28-B30)*C38-(B38-B30)*C28)/((B28-B30)-(B38-B30))</f>
        <v>4.7</v>
      </c>
      <c r="D30" s="850">
        <f t="shared" si="9"/>
        <v>3.4800000000000004</v>
      </c>
      <c r="E30" s="850">
        <f t="shared" si="9"/>
        <v>2.72</v>
      </c>
      <c r="F30" s="850">
        <f t="shared" si="9"/>
        <v>1.92</v>
      </c>
      <c r="G30" s="850">
        <f t="shared" si="9"/>
        <v>1.02</v>
      </c>
      <c r="H30" s="850">
        <f t="shared" si="9"/>
        <v>0.8</v>
      </c>
      <c r="I30" s="851">
        <v>0.7</v>
      </c>
      <c r="J30" s="851">
        <v>0.6</v>
      </c>
      <c r="K30" s="847">
        <v>21</v>
      </c>
    </row>
    <row r="31" spans="1:11">
      <c r="A31" s="862">
        <f>(A30+A32)/2</f>
        <v>11.5</v>
      </c>
      <c r="B31" s="850">
        <f>((A28-A31)*B38-(A38-A31)*B28)/((A28-A31)-(A38-A31))</f>
        <v>6.7099999999999991</v>
      </c>
      <c r="C31" s="850">
        <f t="shared" ref="C31:H31" si="10">((B28-B31)*C38-(B38-B31)*C28)/((B28-B31)-(B38-B31))</f>
        <v>4.7499999999999991</v>
      </c>
      <c r="D31" s="850">
        <f t="shared" si="10"/>
        <v>3.5199999999999996</v>
      </c>
      <c r="E31" s="850">
        <f t="shared" si="10"/>
        <v>2.7299999999999995</v>
      </c>
      <c r="F31" s="850">
        <f t="shared" si="10"/>
        <v>1.9299999999999995</v>
      </c>
      <c r="G31" s="850">
        <f t="shared" si="10"/>
        <v>1.0299999999999996</v>
      </c>
      <c r="H31" s="850">
        <f t="shared" si="10"/>
        <v>0.8</v>
      </c>
      <c r="I31" s="851">
        <v>0.7</v>
      </c>
      <c r="J31" s="851">
        <v>0.6</v>
      </c>
      <c r="K31" s="385">
        <v>22</v>
      </c>
    </row>
    <row r="32" spans="1:11">
      <c r="A32" s="862">
        <v>12</v>
      </c>
      <c r="B32" s="850">
        <f>((A28-A32)*B38-(A38-A32)*B28)/((A28-A32)-(A38-A32))</f>
        <v>6.7799999999999994</v>
      </c>
      <c r="C32" s="850">
        <f t="shared" ref="C32:H32" si="11">((B28-B32)*C38-(B38-B32)*C28)/((B28-B32)-(B38-B32))</f>
        <v>4.7999999999999989</v>
      </c>
      <c r="D32" s="850">
        <f t="shared" si="11"/>
        <v>3.5599999999999996</v>
      </c>
      <c r="E32" s="850">
        <f t="shared" si="11"/>
        <v>2.7399999999999998</v>
      </c>
      <c r="F32" s="850">
        <f t="shared" si="11"/>
        <v>1.9399999999999997</v>
      </c>
      <c r="G32" s="850">
        <f t="shared" si="11"/>
        <v>1.0399999999999998</v>
      </c>
      <c r="H32" s="850">
        <f t="shared" si="11"/>
        <v>0.8</v>
      </c>
      <c r="I32" s="851">
        <v>0.7</v>
      </c>
      <c r="J32" s="851">
        <v>0.6</v>
      </c>
      <c r="K32" s="847">
        <v>23</v>
      </c>
    </row>
    <row r="33" spans="1:11">
      <c r="A33" s="862">
        <f>(A32+A34)/2</f>
        <v>12.5</v>
      </c>
      <c r="B33" s="850">
        <f>((A28-A33)*B38-(A38-A33)*B28)/((A28-A33)-(A38-A33))</f>
        <v>6.85</v>
      </c>
      <c r="C33" s="850">
        <f t="shared" ref="C33:H33" si="12">((B28-B33)*C38-(B38-B33)*C28)/((B28-B33)-(B38-B33))</f>
        <v>4.8499999999999996</v>
      </c>
      <c r="D33" s="850">
        <f t="shared" si="12"/>
        <v>3.5999999999999996</v>
      </c>
      <c r="E33" s="850">
        <f t="shared" si="12"/>
        <v>2.7499999999999996</v>
      </c>
      <c r="F33" s="850">
        <f t="shared" si="12"/>
        <v>1.9499999999999995</v>
      </c>
      <c r="G33" s="850">
        <f t="shared" si="12"/>
        <v>1.0499999999999996</v>
      </c>
      <c r="H33" s="850">
        <f t="shared" si="12"/>
        <v>0.8</v>
      </c>
      <c r="I33" s="851">
        <v>0.7</v>
      </c>
      <c r="J33" s="851">
        <v>0.6</v>
      </c>
      <c r="K33" s="385">
        <v>24</v>
      </c>
    </row>
    <row r="34" spans="1:11">
      <c r="A34" s="862">
        <v>13</v>
      </c>
      <c r="B34" s="850">
        <f>((A28-A34)*B38-(A38-A34)*B28)/((A28-A34)-(A38-A34))</f>
        <v>6.92</v>
      </c>
      <c r="C34" s="850">
        <f t="shared" ref="C34:H34" si="13">((B28-B34)*C38-(B38-B34)*C28)/((B28-B34)-(B38-B34))</f>
        <v>4.8999999999999995</v>
      </c>
      <c r="D34" s="850">
        <f t="shared" si="13"/>
        <v>3.6399999999999997</v>
      </c>
      <c r="E34" s="850">
        <f t="shared" si="13"/>
        <v>2.76</v>
      </c>
      <c r="F34" s="850">
        <f t="shared" si="13"/>
        <v>1.9599999999999997</v>
      </c>
      <c r="G34" s="850">
        <f t="shared" si="13"/>
        <v>1.0599999999999998</v>
      </c>
      <c r="H34" s="850">
        <f t="shared" si="13"/>
        <v>0.8</v>
      </c>
      <c r="I34" s="851">
        <v>0.7</v>
      </c>
      <c r="J34" s="851">
        <v>0.6</v>
      </c>
      <c r="K34" s="847">
        <v>25</v>
      </c>
    </row>
    <row r="35" spans="1:11">
      <c r="A35" s="862">
        <f>(A34+A36)/2</f>
        <v>13.5</v>
      </c>
      <c r="B35" s="850">
        <f>((A28-A35)*B38-(A38-A35)*B28)/((A28-A35)-(A38-A35))</f>
        <v>6.99</v>
      </c>
      <c r="C35" s="850">
        <f t="shared" ref="C35:H35" si="14">((B28-B35)*C38-(B38-B35)*C28)/((B28-B35)-(B38-B35))</f>
        <v>4.95</v>
      </c>
      <c r="D35" s="850">
        <f t="shared" si="14"/>
        <v>3.6800000000000006</v>
      </c>
      <c r="E35" s="850">
        <f t="shared" si="14"/>
        <v>2.7700000000000005</v>
      </c>
      <c r="F35" s="850">
        <f t="shared" si="14"/>
        <v>1.9700000000000004</v>
      </c>
      <c r="G35" s="850">
        <f t="shared" si="14"/>
        <v>1.0700000000000005</v>
      </c>
      <c r="H35" s="850">
        <f t="shared" si="14"/>
        <v>0.8</v>
      </c>
      <c r="I35" s="851">
        <v>0.7</v>
      </c>
      <c r="J35" s="851">
        <v>0.6</v>
      </c>
      <c r="K35" s="385">
        <v>26</v>
      </c>
    </row>
    <row r="36" spans="1:11">
      <c r="A36" s="862">
        <v>14</v>
      </c>
      <c r="B36" s="850">
        <f>((A28-A36)*B38-(A38-A36)*B28)/((A28-A36)-(A38-A36))</f>
        <v>7.06</v>
      </c>
      <c r="C36" s="850">
        <f t="shared" ref="C36:H36" si="15">((B28-B36)*C38-(B38-B36)*C28)/((B28-B36)-(B38-B36))</f>
        <v>4.9999999999999991</v>
      </c>
      <c r="D36" s="850">
        <f t="shared" si="15"/>
        <v>3.7199999999999993</v>
      </c>
      <c r="E36" s="850">
        <f t="shared" si="15"/>
        <v>2.78</v>
      </c>
      <c r="F36" s="850">
        <f t="shared" si="15"/>
        <v>1.98</v>
      </c>
      <c r="G36" s="850">
        <f t="shared" si="15"/>
        <v>1.08</v>
      </c>
      <c r="H36" s="850">
        <f t="shared" si="15"/>
        <v>0.8</v>
      </c>
      <c r="I36" s="851">
        <v>0.7</v>
      </c>
      <c r="J36" s="851">
        <v>0.6</v>
      </c>
      <c r="K36" s="847">
        <v>27</v>
      </c>
    </row>
    <row r="37" spans="1:11">
      <c r="A37" s="862">
        <f>(A36+A38)/2</f>
        <v>14.5</v>
      </c>
      <c r="B37" s="850">
        <f>((A28-A37)*B38-(A38-A37)*B28)/((A28-A37)-(A38-A37))</f>
        <v>7.13</v>
      </c>
      <c r="C37" s="850">
        <f t="shared" ref="C37:H37" si="16">((B28-B37)*C38-(B38-B37)*C28)/((B28-B37)-(B38-B37))</f>
        <v>5.05</v>
      </c>
      <c r="D37" s="850">
        <f t="shared" si="16"/>
        <v>3.7600000000000002</v>
      </c>
      <c r="E37" s="850">
        <f t="shared" si="16"/>
        <v>2.7900000000000005</v>
      </c>
      <c r="F37" s="850">
        <f t="shared" si="16"/>
        <v>1.9900000000000004</v>
      </c>
      <c r="G37" s="850">
        <f t="shared" si="16"/>
        <v>1.0900000000000005</v>
      </c>
      <c r="H37" s="850">
        <f t="shared" si="16"/>
        <v>0.8</v>
      </c>
      <c r="I37" s="851">
        <v>0.7</v>
      </c>
      <c r="J37" s="851">
        <v>0.6</v>
      </c>
      <c r="K37" s="385">
        <v>28</v>
      </c>
    </row>
    <row r="38" spans="1:11">
      <c r="A38" s="863">
        <v>15</v>
      </c>
      <c r="B38" s="846">
        <v>7.2</v>
      </c>
      <c r="C38" s="846">
        <v>5.0999999999999996</v>
      </c>
      <c r="D38" s="847">
        <v>3.8</v>
      </c>
      <c r="E38" s="847">
        <v>2.8</v>
      </c>
      <c r="F38" s="847">
        <v>2</v>
      </c>
      <c r="G38" s="847">
        <v>1.1000000000000001</v>
      </c>
      <c r="H38" s="847">
        <v>0.8</v>
      </c>
      <c r="I38" s="848">
        <v>0.7</v>
      </c>
      <c r="J38" s="848">
        <v>0.6</v>
      </c>
      <c r="K38" s="847">
        <v>29</v>
      </c>
    </row>
    <row r="39" spans="1:11">
      <c r="A39" s="862">
        <f>(A38+A40)/2</f>
        <v>15.5</v>
      </c>
      <c r="B39" s="850">
        <f>((A38-A39)*B48-(A48-A39)*B38)/((A38-A39)-(A48-A39))</f>
        <v>7.2700000000000005</v>
      </c>
      <c r="C39" s="850">
        <f>((B38-B39)*C48-(B48-B39)*C38)/((B38-B39)-(B48-B39))</f>
        <v>5.15</v>
      </c>
      <c r="D39" s="850">
        <f>((C38-C39)*D48-(C48-C39)*D38)/((C38-C39)-(C48-C39))</f>
        <v>3.8300000000000005</v>
      </c>
      <c r="E39" s="850">
        <f>((D38-D39)*E48-(D48-D39)*E38)/((D38-D39)-(D48-D39))</f>
        <v>2.8200000000000003</v>
      </c>
      <c r="F39" s="850">
        <f>((E38-E39)*F48-(E48-E39)*F38)/((E38-E39)-(E48-E39))</f>
        <v>2</v>
      </c>
      <c r="G39" s="851">
        <v>1.1100000000000001</v>
      </c>
      <c r="H39" s="851">
        <v>0.8</v>
      </c>
      <c r="I39" s="851">
        <v>0.7</v>
      </c>
      <c r="J39" s="851">
        <v>0.6</v>
      </c>
      <c r="K39" s="385">
        <v>30</v>
      </c>
    </row>
    <row r="40" spans="1:11">
      <c r="A40" s="862">
        <v>16</v>
      </c>
      <c r="B40" s="850">
        <f>((A38-A40)*B48-(A48-A40)*B38)/((A38-A40)-(A48-A40))</f>
        <v>7.3400000000000007</v>
      </c>
      <c r="C40" s="850">
        <f>((B38-B40)*C48-(B48-B40)*C38)/((B38-B40)-(B48-B40))</f>
        <v>5.1999999999999993</v>
      </c>
      <c r="D40" s="850">
        <f>((C38-C40)*D48-(C48-C40)*D38)/((C38-C40)-(C48-C40))</f>
        <v>3.86</v>
      </c>
      <c r="E40" s="850">
        <f>((D38-D40)*E48-(D48-D40)*E38)/((D38-D40)-(D48-D40))</f>
        <v>2.84</v>
      </c>
      <c r="F40" s="850">
        <f>((E38-E40)*F48-(E48-E40)*F38)/((E38-E40)-(E48-E40))</f>
        <v>2</v>
      </c>
      <c r="G40" s="851">
        <v>1.1200000000000001</v>
      </c>
      <c r="H40" s="851">
        <v>0.8</v>
      </c>
      <c r="I40" s="851">
        <v>0.7</v>
      </c>
      <c r="J40" s="851">
        <v>0.6</v>
      </c>
      <c r="K40" s="847">
        <v>31</v>
      </c>
    </row>
    <row r="41" spans="1:11">
      <c r="A41" s="862">
        <f>(A40+A42)/2</f>
        <v>16.5</v>
      </c>
      <c r="B41" s="850">
        <f>((A38-A41)*B48-(A48-A41)*B38)/((A38-A41)-(A48-A41))</f>
        <v>7.4099999999999993</v>
      </c>
      <c r="C41" s="850">
        <f>((B38-B41)*C48-(B48-B41)*C38)/((B38-B41)-(B48-B41))</f>
        <v>5.2499999999999991</v>
      </c>
      <c r="D41" s="850">
        <f>((C38-C41)*D48-(C48-C41)*D38)/((C38-C41)-(C48-C41))</f>
        <v>3.8899999999999997</v>
      </c>
      <c r="E41" s="850">
        <f>((D38-D41)*E48-(D48-D41)*E38)/((D38-D41)-(D48-D41))</f>
        <v>2.86</v>
      </c>
      <c r="F41" s="850">
        <f>((E38-E41)*F48-(E48-E41)*F38)/((E38-E41)-(E48-E41))</f>
        <v>2</v>
      </c>
      <c r="G41" s="851">
        <v>1.1299999999999999</v>
      </c>
      <c r="H41" s="851">
        <v>0.8</v>
      </c>
      <c r="I41" s="851">
        <v>0.7</v>
      </c>
      <c r="J41" s="851">
        <v>0.6</v>
      </c>
      <c r="K41" s="385">
        <v>32</v>
      </c>
    </row>
    <row r="42" spans="1:11">
      <c r="A42" s="862">
        <v>17</v>
      </c>
      <c r="B42" s="850">
        <f>((A38-A42)*B48-(A48-A42)*B38)/((A38-A42)-(A48-A42))</f>
        <v>7.4800000000000013</v>
      </c>
      <c r="C42" s="850">
        <f>((B38-B42)*C48-(B48-B42)*C38)/((B38-B42)-(B48-B42))</f>
        <v>5.3000000000000007</v>
      </c>
      <c r="D42" s="850">
        <f>((C38-C42)*D48-(C48-C42)*D38)/((C38-C42)-(C48-C42))</f>
        <v>3.9200000000000004</v>
      </c>
      <c r="E42" s="850">
        <f>((D38-D42)*E48-(D48-D42)*E38)/((D38-D42)-(D48-D42))</f>
        <v>2.8800000000000003</v>
      </c>
      <c r="F42" s="850">
        <f>((E38-E42)*F48-(E48-E42)*F38)/((E38-E42)-(E48-E42))</f>
        <v>2</v>
      </c>
      <c r="G42" s="851">
        <v>1.1399999999999999</v>
      </c>
      <c r="H42" s="851">
        <v>0.8</v>
      </c>
      <c r="I42" s="851">
        <v>0.7</v>
      </c>
      <c r="J42" s="851">
        <v>0.6</v>
      </c>
      <c r="K42" s="847">
        <v>33</v>
      </c>
    </row>
    <row r="43" spans="1:11">
      <c r="A43" s="862">
        <f>(A42+A44)/2</f>
        <v>17.5</v>
      </c>
      <c r="B43" s="850">
        <f>((A38-A43)*B48-(A48-A43)*B38)/((A38-A43)-(A48-A43))</f>
        <v>7.55</v>
      </c>
      <c r="C43" s="850">
        <f>((B38-B43)*C48-(B48-B43)*C38)/((B38-B43)-(B48-B43))</f>
        <v>5.35</v>
      </c>
      <c r="D43" s="850">
        <f>((C38-C43)*D48-(C48-C43)*D38)/((C38-C43)-(C48-C43))</f>
        <v>3.9499999999999997</v>
      </c>
      <c r="E43" s="850">
        <f>((D38-D43)*E48-(D48-D43)*E38)/((D38-D43)-(D48-D43))</f>
        <v>2.9</v>
      </c>
      <c r="F43" s="850">
        <f>((E38-E43)*F48-(E48-E43)*F38)/((E38-E43)-(E48-E43))</f>
        <v>2</v>
      </c>
      <c r="G43" s="851">
        <v>1.1499999999999999</v>
      </c>
      <c r="H43" s="851">
        <v>0.8</v>
      </c>
      <c r="I43" s="851">
        <v>0.7</v>
      </c>
      <c r="J43" s="851">
        <v>0.6</v>
      </c>
      <c r="K43" s="385">
        <v>34</v>
      </c>
    </row>
    <row r="44" spans="1:11">
      <c r="A44" s="862">
        <v>18</v>
      </c>
      <c r="B44" s="850">
        <f>((A38-A44)*B48-(A48-A44)*B38)/((A38-A44)-(A48-A44))</f>
        <v>7.62</v>
      </c>
      <c r="C44" s="850">
        <f>((B38-B44)*C48-(B48-B44)*C38)/((B38-B44)-(B48-B44))</f>
        <v>5.3999999999999995</v>
      </c>
      <c r="D44" s="850">
        <f>((C38-C44)*D48-(C48-C44)*D38)/((C38-C44)-(C48-C44))</f>
        <v>3.9799999999999995</v>
      </c>
      <c r="E44" s="850">
        <f>((D38-D44)*E48-(D48-D44)*E38)/((D38-D44)-(D48-D44))</f>
        <v>2.92</v>
      </c>
      <c r="F44" s="850">
        <f>((E38-E44)*F48-(E48-E44)*F38)/((E38-E44)-(E48-E44))</f>
        <v>2</v>
      </c>
      <c r="G44" s="851">
        <v>1.1599999999999999</v>
      </c>
      <c r="H44" s="851">
        <v>0.8</v>
      </c>
      <c r="I44" s="851">
        <v>0.7</v>
      </c>
      <c r="J44" s="851">
        <v>0.6</v>
      </c>
      <c r="K44" s="847">
        <v>35</v>
      </c>
    </row>
    <row r="45" spans="1:11">
      <c r="A45" s="862">
        <f>(A44+A46)/2</f>
        <v>18.5</v>
      </c>
      <c r="B45" s="850">
        <f>((A38-A45)*B48-(A48-A45)*B38)/((A38-A45)-(A48-A45))</f>
        <v>7.69</v>
      </c>
      <c r="C45" s="850">
        <f>((B38-B45)*C48-(B48-B45)*C38)/((B38-B45)-(B48-B45))</f>
        <v>5.45</v>
      </c>
      <c r="D45" s="850">
        <f>((C38-C45)*D48-(C48-C45)*D38)/((C38-C45)-(C48-C45))</f>
        <v>4.01</v>
      </c>
      <c r="E45" s="850">
        <f>((D38-D45)*E48-(D48-D45)*E38)/((D38-D45)-(D48-D45))</f>
        <v>2.94</v>
      </c>
      <c r="F45" s="850">
        <f>((E38-E45)*F48-(E48-E45)*F38)/((E38-E45)-(E48-E45))</f>
        <v>2</v>
      </c>
      <c r="G45" s="851">
        <v>1.17</v>
      </c>
      <c r="H45" s="851">
        <v>0.8</v>
      </c>
      <c r="I45" s="851">
        <v>0.7</v>
      </c>
      <c r="J45" s="851">
        <v>0.6</v>
      </c>
      <c r="K45" s="385">
        <v>36</v>
      </c>
    </row>
    <row r="46" spans="1:11">
      <c r="A46" s="862">
        <v>19</v>
      </c>
      <c r="B46" s="850">
        <f>((A38-A46)*B48-(A48-A46)*B38)/((A38-A46)-(A48-A46))</f>
        <v>7.7600000000000007</v>
      </c>
      <c r="C46" s="850">
        <f>((B38-B46)*C48-(B48-B46)*C38)/((B38-B46)-(B48-B46))</f>
        <v>5.5</v>
      </c>
      <c r="D46" s="850">
        <f>((C38-C46)*D48-(C48-C46)*D38)/((C38-C46)-(C48-C46))</f>
        <v>4.04</v>
      </c>
      <c r="E46" s="850">
        <f>((D38-D46)*E48-(D48-D46)*E38)/((D38-D46)-(D48-D46))</f>
        <v>2.9600000000000004</v>
      </c>
      <c r="F46" s="850">
        <f>((E38-E46)*F48-(E48-E46)*F38)/((E38-E46)-(E48-E46))</f>
        <v>2</v>
      </c>
      <c r="G46" s="851">
        <v>1.18</v>
      </c>
      <c r="H46" s="851">
        <v>0.8</v>
      </c>
      <c r="I46" s="851">
        <v>0.7</v>
      </c>
      <c r="J46" s="851">
        <v>0.6</v>
      </c>
      <c r="K46" s="847">
        <v>37</v>
      </c>
    </row>
    <row r="47" spans="1:11">
      <c r="A47" s="862">
        <f>(A46+A48)/2</f>
        <v>19.5</v>
      </c>
      <c r="B47" s="850">
        <f>((A38-A47)*B48-(A48-A47)*B38)/((A38-A47)-(A48-A47))</f>
        <v>7.830000000000001</v>
      </c>
      <c r="C47" s="850">
        <f>((B38-B47)*C48-(B48-B47)*C38)/((B38-B47)-(B48-B47))</f>
        <v>5.55</v>
      </c>
      <c r="D47" s="850">
        <f>((C38-C47)*D48-(C48-C47)*D38)/((C38-C47)-(C48-C47))</f>
        <v>4.07</v>
      </c>
      <c r="E47" s="850">
        <f>((D38-D47)*E48-(D48-D47)*E38)/((D38-D47)-(D48-D47))</f>
        <v>2.9800000000000004</v>
      </c>
      <c r="F47" s="850">
        <f>((E38-E47)*F48-(E48-E47)*F38)/((E38-E47)-(E48-E47))</f>
        <v>2</v>
      </c>
      <c r="G47" s="851">
        <v>1.19</v>
      </c>
      <c r="H47" s="851">
        <v>0.8</v>
      </c>
      <c r="I47" s="851">
        <v>0.7</v>
      </c>
      <c r="J47" s="851">
        <v>0.6</v>
      </c>
      <c r="K47" s="385">
        <v>38</v>
      </c>
    </row>
    <row r="48" spans="1:11">
      <c r="A48" s="863">
        <v>20</v>
      </c>
      <c r="B48" s="846">
        <v>7.9</v>
      </c>
      <c r="C48" s="846">
        <v>5.6</v>
      </c>
      <c r="D48" s="847">
        <v>4.0999999999999996</v>
      </c>
      <c r="E48" s="847">
        <v>3</v>
      </c>
      <c r="F48" s="847">
        <v>2</v>
      </c>
      <c r="G48" s="847">
        <v>1.2</v>
      </c>
      <c r="H48" s="847">
        <v>0.8</v>
      </c>
      <c r="I48" s="848">
        <v>0.7</v>
      </c>
      <c r="J48" s="848">
        <v>0.6</v>
      </c>
      <c r="K48" s="847">
        <v>39</v>
      </c>
    </row>
    <row r="49" spans="1:11">
      <c r="A49" s="862">
        <f>(A48+A50)/2</f>
        <v>20.5</v>
      </c>
      <c r="B49" s="850">
        <f>((A48-A49)*B58-(A58-A49)*B48)/((A48-A49)-(A58-A49))</f>
        <v>7.9700000000000006</v>
      </c>
      <c r="C49" s="850">
        <f>((B48-B49)*C58-(B58-B49)*C48)/((B48-B49)-(B58-B49))</f>
        <v>5.65</v>
      </c>
      <c r="D49" s="850">
        <f>((C48-C49)*D58-(C58-C49)*D48)/((C48-C49)-(C58-C49))</f>
        <v>4.13</v>
      </c>
      <c r="E49" s="850">
        <f>((D48-D49)*E58-(D58-D49)*E48)/((D48-D49)-(D58-D49))</f>
        <v>3.02</v>
      </c>
      <c r="F49" s="850">
        <f>((E48-E49)*F58-(E58-E49)*F48)/((E48-E49)-(E58-E49))</f>
        <v>2</v>
      </c>
      <c r="G49" s="851">
        <v>1.2</v>
      </c>
      <c r="H49" s="851">
        <v>0.8</v>
      </c>
      <c r="I49" s="851">
        <v>0.7</v>
      </c>
      <c r="J49" s="851">
        <v>0.6</v>
      </c>
      <c r="K49" s="385">
        <v>40</v>
      </c>
    </row>
    <row r="50" spans="1:11">
      <c r="A50" s="862">
        <v>21</v>
      </c>
      <c r="B50" s="850">
        <f>((A48-A50)*B58-(A58-A50)*B48)/((A48-A50)-(A58-A50))</f>
        <v>8.0400000000000009</v>
      </c>
      <c r="C50" s="850">
        <f>((B48-B50)*C58-(B58-B50)*C48)/((B48-B50)-(B58-B50))</f>
        <v>5.7</v>
      </c>
      <c r="D50" s="850">
        <f>((C48-C50)*D58-(C58-C50)*D48)/((C48-C50)-(C58-C50))</f>
        <v>4.16</v>
      </c>
      <c r="E50" s="850">
        <f>((D48-D50)*E58-(D58-D50)*E48)/((D48-D50)-(D58-D50))</f>
        <v>3.0400000000000005</v>
      </c>
      <c r="F50" s="850">
        <f>((E48-E50)*F58-(E58-E50)*F48)/((E48-E50)-(E58-E50))</f>
        <v>2</v>
      </c>
      <c r="G50" s="851">
        <v>1.2</v>
      </c>
      <c r="H50" s="851">
        <v>0.8</v>
      </c>
      <c r="I50" s="851">
        <v>0.7</v>
      </c>
      <c r="J50" s="851">
        <v>0.6</v>
      </c>
      <c r="K50" s="847">
        <v>41</v>
      </c>
    </row>
    <row r="51" spans="1:11">
      <c r="A51" s="862">
        <f>(A50+A52)/2</f>
        <v>21.5</v>
      </c>
      <c r="B51" s="850">
        <f>((A48-A51)*B58-(A58-A51)*B48)/((A48-A51)-(A58-A51))</f>
        <v>8.11</v>
      </c>
      <c r="C51" s="850">
        <f>((B48-B51)*C58-(B58-B51)*C48)/((B48-B51)-(B58-B51))</f>
        <v>5.7499999999999991</v>
      </c>
      <c r="D51" s="850">
        <f>((C48-C51)*D58-(C58-C51)*D48)/((C48-C51)-(C58-C51))</f>
        <v>4.1899999999999995</v>
      </c>
      <c r="E51" s="850">
        <f>((D48-D51)*E58-(D58-D51)*E48)/((D48-D51)-(D58-D51))</f>
        <v>3.06</v>
      </c>
      <c r="F51" s="850">
        <f>((E48-E51)*F58-(E58-E51)*F48)/((E48-E51)-(E58-E51))</f>
        <v>2</v>
      </c>
      <c r="G51" s="851">
        <v>1.2</v>
      </c>
      <c r="H51" s="851">
        <v>0.8</v>
      </c>
      <c r="I51" s="851">
        <v>0.7</v>
      </c>
      <c r="J51" s="851">
        <v>0.6</v>
      </c>
      <c r="K51" s="385">
        <v>42</v>
      </c>
    </row>
    <row r="52" spans="1:11">
      <c r="A52" s="862">
        <v>22</v>
      </c>
      <c r="B52" s="850">
        <f>((A48-A52)*B58-(A58-A52)*B48)/((A48-A52)-(A58-A52))</f>
        <v>8.1800000000000015</v>
      </c>
      <c r="C52" s="850">
        <f>((B48-B52)*C58-(B58-B52)*C48)/((B48-B52)-(B58-B52))</f>
        <v>5.8000000000000016</v>
      </c>
      <c r="D52" s="850">
        <f>((C48-C52)*D58-(C58-C52)*D48)/((C48-C52)-(C58-C52))</f>
        <v>4.2200000000000015</v>
      </c>
      <c r="E52" s="850">
        <f>((D48-D52)*E58-(D58-D52)*E48)/((D48-D52)-(D58-D52))</f>
        <v>3.0800000000000014</v>
      </c>
      <c r="F52" s="850">
        <f>((E48-E52)*F58-(E58-E52)*F48)/((E48-E52)-(E58-E52))</f>
        <v>2</v>
      </c>
      <c r="G52" s="851">
        <v>1.2</v>
      </c>
      <c r="H52" s="851">
        <v>0.8</v>
      </c>
      <c r="I52" s="851">
        <v>0.7</v>
      </c>
      <c r="J52" s="851">
        <v>0.6</v>
      </c>
      <c r="K52" s="847">
        <v>43</v>
      </c>
    </row>
    <row r="53" spans="1:11">
      <c r="A53" s="862">
        <f>(A52+A54)/2</f>
        <v>22.5</v>
      </c>
      <c r="B53" s="850">
        <f>((A48-A53)*B58-(A58-A53)*B48)/((A48-A53)-(A58-A53))</f>
        <v>8.25</v>
      </c>
      <c r="C53" s="850">
        <f>((B48-B53)*C58-(B58-B53)*C48)/((B48-B53)-(B58-B53))</f>
        <v>5.85</v>
      </c>
      <c r="D53" s="850">
        <f>((C48-C53)*D58-(C58-C53)*D48)/((C48-C53)-(C58-C53))</f>
        <v>4.25</v>
      </c>
      <c r="E53" s="850">
        <f>((D48-D53)*E58-(D58-D53)*E48)/((D48-D53)-(D58-D53))</f>
        <v>3.0999999999999996</v>
      </c>
      <c r="F53" s="850">
        <f>((E48-E53)*F58-(E58-E53)*F48)/((E48-E53)-(E58-E53))</f>
        <v>2</v>
      </c>
      <c r="G53" s="851">
        <v>1.2</v>
      </c>
      <c r="H53" s="851">
        <v>0.8</v>
      </c>
      <c r="I53" s="851">
        <v>0.7</v>
      </c>
      <c r="J53" s="851">
        <v>0.6</v>
      </c>
      <c r="K53" s="385">
        <v>44</v>
      </c>
    </row>
    <row r="54" spans="1:11">
      <c r="A54" s="862">
        <v>23</v>
      </c>
      <c r="B54" s="850">
        <f>((A48-A54)*B58-(A58-A54)*B48)/((A48-A54)-(A58-A54))</f>
        <v>8.3199999999999985</v>
      </c>
      <c r="C54" s="850">
        <f>((B48-B54)*C58-(B58-B54)*C48)/((B48-B54)-(B58-B54))</f>
        <v>5.8999999999999995</v>
      </c>
      <c r="D54" s="850">
        <f>((C48-C54)*D58-(C58-C54)*D48)/((C48-C54)-(C58-C54))</f>
        <v>4.28</v>
      </c>
      <c r="E54" s="850">
        <f>((D48-D54)*E58-(D58-D54)*E48)/((D48-D54)-(D58-D54))</f>
        <v>3.12</v>
      </c>
      <c r="F54" s="850">
        <f>((E48-E54)*F58-(E58-E54)*F48)/((E48-E54)-(E58-E54))</f>
        <v>2</v>
      </c>
      <c r="G54" s="851">
        <v>1.2</v>
      </c>
      <c r="H54" s="851">
        <v>0.8</v>
      </c>
      <c r="I54" s="851">
        <v>0.7</v>
      </c>
      <c r="J54" s="851">
        <v>0.6</v>
      </c>
      <c r="K54" s="847">
        <v>45</v>
      </c>
    </row>
    <row r="55" spans="1:11">
      <c r="A55" s="862">
        <f>(A54+A56)/2</f>
        <v>23.5</v>
      </c>
      <c r="B55" s="850">
        <f>((A48-A55)*B58-(A58-A55)*B48)/((A48-A55)-(A58-A55))</f>
        <v>8.39</v>
      </c>
      <c r="C55" s="850">
        <f>((B48-B55)*C58-(B58-B55)*C48)/((B48-B55)-(B58-B55))</f>
        <v>5.95</v>
      </c>
      <c r="D55" s="850">
        <f>((C48-C55)*D58-(C58-C55)*D48)/((C48-C55)-(C58-C55))</f>
        <v>4.3100000000000005</v>
      </c>
      <c r="E55" s="850">
        <f>((D48-D55)*E58-(D58-D55)*E48)/((D48-D55)-(D58-D55))</f>
        <v>3.1400000000000006</v>
      </c>
      <c r="F55" s="850">
        <f>((E48-E55)*F58-(E58-E55)*F48)/((E48-E55)-(E58-E55))</f>
        <v>2</v>
      </c>
      <c r="G55" s="851">
        <v>1.2</v>
      </c>
      <c r="H55" s="851">
        <v>0.8</v>
      </c>
      <c r="I55" s="851">
        <v>0.7</v>
      </c>
      <c r="J55" s="851">
        <v>0.6</v>
      </c>
      <c r="K55" s="385">
        <v>46</v>
      </c>
    </row>
    <row r="56" spans="1:11">
      <c r="A56" s="862">
        <v>24</v>
      </c>
      <c r="B56" s="850">
        <f>((A48-A56)*B58-(A58-A56)*B48)/((A48-A56)-(A58-A56))</f>
        <v>8.4599999999999991</v>
      </c>
      <c r="C56" s="850">
        <f>((B48-B56)*C58-(B58-B56)*C48)/((B48-B56)-(B58-B56))</f>
        <v>5.9999999999999991</v>
      </c>
      <c r="D56" s="850">
        <f>((C48-C56)*D58-(C58-C56)*D48)/((C48-C56)-(C58-C56))</f>
        <v>4.34</v>
      </c>
      <c r="E56" s="850">
        <f>((D48-D56)*E58-(D58-D56)*E48)/((D48-D56)-(D58-D56))</f>
        <v>3.1599999999999997</v>
      </c>
      <c r="F56" s="850">
        <f>((E48-E56)*F58-(E58-E56)*F48)/((E48-E56)-(E58-E56))</f>
        <v>2</v>
      </c>
      <c r="G56" s="851">
        <v>1.2</v>
      </c>
      <c r="H56" s="851">
        <v>0.8</v>
      </c>
      <c r="I56" s="851">
        <v>0.7</v>
      </c>
      <c r="J56" s="851">
        <v>0.6</v>
      </c>
      <c r="K56" s="847">
        <v>47</v>
      </c>
    </row>
    <row r="57" spans="1:11">
      <c r="A57" s="862">
        <f>(A56+A58)/2</f>
        <v>24.5</v>
      </c>
      <c r="B57" s="850">
        <f>((A48-A57)*B58-(A58-A57)*B48)/((A48-A57)-(A58-A57))</f>
        <v>8.5299999999999994</v>
      </c>
      <c r="C57" s="850">
        <f>((B48-B57)*C58-(B58-B57)*C48)/((B48-B57)-(B58-B57))</f>
        <v>6.0499999999999989</v>
      </c>
      <c r="D57" s="850">
        <f>((C48-C57)*D58-(C58-C57)*D48)/((C48-C57)-(C58-C57))</f>
        <v>4.37</v>
      </c>
      <c r="E57" s="850">
        <f>((D48-D57)*E58-(D58-D57)*E48)/((D48-D57)-(D58-D57))</f>
        <v>3.18</v>
      </c>
      <c r="F57" s="850">
        <f>((E48-E57)*F58-(E58-E57)*F48)/((E48-E57)-(E58-E57))</f>
        <v>2</v>
      </c>
      <c r="G57" s="851">
        <v>1.2</v>
      </c>
      <c r="H57" s="851">
        <v>0.8</v>
      </c>
      <c r="I57" s="851">
        <v>0.7</v>
      </c>
      <c r="J57" s="851">
        <v>0.6</v>
      </c>
      <c r="K57" s="385">
        <v>48</v>
      </c>
    </row>
    <row r="58" spans="1:11">
      <c r="A58" s="863">
        <v>25</v>
      </c>
      <c r="B58" s="846">
        <v>8.6</v>
      </c>
      <c r="C58" s="846">
        <v>6.1</v>
      </c>
      <c r="D58" s="847">
        <v>4.4000000000000004</v>
      </c>
      <c r="E58" s="847">
        <v>3.2</v>
      </c>
      <c r="F58" s="847">
        <v>2</v>
      </c>
      <c r="G58" s="847">
        <v>1.2</v>
      </c>
      <c r="H58" s="847">
        <v>0.8</v>
      </c>
      <c r="I58" s="848">
        <v>0.7</v>
      </c>
      <c r="J58" s="848">
        <v>0.6</v>
      </c>
      <c r="K58" s="847">
        <v>49</v>
      </c>
    </row>
    <row r="59" spans="1:11">
      <c r="A59" s="862">
        <f>(A58+A60)/2</f>
        <v>25.5</v>
      </c>
      <c r="B59" s="850">
        <f t="shared" ref="B59:G59" si="17">((A58-A59)*B68-(A68-A59)*B58)/((A58-A59)-(A68-A59))</f>
        <v>8.6699999999999982</v>
      </c>
      <c r="C59" s="850">
        <f t="shared" si="17"/>
        <v>6.1499999999999995</v>
      </c>
      <c r="D59" s="850">
        <f t="shared" si="17"/>
        <v>4.43</v>
      </c>
      <c r="E59" s="850">
        <f t="shared" si="17"/>
        <v>3.2199999999999998</v>
      </c>
      <c r="F59" s="850">
        <f t="shared" si="17"/>
        <v>2.0099999999999998</v>
      </c>
      <c r="G59" s="850">
        <f t="shared" si="17"/>
        <v>1.2</v>
      </c>
      <c r="H59" s="851">
        <v>0.81</v>
      </c>
      <c r="I59" s="851">
        <v>0.71</v>
      </c>
      <c r="J59" s="851">
        <v>0.61</v>
      </c>
      <c r="K59" s="385">
        <v>50</v>
      </c>
    </row>
    <row r="60" spans="1:11">
      <c r="A60" s="862">
        <v>26</v>
      </c>
      <c r="B60" s="850">
        <f t="shared" ref="B60:G60" si="18">((A58-A60)*B68-(A68-A60)*B58)/((A58-A60)-(A68-A60))</f>
        <v>8.74</v>
      </c>
      <c r="C60" s="850">
        <f t="shared" si="18"/>
        <v>6.2</v>
      </c>
      <c r="D60" s="850">
        <f t="shared" si="18"/>
        <v>4.4600000000000009</v>
      </c>
      <c r="E60" s="850">
        <f t="shared" si="18"/>
        <v>3.24</v>
      </c>
      <c r="F60" s="850">
        <f t="shared" si="18"/>
        <v>2.02</v>
      </c>
      <c r="G60" s="850">
        <f t="shared" si="18"/>
        <v>1.2</v>
      </c>
      <c r="H60" s="851">
        <v>0.82</v>
      </c>
      <c r="I60" s="851">
        <v>0.72</v>
      </c>
      <c r="J60" s="851">
        <v>0.62</v>
      </c>
      <c r="K60" s="847">
        <v>51</v>
      </c>
    </row>
    <row r="61" spans="1:11">
      <c r="A61" s="862">
        <f>(A60+A62)/2</f>
        <v>26.5</v>
      </c>
      <c r="B61" s="850">
        <f t="shared" ref="B61:G61" si="19">((A58-A61)*B68-(A68-A61)*B58)/((A58-A61)-(A68-A61))</f>
        <v>8.8099999999999987</v>
      </c>
      <c r="C61" s="850">
        <f t="shared" si="19"/>
        <v>6.2499999999999982</v>
      </c>
      <c r="D61" s="850">
        <f t="shared" si="19"/>
        <v>4.4899999999999993</v>
      </c>
      <c r="E61" s="850">
        <f t="shared" si="19"/>
        <v>3.26</v>
      </c>
      <c r="F61" s="850">
        <f t="shared" si="19"/>
        <v>2.0300000000000002</v>
      </c>
      <c r="G61" s="850">
        <f t="shared" si="19"/>
        <v>1.2</v>
      </c>
      <c r="H61" s="851">
        <v>0.83</v>
      </c>
      <c r="I61" s="851">
        <v>0.73</v>
      </c>
      <c r="J61" s="851">
        <v>0.63</v>
      </c>
      <c r="K61" s="385">
        <v>52</v>
      </c>
    </row>
    <row r="62" spans="1:11">
      <c r="A62" s="862">
        <v>27</v>
      </c>
      <c r="B62" s="850">
        <f t="shared" ref="B62:G62" si="20">((A58-A62)*B68-(A68-A62)*B58)/((A58-A62)-(A68-A62))</f>
        <v>8.879999999999999</v>
      </c>
      <c r="C62" s="850">
        <f t="shared" si="20"/>
        <v>6.299999999999998</v>
      </c>
      <c r="D62" s="850">
        <f t="shared" si="20"/>
        <v>4.5199999999999996</v>
      </c>
      <c r="E62" s="850">
        <f t="shared" si="20"/>
        <v>3.28</v>
      </c>
      <c r="F62" s="850">
        <f t="shared" si="20"/>
        <v>2.04</v>
      </c>
      <c r="G62" s="850">
        <f t="shared" si="20"/>
        <v>1.2</v>
      </c>
      <c r="H62" s="851">
        <v>0.84</v>
      </c>
      <c r="I62" s="851">
        <v>0.74</v>
      </c>
      <c r="J62" s="851">
        <v>0.64</v>
      </c>
      <c r="K62" s="847">
        <v>53</v>
      </c>
    </row>
    <row r="63" spans="1:11">
      <c r="A63" s="862">
        <f>(A62+A64)/2</f>
        <v>27.5</v>
      </c>
      <c r="B63" s="850">
        <f t="shared" ref="B63:G63" si="21">((A58-A63)*B68-(A68-A63)*B58)/((A58-A63)-(A68-A63))</f>
        <v>8.9499999999999993</v>
      </c>
      <c r="C63" s="850">
        <f t="shared" si="21"/>
        <v>6.3499999999999988</v>
      </c>
      <c r="D63" s="850">
        <f t="shared" si="21"/>
        <v>4.55</v>
      </c>
      <c r="E63" s="850">
        <f t="shared" si="21"/>
        <v>3.3</v>
      </c>
      <c r="F63" s="850">
        <f t="shared" si="21"/>
        <v>2.0500000000000003</v>
      </c>
      <c r="G63" s="850">
        <f t="shared" si="21"/>
        <v>1.2</v>
      </c>
      <c r="H63" s="851">
        <v>0.85</v>
      </c>
      <c r="I63" s="851">
        <v>0.75</v>
      </c>
      <c r="J63" s="851">
        <v>0.65</v>
      </c>
      <c r="K63" s="385">
        <v>54</v>
      </c>
    </row>
    <row r="64" spans="1:11">
      <c r="A64" s="862">
        <v>28</v>
      </c>
      <c r="B64" s="850">
        <f t="shared" ref="B64:G64" si="22">((A58-A64)*B68-(A68-A64)*B58)/((A58-A64)-(A68-A64))</f>
        <v>9.02</v>
      </c>
      <c r="C64" s="850">
        <f t="shared" si="22"/>
        <v>6.3999999999999986</v>
      </c>
      <c r="D64" s="850">
        <f t="shared" si="22"/>
        <v>4.58</v>
      </c>
      <c r="E64" s="850">
        <f t="shared" si="22"/>
        <v>3.32</v>
      </c>
      <c r="F64" s="850">
        <f t="shared" si="22"/>
        <v>2.06</v>
      </c>
      <c r="G64" s="850">
        <f t="shared" si="22"/>
        <v>1.2</v>
      </c>
      <c r="H64" s="851">
        <v>0.86</v>
      </c>
      <c r="I64" s="851">
        <v>0.76</v>
      </c>
      <c r="J64" s="851">
        <v>0.66</v>
      </c>
      <c r="K64" s="847">
        <v>55</v>
      </c>
    </row>
    <row r="65" spans="1:11">
      <c r="A65" s="862">
        <f>(A64+A66)/2</f>
        <v>28.5</v>
      </c>
      <c r="B65" s="850">
        <f t="shared" ref="B65:G65" si="23">((A58-A65)*B68-(A68-A65)*B58)/((A58-A65)-(A68-A65))</f>
        <v>9.09</v>
      </c>
      <c r="C65" s="850">
        <f t="shared" si="23"/>
        <v>6.4499999999999984</v>
      </c>
      <c r="D65" s="850">
        <f t="shared" si="23"/>
        <v>4.6099999999999994</v>
      </c>
      <c r="E65" s="850">
        <f t="shared" si="23"/>
        <v>3.34</v>
      </c>
      <c r="F65" s="850">
        <f t="shared" si="23"/>
        <v>2.0699999999999998</v>
      </c>
      <c r="G65" s="850">
        <f t="shared" si="23"/>
        <v>1.2</v>
      </c>
      <c r="H65" s="851">
        <v>0.87</v>
      </c>
      <c r="I65" s="851">
        <v>0.77</v>
      </c>
      <c r="J65" s="851">
        <v>0.67</v>
      </c>
      <c r="K65" s="385">
        <v>56</v>
      </c>
    </row>
    <row r="66" spans="1:11">
      <c r="A66" s="862">
        <v>29</v>
      </c>
      <c r="B66" s="850">
        <f t="shared" ref="B66:G66" si="24">((A58-A66)*B68-(A68-A66)*B58)/((A58-A66)-(A68-A66))</f>
        <v>9.16</v>
      </c>
      <c r="C66" s="850">
        <f t="shared" si="24"/>
        <v>6.5</v>
      </c>
      <c r="D66" s="850">
        <f t="shared" si="24"/>
        <v>4.6400000000000006</v>
      </c>
      <c r="E66" s="850">
        <f t="shared" si="24"/>
        <v>3.3600000000000003</v>
      </c>
      <c r="F66" s="850">
        <f t="shared" si="24"/>
        <v>2.08</v>
      </c>
      <c r="G66" s="850">
        <f t="shared" si="24"/>
        <v>1.2</v>
      </c>
      <c r="H66" s="851">
        <v>0.88</v>
      </c>
      <c r="I66" s="851">
        <v>0.78</v>
      </c>
      <c r="J66" s="851">
        <v>0.68</v>
      </c>
      <c r="K66" s="847">
        <v>57</v>
      </c>
    </row>
    <row r="67" spans="1:11">
      <c r="A67" s="862">
        <f>(A66+A68)/2</f>
        <v>29.5</v>
      </c>
      <c r="B67" s="850">
        <f t="shared" ref="B67:G67" si="25">((A58-A67)*B68-(A68-A67)*B58)/((A58-A67)-(A68-A67))</f>
        <v>9.23</v>
      </c>
      <c r="C67" s="850">
        <f t="shared" si="25"/>
        <v>6.5499999999999989</v>
      </c>
      <c r="D67" s="850">
        <f t="shared" si="25"/>
        <v>4.67</v>
      </c>
      <c r="E67" s="850">
        <f t="shared" si="25"/>
        <v>3.38</v>
      </c>
      <c r="F67" s="850">
        <f t="shared" si="25"/>
        <v>2.09</v>
      </c>
      <c r="G67" s="850">
        <f t="shared" si="25"/>
        <v>1.2</v>
      </c>
      <c r="H67" s="851">
        <v>0.89</v>
      </c>
      <c r="I67" s="851">
        <v>0.79</v>
      </c>
      <c r="J67" s="851">
        <v>0.69</v>
      </c>
      <c r="K67" s="385">
        <v>58</v>
      </c>
    </row>
    <row r="68" spans="1:11">
      <c r="A68" s="863">
        <v>30</v>
      </c>
      <c r="B68" s="846">
        <v>9.3000000000000007</v>
      </c>
      <c r="C68" s="846">
        <v>6.6</v>
      </c>
      <c r="D68" s="847">
        <v>4.7</v>
      </c>
      <c r="E68" s="847">
        <v>3.4</v>
      </c>
      <c r="F68" s="847">
        <v>2.1</v>
      </c>
      <c r="G68" s="847">
        <v>1.2</v>
      </c>
      <c r="H68" s="847">
        <v>0.9</v>
      </c>
      <c r="I68" s="848">
        <v>0.8</v>
      </c>
      <c r="J68" s="848">
        <v>0.7</v>
      </c>
      <c r="K68" s="847">
        <v>59</v>
      </c>
    </row>
    <row r="69" spans="1:11">
      <c r="A69" s="862">
        <f>(A68+A70)/2</f>
        <v>30.5</v>
      </c>
      <c r="B69" s="850">
        <f>((A68-A69)*B78-(A78-A69)*B68)/((A68-A69)-(A78-A69))</f>
        <v>9.370000000000001</v>
      </c>
      <c r="C69" s="850">
        <f t="shared" ref="C69:H69" si="26">((B68-B69)*C78-(B78-B69)*C68)/((B68-B69)-(B78-B69))</f>
        <v>6.64</v>
      </c>
      <c r="D69" s="850">
        <f t="shared" si="26"/>
        <v>4.7300000000000004</v>
      </c>
      <c r="E69" s="850">
        <f t="shared" si="26"/>
        <v>3.42</v>
      </c>
      <c r="F69" s="850">
        <f t="shared" si="26"/>
        <v>2.11</v>
      </c>
      <c r="G69" s="850">
        <f t="shared" si="26"/>
        <v>1.2099999999999997</v>
      </c>
      <c r="H69" s="850">
        <f t="shared" si="26"/>
        <v>0.90000000000000013</v>
      </c>
      <c r="I69" s="851">
        <v>0.8</v>
      </c>
      <c r="J69" s="851">
        <v>0.7</v>
      </c>
      <c r="K69" s="385">
        <v>60</v>
      </c>
    </row>
    <row r="70" spans="1:11">
      <c r="A70" s="862">
        <v>31</v>
      </c>
      <c r="B70" s="850">
        <f>((A68-A70)*B78-(A78-A70)*B68)/((A68-A70)-(A78-A70))</f>
        <v>9.4400000000000013</v>
      </c>
      <c r="C70" s="850">
        <f t="shared" ref="C70:H70" si="27">((B68-B70)*C78-(B78-B70)*C68)/((B68-B70)-(B78-B70))</f>
        <v>6.68</v>
      </c>
      <c r="D70" s="850">
        <f t="shared" si="27"/>
        <v>4.76</v>
      </c>
      <c r="E70" s="850">
        <f t="shared" si="27"/>
        <v>3.44</v>
      </c>
      <c r="F70" s="850">
        <f t="shared" si="27"/>
        <v>2.12</v>
      </c>
      <c r="G70" s="850">
        <f t="shared" si="27"/>
        <v>1.22</v>
      </c>
      <c r="H70" s="850">
        <f t="shared" si="27"/>
        <v>0.9</v>
      </c>
      <c r="I70" s="851">
        <v>0.8</v>
      </c>
      <c r="J70" s="851">
        <v>0.7</v>
      </c>
      <c r="K70" s="847">
        <v>61</v>
      </c>
    </row>
    <row r="71" spans="1:11">
      <c r="A71" s="862">
        <f>(A70+A72)/2</f>
        <v>31.5</v>
      </c>
      <c r="B71" s="850">
        <f>((A68-A71)*B78-(A78-A71)*B68)/((A68-A71)-(A78-A71))</f>
        <v>9.5100000000000016</v>
      </c>
      <c r="C71" s="850">
        <f t="shared" ref="C71:H71" si="28">((B68-B71)*C78-(B78-B71)*C68)/((B68-B71)-(B78-B71))</f>
        <v>6.72</v>
      </c>
      <c r="D71" s="850">
        <f t="shared" si="28"/>
        <v>4.79</v>
      </c>
      <c r="E71" s="850">
        <f t="shared" si="28"/>
        <v>3.46</v>
      </c>
      <c r="F71" s="850">
        <f t="shared" si="28"/>
        <v>2.13</v>
      </c>
      <c r="G71" s="850">
        <f t="shared" si="28"/>
        <v>1.2299999999999998</v>
      </c>
      <c r="H71" s="850">
        <f t="shared" si="28"/>
        <v>0.90000000000000013</v>
      </c>
      <c r="I71" s="851">
        <v>0.8</v>
      </c>
      <c r="J71" s="851">
        <v>0.7</v>
      </c>
      <c r="K71" s="385">
        <v>62</v>
      </c>
    </row>
    <row r="72" spans="1:11">
      <c r="A72" s="862">
        <v>32</v>
      </c>
      <c r="B72" s="850">
        <f>((A68-A72)*B78-(A78-A72)*B68)/((A68-A72)-(A78-A72))</f>
        <v>9.5800000000000018</v>
      </c>
      <c r="C72" s="850">
        <f t="shared" ref="C72:H72" si="29">((B68-B72)*C78-(B78-B72)*C68)/((B68-B72)-(B78-B72))</f>
        <v>6.7600000000000007</v>
      </c>
      <c r="D72" s="850">
        <f t="shared" si="29"/>
        <v>4.82</v>
      </c>
      <c r="E72" s="850">
        <f t="shared" si="29"/>
        <v>3.48</v>
      </c>
      <c r="F72" s="850">
        <f t="shared" si="29"/>
        <v>2.14</v>
      </c>
      <c r="G72" s="850">
        <f t="shared" si="29"/>
        <v>1.24</v>
      </c>
      <c r="H72" s="850">
        <f t="shared" si="29"/>
        <v>0.9</v>
      </c>
      <c r="I72" s="851">
        <v>0.8</v>
      </c>
      <c r="J72" s="851">
        <v>0.7</v>
      </c>
      <c r="K72" s="847">
        <v>63</v>
      </c>
    </row>
    <row r="73" spans="1:11">
      <c r="A73" s="862">
        <f>(A72+A74)/2</f>
        <v>32.5</v>
      </c>
      <c r="B73" s="850">
        <f>((A68-A73)*B78-(A78-A73)*B68)/((A68-A73)-(A78-A73))</f>
        <v>9.65</v>
      </c>
      <c r="C73" s="850">
        <f t="shared" ref="C73:H73" si="30">((B68-B73)*C78-(B78-B73)*C68)/((B68-B73)-(B78-B73))</f>
        <v>6.7999999999999989</v>
      </c>
      <c r="D73" s="850">
        <f t="shared" si="30"/>
        <v>4.8499999999999996</v>
      </c>
      <c r="E73" s="850">
        <f t="shared" si="30"/>
        <v>3.5</v>
      </c>
      <c r="F73" s="850">
        <f t="shared" si="30"/>
        <v>2.15</v>
      </c>
      <c r="G73" s="850">
        <f t="shared" si="30"/>
        <v>1.2499999999999998</v>
      </c>
      <c r="H73" s="850">
        <f t="shared" si="30"/>
        <v>0.9</v>
      </c>
      <c r="I73" s="851">
        <v>0.8</v>
      </c>
      <c r="J73" s="851">
        <v>0.7</v>
      </c>
      <c r="K73" s="385">
        <v>64</v>
      </c>
    </row>
    <row r="74" spans="1:11">
      <c r="A74" s="862">
        <v>33</v>
      </c>
      <c r="B74" s="850">
        <f>((A68-A74)*B78-(A78-A74)*B68)/((A68-A74)-(A78-A74))</f>
        <v>9.7200000000000006</v>
      </c>
      <c r="C74" s="850">
        <f t="shared" ref="C74:H74" si="31">((B68-B74)*C78-(B78-B74)*C68)/((B68-B74)-(B78-B74))</f>
        <v>6.84</v>
      </c>
      <c r="D74" s="850">
        <f t="shared" si="31"/>
        <v>4.88</v>
      </c>
      <c r="E74" s="850">
        <f t="shared" si="31"/>
        <v>3.52</v>
      </c>
      <c r="F74" s="850">
        <f t="shared" si="31"/>
        <v>2.16</v>
      </c>
      <c r="G74" s="850">
        <f t="shared" si="31"/>
        <v>1.26</v>
      </c>
      <c r="H74" s="850">
        <f t="shared" si="31"/>
        <v>0.9</v>
      </c>
      <c r="I74" s="851">
        <v>0.8</v>
      </c>
      <c r="J74" s="851">
        <v>0.7</v>
      </c>
      <c r="K74" s="847">
        <v>65</v>
      </c>
    </row>
    <row r="75" spans="1:11">
      <c r="A75" s="862">
        <f>(A74+A76)/2</f>
        <v>33.5</v>
      </c>
      <c r="B75" s="850">
        <f>((A68-A75)*B78-(A78-A75)*B68)/((A68-A75)-(A78-A75))</f>
        <v>9.7900000000000009</v>
      </c>
      <c r="C75" s="850">
        <f t="shared" ref="C75:H75" si="32">((B68-B75)*C78-(B78-B75)*C68)/((B68-B75)-(B78-B75))</f>
        <v>6.8800000000000008</v>
      </c>
      <c r="D75" s="850">
        <f t="shared" si="32"/>
        <v>4.910000000000001</v>
      </c>
      <c r="E75" s="850">
        <f t="shared" si="32"/>
        <v>3.5400000000000009</v>
      </c>
      <c r="F75" s="850">
        <f t="shared" si="32"/>
        <v>2.1700000000000004</v>
      </c>
      <c r="G75" s="850">
        <f t="shared" si="32"/>
        <v>1.2700000000000002</v>
      </c>
      <c r="H75" s="850">
        <f t="shared" si="32"/>
        <v>0.90000000000000013</v>
      </c>
      <c r="I75" s="851">
        <v>0.8</v>
      </c>
      <c r="J75" s="851">
        <v>0.7</v>
      </c>
      <c r="K75" s="385">
        <v>66</v>
      </c>
    </row>
    <row r="76" spans="1:11">
      <c r="A76" s="862">
        <v>34</v>
      </c>
      <c r="B76" s="850">
        <f>((A68-A76)*B78-(A78-A76)*B68)/((A68-A76)-(A78-A76))</f>
        <v>9.86</v>
      </c>
      <c r="C76" s="850">
        <f t="shared" ref="C76:H76" si="33">((B68-B76)*C78-(B78-B76)*C68)/((B68-B76)-(B78-B76))</f>
        <v>6.92</v>
      </c>
      <c r="D76" s="850">
        <f t="shared" si="33"/>
        <v>4.9400000000000004</v>
      </c>
      <c r="E76" s="850">
        <f t="shared" si="33"/>
        <v>3.56</v>
      </c>
      <c r="F76" s="850">
        <f t="shared" si="33"/>
        <v>2.1800000000000002</v>
      </c>
      <c r="G76" s="850">
        <f t="shared" si="33"/>
        <v>1.28</v>
      </c>
      <c r="H76" s="850">
        <f t="shared" si="33"/>
        <v>0.9</v>
      </c>
      <c r="I76" s="851">
        <v>0.8</v>
      </c>
      <c r="J76" s="851">
        <v>0.7</v>
      </c>
      <c r="K76" s="847">
        <v>67</v>
      </c>
    </row>
    <row r="77" spans="1:11">
      <c r="A77" s="862">
        <f>(A76+A78)/2</f>
        <v>34.5</v>
      </c>
      <c r="B77" s="850">
        <f>((A68-A77)*B78-(A78-A77)*B68)/((A68-A77)-(A78-A77))</f>
        <v>9.93</v>
      </c>
      <c r="C77" s="850">
        <f t="shared" ref="C77:H77" si="34">((B68-B77)*C78-(B78-B77)*C68)/((B68-B77)-(B78-B77))</f>
        <v>6.9599999999999991</v>
      </c>
      <c r="D77" s="850">
        <f t="shared" si="34"/>
        <v>4.97</v>
      </c>
      <c r="E77" s="850">
        <f t="shared" si="34"/>
        <v>3.58</v>
      </c>
      <c r="F77" s="850">
        <f t="shared" si="34"/>
        <v>2.1900000000000004</v>
      </c>
      <c r="G77" s="850">
        <f t="shared" si="34"/>
        <v>1.2900000000000003</v>
      </c>
      <c r="H77" s="850">
        <f t="shared" si="34"/>
        <v>0.90000000000000013</v>
      </c>
      <c r="I77" s="851">
        <v>0.8</v>
      </c>
      <c r="J77" s="851">
        <v>0.7</v>
      </c>
      <c r="K77" s="385">
        <v>68</v>
      </c>
    </row>
    <row r="78" spans="1:11">
      <c r="A78" s="864">
        <v>35</v>
      </c>
      <c r="B78" s="852">
        <v>10</v>
      </c>
      <c r="C78" s="853">
        <v>7</v>
      </c>
      <c r="D78" s="854">
        <v>5</v>
      </c>
      <c r="E78" s="855">
        <v>3.6</v>
      </c>
      <c r="F78" s="854">
        <v>2.2000000000000002</v>
      </c>
      <c r="G78" s="854">
        <v>1.3</v>
      </c>
      <c r="H78" s="854">
        <v>0.9</v>
      </c>
      <c r="I78" s="854">
        <v>0.8</v>
      </c>
      <c r="J78" s="854">
        <v>0.7</v>
      </c>
      <c r="K78" s="847">
        <v>69</v>
      </c>
    </row>
  </sheetData>
  <mergeCells count="9">
    <mergeCell ref="G6:G7"/>
    <mergeCell ref="H6:H7"/>
    <mergeCell ref="I6:I7"/>
    <mergeCell ref="J6:J7"/>
    <mergeCell ref="B6:B7"/>
    <mergeCell ref="C6:C7"/>
    <mergeCell ref="D6:D7"/>
    <mergeCell ref="E6:E7"/>
    <mergeCell ref="F6:F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B008C-15F0-4291-ADBD-5AC60EF71EB0}">
  <sheetPr codeName="Sheet12"/>
  <dimension ref="A1:BP26"/>
  <sheetViews>
    <sheetView topLeftCell="A2" zoomScaleNormal="100" workbookViewId="0">
      <selection activeCell="AO47" sqref="AO47"/>
    </sheetView>
  </sheetViews>
  <sheetFormatPr defaultRowHeight="14"/>
  <cols>
    <col min="5" max="5" width="11.6640625" bestFit="1" customWidth="1"/>
    <col min="11" max="14" width="0" hidden="1" customWidth="1"/>
    <col min="15" max="15" width="9.6640625" hidden="1" customWidth="1"/>
    <col min="16" max="29" width="0" hidden="1" customWidth="1"/>
  </cols>
  <sheetData>
    <row r="1" spans="1:68" ht="25.5">
      <c r="A1" s="1053" t="s">
        <v>1172</v>
      </c>
      <c r="B1" s="1052"/>
      <c r="C1" s="1052"/>
      <c r="D1" s="1052"/>
      <c r="E1" s="1052"/>
      <c r="F1" s="1052"/>
      <c r="G1" s="1052"/>
      <c r="H1" s="1052"/>
      <c r="I1" s="732"/>
      <c r="J1" s="732"/>
      <c r="K1" s="733"/>
      <c r="L1" s="733"/>
      <c r="M1" s="734"/>
      <c r="N1" s="735"/>
      <c r="O1" s="735"/>
      <c r="P1" s="734"/>
      <c r="Q1" s="734"/>
      <c r="R1" s="736"/>
      <c r="S1" s="736"/>
      <c r="T1" s="737"/>
      <c r="U1" s="737"/>
      <c r="V1" s="738"/>
      <c r="W1" s="738"/>
      <c r="X1" s="739"/>
      <c r="Y1" s="739" t="s">
        <v>628</v>
      </c>
      <c r="Z1" s="739" t="s">
        <v>680</v>
      </c>
      <c r="AA1" s="739" t="s">
        <v>511</v>
      </c>
      <c r="AB1" s="739" t="s">
        <v>514</v>
      </c>
      <c r="AC1" s="739" t="s">
        <v>1173</v>
      </c>
      <c r="AD1" s="739" t="s">
        <v>1117</v>
      </c>
      <c r="AE1" s="734"/>
      <c r="AF1" s="734"/>
      <c r="AG1" s="734"/>
      <c r="AH1" s="734"/>
      <c r="AI1" s="734"/>
      <c r="AJ1" s="734"/>
      <c r="AK1" s="734"/>
      <c r="AL1" s="734"/>
      <c r="AM1" s="734"/>
      <c r="AN1" s="734"/>
      <c r="AO1" s="734"/>
      <c r="AP1" s="734"/>
      <c r="AQ1" s="734"/>
      <c r="AR1" s="734"/>
      <c r="AS1" s="740"/>
      <c r="AT1" s="734"/>
      <c r="AU1" s="734"/>
      <c r="AV1" s="734"/>
      <c r="AW1" s="734"/>
      <c r="AX1" s="734"/>
    </row>
    <row r="2" spans="1:68" ht="17.5">
      <c r="A2" s="741" t="s">
        <v>1174</v>
      </c>
      <c r="B2" s="734"/>
      <c r="C2" s="778">
        <f>TH!C21</f>
        <v>15</v>
      </c>
      <c r="D2" s="742" t="s">
        <v>1175</v>
      </c>
      <c r="E2" s="743">
        <f>TH!B22</f>
        <v>8.5</v>
      </c>
      <c r="F2" s="744" t="s">
        <v>236</v>
      </c>
      <c r="G2" s="745" t="s">
        <v>1176</v>
      </c>
      <c r="H2" s="797">
        <f>IF(AND(C2=12.5,E3=280),0.66,IF(AND(C2=12.5,E3=365),0.628,IF(AND(C2=15,E3=280),0.65,IF(AND(C2=15,E3=365),0.619,IF(AND(C2=20,E3=280),0.623,IF(AND(C2=20,E3=365),0.59,IF(AND(C2=25,E3=280),0.595,0.563)))))))</f>
        <v>0.65</v>
      </c>
      <c r="I2" s="734"/>
      <c r="J2" s="734"/>
      <c r="K2" s="734"/>
      <c r="L2" s="734"/>
      <c r="M2" s="734"/>
      <c r="N2" s="734"/>
      <c r="O2" s="734"/>
      <c r="P2" s="746"/>
      <c r="Q2" s="746"/>
      <c r="R2" s="734"/>
      <c r="S2" s="734"/>
      <c r="T2" s="747"/>
      <c r="U2" s="747"/>
      <c r="V2" s="748"/>
      <c r="W2" s="748"/>
      <c r="X2" s="739"/>
      <c r="Y2" s="739">
        <v>12.24</v>
      </c>
      <c r="Z2" s="739">
        <v>20.540291960000001</v>
      </c>
      <c r="AA2" s="739">
        <v>8.634646519158121</v>
      </c>
      <c r="AB2" s="739">
        <v>26</v>
      </c>
      <c r="AC2" s="739">
        <v>280</v>
      </c>
      <c r="AD2" s="739">
        <v>220</v>
      </c>
      <c r="AE2" s="739"/>
      <c r="AF2" s="734"/>
      <c r="AG2" s="734"/>
      <c r="AH2" s="734"/>
      <c r="AI2" s="734"/>
      <c r="AJ2" s="734"/>
      <c r="AK2" s="734"/>
      <c r="AL2" s="734"/>
      <c r="AM2" s="734"/>
      <c r="AN2" s="734"/>
      <c r="AO2" s="734"/>
      <c r="AP2" s="734"/>
      <c r="AQ2" s="747"/>
      <c r="AR2" s="747"/>
      <c r="AS2" s="747"/>
      <c r="AT2" s="734"/>
      <c r="AU2" s="734"/>
      <c r="AV2" s="734"/>
      <c r="AW2" s="734"/>
      <c r="AX2" s="734"/>
    </row>
    <row r="3" spans="1:68" ht="25">
      <c r="A3" s="749" t="s">
        <v>1177</v>
      </c>
      <c r="B3" s="750"/>
      <c r="C3" s="751" t="s">
        <v>380</v>
      </c>
      <c r="D3" s="752" t="s">
        <v>1178</v>
      </c>
      <c r="E3" s="753">
        <f>TH!B31</f>
        <v>280</v>
      </c>
      <c r="F3" s="744" t="s">
        <v>236</v>
      </c>
      <c r="G3" s="1054" t="s">
        <v>1179</v>
      </c>
      <c r="H3" s="754"/>
      <c r="I3" s="750"/>
      <c r="J3" s="750"/>
      <c r="K3" s="750"/>
      <c r="L3" s="750"/>
      <c r="M3" s="750"/>
      <c r="N3" s="750"/>
      <c r="O3" s="750"/>
      <c r="P3" s="755"/>
      <c r="Q3" s="755"/>
      <c r="R3" s="750"/>
      <c r="S3" s="750"/>
      <c r="T3" s="756"/>
      <c r="U3" s="756"/>
      <c r="V3" s="757"/>
      <c r="W3" s="755"/>
      <c r="X3" s="758"/>
      <c r="Y3" s="750" t="b">
        <v>1</v>
      </c>
      <c r="Z3" s="759">
        <v>-2.3138974419999999E-4</v>
      </c>
      <c r="AA3" s="750"/>
      <c r="AB3" s="760"/>
      <c r="AC3" s="750"/>
      <c r="AD3" s="750"/>
      <c r="AE3" s="761"/>
      <c r="AF3" s="750"/>
      <c r="AG3" s="750"/>
      <c r="AH3" s="750"/>
      <c r="AI3" s="750"/>
      <c r="AJ3" s="750"/>
      <c r="AK3" s="750"/>
      <c r="AL3" s="750"/>
      <c r="AM3" s="750"/>
      <c r="AN3" s="750"/>
      <c r="AO3" s="750"/>
      <c r="AP3" s="750"/>
      <c r="AQ3" s="762"/>
      <c r="AR3" s="755"/>
      <c r="AS3" s="755"/>
      <c r="AT3" s="755"/>
      <c r="AU3" s="750"/>
      <c r="AV3" s="750"/>
      <c r="AW3" s="750"/>
      <c r="AX3" s="750"/>
    </row>
    <row r="4" spans="1:68" ht="25">
      <c r="A4" s="749" t="s">
        <v>1180</v>
      </c>
      <c r="B4" s="750"/>
      <c r="C4" s="751">
        <v>1</v>
      </c>
      <c r="D4" s="763" t="s">
        <v>1181</v>
      </c>
      <c r="E4" s="794">
        <f>TH!B24</f>
        <v>23000</v>
      </c>
      <c r="F4" s="764" t="s">
        <v>236</v>
      </c>
      <c r="G4" s="1052"/>
      <c r="H4" s="765">
        <f>E5/E4</f>
        <v>9.1304347826086953</v>
      </c>
      <c r="I4" s="750"/>
      <c r="J4" s="750"/>
      <c r="K4" s="750"/>
      <c r="L4" s="750"/>
      <c r="M4" s="750"/>
      <c r="N4" s="750"/>
      <c r="O4" s="750"/>
      <c r="P4" s="755"/>
      <c r="Q4" s="755"/>
      <c r="R4" s="750"/>
      <c r="S4" s="750"/>
      <c r="T4" s="756"/>
      <c r="U4" s="756"/>
      <c r="V4" s="1055" t="s">
        <v>1182</v>
      </c>
      <c r="W4" s="1052"/>
      <c r="X4" s="750"/>
      <c r="Y4" s="766">
        <v>122.4</v>
      </c>
      <c r="Z4" s="766">
        <v>205.40291959999999</v>
      </c>
      <c r="AA4" s="766">
        <v>86.346465191581217</v>
      </c>
      <c r="AB4" s="766">
        <v>260</v>
      </c>
      <c r="AC4" s="766">
        <v>2800</v>
      </c>
      <c r="AD4" s="1051" t="s">
        <v>1183</v>
      </c>
      <c r="AE4" s="1052"/>
      <c r="AF4" s="750"/>
      <c r="AG4" s="750"/>
      <c r="AH4" s="750"/>
      <c r="AI4" s="750"/>
      <c r="AJ4" s="750"/>
      <c r="AK4" s="750"/>
      <c r="AL4" s="750"/>
      <c r="AM4" s="750"/>
      <c r="AN4" s="750"/>
      <c r="AO4" s="750"/>
      <c r="AP4" s="750"/>
      <c r="AQ4" s="762"/>
      <c r="AR4" s="755"/>
      <c r="AS4" s="755"/>
      <c r="AT4" s="755"/>
      <c r="AU4" s="750"/>
      <c r="AV4" s="750"/>
      <c r="AW4" s="750"/>
      <c r="AX4" s="750"/>
    </row>
    <row r="5" spans="1:68" ht="25">
      <c r="A5" s="750"/>
      <c r="B5" s="750"/>
      <c r="C5" s="767"/>
      <c r="D5" s="763" t="s">
        <v>1184</v>
      </c>
      <c r="E5" s="794">
        <f>TH!B33</f>
        <v>210000</v>
      </c>
      <c r="F5" s="764" t="s">
        <v>236</v>
      </c>
      <c r="G5" s="750"/>
      <c r="H5" s="768"/>
      <c r="I5" s="750"/>
      <c r="J5" s="750"/>
      <c r="K5" s="750"/>
      <c r="L5" s="769">
        <v>8.9478758169934647</v>
      </c>
      <c r="M5" s="750"/>
      <c r="N5" s="750"/>
      <c r="O5" s="750"/>
      <c r="P5" s="755"/>
      <c r="Q5" s="755"/>
      <c r="R5" s="750"/>
      <c r="S5" s="750"/>
      <c r="T5" s="756"/>
      <c r="U5" s="756"/>
      <c r="V5" s="770"/>
      <c r="W5" s="755"/>
      <c r="X5" s="750"/>
      <c r="Y5" s="766">
        <v>-22.699333899999999</v>
      </c>
      <c r="Z5" s="750">
        <v>-0.22699333899999999</v>
      </c>
      <c r="AA5" s="750"/>
      <c r="AB5" s="761"/>
      <c r="AC5" s="750"/>
      <c r="AD5" s="750"/>
      <c r="AE5" s="750"/>
      <c r="AF5" s="750"/>
      <c r="AG5" s="750"/>
      <c r="AH5" s="750"/>
      <c r="AI5" s="750"/>
      <c r="AJ5" s="750"/>
      <c r="AK5" s="750"/>
      <c r="AL5" s="750"/>
      <c r="AM5" s="750"/>
      <c r="AN5" s="750"/>
      <c r="AO5" s="750"/>
      <c r="AP5" s="750"/>
      <c r="AQ5" s="762"/>
      <c r="AR5" s="755"/>
      <c r="AS5" s="755"/>
      <c r="AT5" s="755"/>
      <c r="AU5" s="750"/>
      <c r="AV5" s="750"/>
      <c r="AW5" s="750"/>
      <c r="AX5" s="750"/>
    </row>
    <row r="6" spans="1:68" ht="17" thickBot="1">
      <c r="A6" s="771" t="s">
        <v>1185</v>
      </c>
      <c r="B6" s="772"/>
      <c r="C6" s="772"/>
      <c r="D6" s="773"/>
      <c r="E6" s="771" t="s">
        <v>1186</v>
      </c>
      <c r="F6" s="774"/>
      <c r="G6" s="774"/>
      <c r="H6" s="774"/>
      <c r="I6" s="774"/>
      <c r="J6" s="774"/>
      <c r="K6" s="774"/>
      <c r="L6" s="774"/>
      <c r="M6" s="774" t="s">
        <v>1122</v>
      </c>
      <c r="N6" s="774" t="s">
        <v>1187</v>
      </c>
      <c r="O6" s="774" t="s">
        <v>1125</v>
      </c>
      <c r="Q6" s="774"/>
      <c r="R6" s="775"/>
      <c r="S6" s="775"/>
      <c r="T6" s="776"/>
      <c r="U6" s="774"/>
      <c r="V6" s="774" t="s">
        <v>680</v>
      </c>
      <c r="W6" s="774"/>
      <c r="X6" s="775"/>
      <c r="Y6" s="775"/>
      <c r="Z6" s="774"/>
      <c r="AA6" s="774"/>
      <c r="AB6" s="774"/>
      <c r="AC6" s="774"/>
      <c r="AD6" s="774"/>
      <c r="AE6" s="774"/>
      <c r="AF6" s="774"/>
      <c r="AG6" s="774"/>
      <c r="AH6" s="774"/>
      <c r="AI6" s="774"/>
      <c r="AJ6" s="774"/>
      <c r="AK6" s="774"/>
      <c r="AL6" s="774"/>
      <c r="AM6" s="774"/>
      <c r="AN6" s="774"/>
      <c r="AO6" s="774"/>
      <c r="AP6" s="774"/>
      <c r="AQ6" s="774"/>
      <c r="AR6" s="748"/>
      <c r="AS6" s="777"/>
      <c r="AT6" s="748"/>
      <c r="AU6" s="748"/>
      <c r="AV6" s="748"/>
      <c r="AW6" s="748"/>
      <c r="AX6" s="748"/>
    </row>
    <row r="7" spans="1:68" ht="14.65" customHeight="1" thickBot="1">
      <c r="A7" s="1062" t="s">
        <v>1127</v>
      </c>
      <c r="B7" s="1065" t="s">
        <v>1128</v>
      </c>
      <c r="C7" s="1065"/>
      <c r="D7" s="1065"/>
      <c r="E7" s="1066"/>
      <c r="F7" s="1056" t="s">
        <v>1129</v>
      </c>
      <c r="G7" s="1068" t="s">
        <v>241</v>
      </c>
      <c r="H7" s="1068" t="s">
        <v>956</v>
      </c>
      <c r="I7" s="1068" t="s">
        <v>1130</v>
      </c>
      <c r="J7" s="1070" t="s">
        <v>1131</v>
      </c>
      <c r="K7" s="1068" t="s">
        <v>1132</v>
      </c>
      <c r="L7" s="1068" t="s">
        <v>1133</v>
      </c>
      <c r="M7" s="1072" t="s">
        <v>1134</v>
      </c>
      <c r="N7" s="1072" t="s">
        <v>1135</v>
      </c>
      <c r="O7" s="1072" t="s">
        <v>1136</v>
      </c>
      <c r="P7" s="1056" t="s">
        <v>1137</v>
      </c>
      <c r="Q7" s="1056" t="s">
        <v>1138</v>
      </c>
      <c r="R7" s="1056" t="s">
        <v>1139</v>
      </c>
      <c r="S7" s="1056" t="s">
        <v>1140</v>
      </c>
      <c r="T7" s="1059" t="s">
        <v>1141</v>
      </c>
      <c r="U7" s="1059" t="s">
        <v>1142</v>
      </c>
      <c r="V7" s="1056" t="s">
        <v>1143</v>
      </c>
      <c r="W7" s="1056" t="s">
        <v>1144</v>
      </c>
      <c r="X7" s="1056" t="s">
        <v>1145</v>
      </c>
      <c r="Y7" s="1056" t="s">
        <v>1146</v>
      </c>
      <c r="Z7" s="1056" t="s">
        <v>1147</v>
      </c>
      <c r="AA7" s="1056" t="s">
        <v>1148</v>
      </c>
      <c r="AB7" s="1056" t="s">
        <v>1149</v>
      </c>
      <c r="AC7" s="1056" t="s">
        <v>1150</v>
      </c>
      <c r="AD7" s="1067" t="s">
        <v>1151</v>
      </c>
      <c r="AE7" s="1066"/>
      <c r="AF7" s="1067" t="s">
        <v>1152</v>
      </c>
      <c r="AG7" s="1065"/>
      <c r="AH7" s="1065"/>
      <c r="AI7" s="1066"/>
      <c r="AJ7" s="1067" t="s">
        <v>1153</v>
      </c>
      <c r="AK7" s="1065"/>
      <c r="AL7" s="1065"/>
      <c r="AM7" s="1065"/>
      <c r="AN7" s="1065"/>
      <c r="AO7" s="1065"/>
      <c r="AP7" s="1066"/>
    </row>
    <row r="8" spans="1:68" ht="16.5" customHeight="1" thickBot="1">
      <c r="A8" s="1063"/>
      <c r="B8" s="716" t="s">
        <v>1154</v>
      </c>
      <c r="C8" s="716" t="s">
        <v>1155</v>
      </c>
      <c r="D8" s="716" t="s">
        <v>1156</v>
      </c>
      <c r="E8" s="716" t="s">
        <v>1157</v>
      </c>
      <c r="F8" s="1057"/>
      <c r="G8" s="1069"/>
      <c r="H8" s="1069"/>
      <c r="I8" s="1069"/>
      <c r="J8" s="1071"/>
      <c r="K8" s="1069"/>
      <c r="L8" s="1069"/>
      <c r="M8" s="1073"/>
      <c r="N8" s="1073"/>
      <c r="O8" s="1073"/>
      <c r="P8" s="1057"/>
      <c r="Q8" s="1057"/>
      <c r="R8" s="1057"/>
      <c r="S8" s="1057"/>
      <c r="T8" s="1060"/>
      <c r="U8" s="1060"/>
      <c r="V8" s="1057"/>
      <c r="W8" s="1057"/>
      <c r="X8" s="1057"/>
      <c r="Y8" s="1057"/>
      <c r="Z8" s="1057"/>
      <c r="AA8" s="1057"/>
      <c r="AB8" s="1057"/>
      <c r="AC8" s="1057"/>
      <c r="AD8" s="1056" t="s">
        <v>1158</v>
      </c>
      <c r="AE8" s="1056" t="s">
        <v>1159</v>
      </c>
      <c r="AF8" s="1067" t="s">
        <v>1160</v>
      </c>
      <c r="AG8" s="1066"/>
      <c r="AH8" s="1067" t="s">
        <v>1161</v>
      </c>
      <c r="AI8" s="1066"/>
      <c r="AJ8" s="716" t="s">
        <v>1162</v>
      </c>
      <c r="AK8" s="1067" t="s">
        <v>1163</v>
      </c>
      <c r="AL8" s="1065"/>
      <c r="AM8" s="1065"/>
      <c r="AN8" s="1066"/>
      <c r="AO8" s="716" t="s">
        <v>1164</v>
      </c>
      <c r="AP8" s="717" t="s">
        <v>1165</v>
      </c>
    </row>
    <row r="9" spans="1:68" ht="19" thickBot="1">
      <c r="A9" s="1064"/>
      <c r="B9" s="718" t="s">
        <v>1166</v>
      </c>
      <c r="C9" s="718" t="s">
        <v>1167</v>
      </c>
      <c r="D9" s="718" t="s">
        <v>1167</v>
      </c>
      <c r="E9" s="718" t="s">
        <v>1166</v>
      </c>
      <c r="F9" s="718" t="s">
        <v>631</v>
      </c>
      <c r="G9" s="719" t="s">
        <v>631</v>
      </c>
      <c r="H9" s="719" t="s">
        <v>631</v>
      </c>
      <c r="I9" s="719" t="s">
        <v>631</v>
      </c>
      <c r="J9" s="720" t="s">
        <v>631</v>
      </c>
      <c r="K9" s="721" t="s">
        <v>631</v>
      </c>
      <c r="L9" s="721" t="s">
        <v>631</v>
      </c>
      <c r="M9" s="721" t="s">
        <v>1168</v>
      </c>
      <c r="N9" s="721" t="s">
        <v>1168</v>
      </c>
      <c r="O9" s="721" t="s">
        <v>1168</v>
      </c>
      <c r="P9" s="1058"/>
      <c r="Q9" s="1058"/>
      <c r="R9" s="1058"/>
      <c r="S9" s="1058"/>
      <c r="T9" s="1061"/>
      <c r="U9" s="1061"/>
      <c r="V9" s="1058"/>
      <c r="W9" s="1058"/>
      <c r="X9" s="1058"/>
      <c r="Y9" s="1058"/>
      <c r="Z9" s="1058"/>
      <c r="AA9" s="1058"/>
      <c r="AB9" s="1058"/>
      <c r="AC9" s="1058"/>
      <c r="AD9" s="1058"/>
      <c r="AE9" s="1058"/>
      <c r="AF9" s="722" t="s">
        <v>1169</v>
      </c>
      <c r="AG9" s="722" t="s">
        <v>1170</v>
      </c>
      <c r="AH9" s="722" t="s">
        <v>1169</v>
      </c>
      <c r="AI9" s="722" t="s">
        <v>1170</v>
      </c>
      <c r="AJ9" s="723" t="s">
        <v>1171</v>
      </c>
      <c r="AK9" s="724" t="s">
        <v>14</v>
      </c>
      <c r="AL9" s="722" t="s">
        <v>250</v>
      </c>
      <c r="AM9" s="725" t="s">
        <v>14</v>
      </c>
      <c r="AN9" s="722" t="s">
        <v>250</v>
      </c>
      <c r="AO9" s="723" t="s">
        <v>1171</v>
      </c>
      <c r="AP9" s="723" t="s">
        <v>698</v>
      </c>
      <c r="AQ9" s="779" t="s">
        <v>466</v>
      </c>
      <c r="BB9" t="s">
        <v>1117</v>
      </c>
      <c r="BC9" t="s">
        <v>1188</v>
      </c>
      <c r="BG9" t="s">
        <v>1189</v>
      </c>
      <c r="BH9" t="s">
        <v>1190</v>
      </c>
      <c r="BI9" t="s">
        <v>1191</v>
      </c>
      <c r="BJ9" t="s">
        <v>956</v>
      </c>
      <c r="BK9" t="s">
        <v>514</v>
      </c>
      <c r="BL9" t="s">
        <v>1192</v>
      </c>
      <c r="BM9" t="s">
        <v>1193</v>
      </c>
      <c r="BN9" t="s">
        <v>1194</v>
      </c>
      <c r="BO9" t="s">
        <v>1195</v>
      </c>
      <c r="BP9" t="s">
        <v>1196</v>
      </c>
    </row>
    <row r="10" spans="1:68" ht="14.5" thickBot="1">
      <c r="A10" s="726" t="s">
        <v>1126</v>
      </c>
      <c r="B10" s="727">
        <v>12.24</v>
      </c>
      <c r="C10" s="728">
        <v>1.0952200000000001</v>
      </c>
      <c r="D10" s="728">
        <v>1.11069</v>
      </c>
      <c r="E10" s="729">
        <v>7.2899000000000003</v>
      </c>
      <c r="F10" s="730">
        <v>360</v>
      </c>
      <c r="G10" s="731">
        <v>30</v>
      </c>
      <c r="H10" s="731">
        <v>30</v>
      </c>
      <c r="I10" s="731">
        <v>4</v>
      </c>
      <c r="J10" s="731">
        <f>H10-I10</f>
        <v>26</v>
      </c>
      <c r="K10" s="781">
        <f>IF(RIGHT($C$9,2)="-m",MAX((C10/B10)*100,MAX(H10/30,F10/600)),"!!!")</f>
        <v>8.9478758169934647</v>
      </c>
      <c r="L10" s="782">
        <f>IF(RIGHT($C$9,2)="-m",MAX((D10/E10)*100,MAX(H10/30,F10/600)),"!!!")</f>
        <v>15.236011467921371</v>
      </c>
      <c r="M10" s="783">
        <f>ABS((AG10/100)*G10*J10*((H10/2)-I10)^2)</f>
        <v>1415.6999999999998</v>
      </c>
      <c r="N10" s="783">
        <f>ABS((AI10/100)*$G10*$J10*(($H10/2)-I10)^2)</f>
        <v>1415.6999999999998</v>
      </c>
      <c r="O10" s="795">
        <f>(G10*H10*H10*H10)/12</f>
        <v>67500</v>
      </c>
      <c r="P10" s="781">
        <f>0.1+0.11/(0.1+MAX((K10/$H10),(0.5-(0.01*(0.7*$F10/$H10))-0.01*$E$2)))</f>
        <v>0.35522041763341061</v>
      </c>
      <c r="Q10" s="781">
        <f>0.1+0.11/(0.1+MAX((L10/$H10),(0.5-(0.01*(0.7*$F10/$H10))-0.01*$E$2)))</f>
        <v>0.28096062320452964</v>
      </c>
      <c r="R10" s="784">
        <f>(6.4*$E$4*10*((P10*O10/2)+($H$4*M10))/(0.7*F10)^2)/1000</f>
        <v>577.51257161797434</v>
      </c>
      <c r="S10" s="784">
        <f>(6.4*$E$4*10*((Q10*O10/2)+($H$4*N10))/(0.7*$F10)^2)/1000</f>
        <v>519.41817461578853</v>
      </c>
      <c r="T10" s="785">
        <f>IF($B$9="Kgf",1/((1-(B10*0.001/R10))),IF($B$9="Ton",1/((1-(B10/R10))),"!!!"))</f>
        <v>1.0216532706778352</v>
      </c>
      <c r="U10" s="785">
        <f>IF($B$9="Kgf",1/((1-(E10*0.001/S10))),IF($B$9="Ton",1/((1-(E10/S10))),"!!!"))</f>
        <v>1.0142345196727696</v>
      </c>
      <c r="V10" s="786">
        <f>IF(T10*K10&gt;=((0.5*$H10)-$I10),((T10*K10)-(0.5*$H10)+$I10),(0.5*$H10)-(T10*K10)-$I10)</f>
        <v>1.8583734059495196</v>
      </c>
      <c r="W10" s="786">
        <f>IF(U10*L10&gt;=((0.5*$H10)-$I10),((U10*L10)-(0.5*$H10)+$I10),(0.5*$H10)-(U10*L10)-$I10)</f>
        <v>4.4528887728960402</v>
      </c>
      <c r="X10" s="782">
        <f>(T10*K10)+(0.5*$H10)-$I10</f>
        <v>20.141626594050479</v>
      </c>
      <c r="Y10" s="782">
        <f>(U10*L10)+(0.5*$H10)-$I10</f>
        <v>26.452888772896038</v>
      </c>
      <c r="Z10" s="786">
        <f>IF($B$9="Kgf",B10/(0.85*$E$2*9.81*$G10),B10*1000/(0.85*$E$2*9.81*$G10))</f>
        <v>5.7564310127720812</v>
      </c>
      <c r="AA10" s="786">
        <f>IF($B$9="Kgf",E10/(0.85*$E$2*9.81*$G10),E10*1000/(0.85*$E$2*9.81*$G10))</f>
        <v>3.4284155588241174</v>
      </c>
      <c r="AB10" s="786">
        <f>($H$2+((1-$H$2)/(1+50*(K10/$H10)^2)))*$J10</f>
        <v>18.570329534881324</v>
      </c>
      <c r="AC10" s="786">
        <f>($H$2+((1-$H$2)/(1+50*(L10/$H10)^2)))*$J10</f>
        <v>17.554843646004343</v>
      </c>
      <c r="AD10" s="786">
        <f>IF($B$9="Kgf",IF(Z10&lt;=($H$2*$J10),B10*(X10-$J10+0.5*Z10)/($E$3*9.81*($J10-$I10)),((B10*X10)-($E$2*0.85*9.81*G10*AB10)*($J10-0.5*AB10))/($E$3*9.81*($J10-$I10))),IF(Z10&lt;=($H$2*$J10),B10*1000*(X10-$J10+0.5*Z10)/($E$3*9.81*($J10-$I10)),((B10*1000*X10)-($E$2*0.85*9.81*G10*AB10)*($J10-0.5*AB10))/($E$3*9.81*($J10-$I10))))</f>
        <v>-0.60363021914189408</v>
      </c>
      <c r="AE10" s="786">
        <f>IF($B$9="Kgf",IF(AA10&lt;=($H$2*$J10),E10*(Y10-$J10+0.5*AA10)/($E$3*9.81*($J10-$I10)),((E10*Y10)-($E$2*0.85*9.81*G10*AC10)*($J10-0.5*AC10))/($E$3*9.81*($J10-$I10))),IF(AA10&lt;=($H$2*$J10),E10*1000*(Y10-$J10+0.5*AA10)/($E$3*9.81*($J10-$I10)),((E10*1000*Y10)-($E$2*0.85*9.81*G10*AC10)*($J10-0.5*AC10))/($E$3*9.81*($J10-$I10))))</f>
        <v>0.26142680336574786</v>
      </c>
      <c r="AF10" s="787">
        <f>2*AD10*100/(G10*J10)</f>
        <v>-0.15477697926715234</v>
      </c>
      <c r="AG10" s="793">
        <v>1.5</v>
      </c>
      <c r="AH10" s="788">
        <f>2*AE10*100/(G10*J10)</f>
        <v>6.7032513683525086E-2</v>
      </c>
      <c r="AI10" s="789">
        <v>1.5</v>
      </c>
      <c r="AJ10" s="790">
        <f>MAX(AD10,AE10)</f>
        <v>0.26142680336574786</v>
      </c>
      <c r="AK10" s="792">
        <v>2</v>
      </c>
      <c r="AL10" s="792">
        <v>16</v>
      </c>
      <c r="AM10" s="792"/>
      <c r="AN10" s="791"/>
      <c r="AO10" s="790">
        <f>(3.1415*AL10^2)*AK10/(4*100)+(3.1415*AN10^2)*AM10/(4*100)</f>
        <v>4.0211199999999998</v>
      </c>
      <c r="AP10" s="790">
        <f>2*AO10*100/(G10*J10)</f>
        <v>1.0310564102564101</v>
      </c>
      <c r="AQ10" s="23">
        <f>0.7*F10</f>
        <v>251.99999999999997</v>
      </c>
      <c r="AR10" s="6">
        <f>AQ10/H10</f>
        <v>8.3999999999999986</v>
      </c>
      <c r="AS10" s="6">
        <f>C10/B10*100</f>
        <v>8.9478758169934647</v>
      </c>
      <c r="AT10">
        <f>MAX(F10/600,H10/30)</f>
        <v>1</v>
      </c>
      <c r="AU10">
        <f>AG10/100</f>
        <v>1.4999999999999999E-2</v>
      </c>
      <c r="AV10" s="6">
        <f>$E$5/$E$4</f>
        <v>9.1304347826086953</v>
      </c>
      <c r="AW10" s="780">
        <f>0.5-(0.01*(0.7*$F10/$H10))-0.01*$E$2</f>
        <v>0.33100000000000002</v>
      </c>
      <c r="AX10" s="780">
        <f>K10/H10</f>
        <v>0.29826252723311547</v>
      </c>
      <c r="AY10" s="796">
        <f>MAX(AW10,AX10)</f>
        <v>0.33100000000000002</v>
      </c>
      <c r="AZ10">
        <f>$H$2*J10</f>
        <v>16.900000000000002</v>
      </c>
      <c r="BA10">
        <f>2*I10</f>
        <v>8</v>
      </c>
      <c r="BB10">
        <f>J10-I10</f>
        <v>22</v>
      </c>
      <c r="BC10" s="6">
        <f>D10/E10*100</f>
        <v>15.236011467921371</v>
      </c>
      <c r="BD10" s="780">
        <f>0.5-(0.01*(0.7*$F10/$H10))-0.01*$E$2</f>
        <v>0.33100000000000002</v>
      </c>
      <c r="BE10" s="780">
        <f>L10/H10</f>
        <v>0.50786704893071233</v>
      </c>
      <c r="BF10" s="796">
        <f>MAX(BD10,BE10)</f>
        <v>0.50786704893071233</v>
      </c>
      <c r="BG10" s="6">
        <f>2*AJ10/(G10*J10)*100</f>
        <v>6.70325136835251E-2</v>
      </c>
      <c r="BH10">
        <v>25</v>
      </c>
      <c r="BI10">
        <f>BH10+AL10/2</f>
        <v>33</v>
      </c>
      <c r="BJ10">
        <f>H10*10</f>
        <v>300</v>
      </c>
      <c r="BK10">
        <f>BJ10-BI10</f>
        <v>267</v>
      </c>
      <c r="BL10">
        <f>BB10*10</f>
        <v>220</v>
      </c>
      <c r="BM10">
        <f>G10*10</f>
        <v>300</v>
      </c>
      <c r="BN10">
        <f>(BM10-2*BH10-AK10*AL10)/2</f>
        <v>109</v>
      </c>
      <c r="BO10">
        <f>15*AL10</f>
        <v>240</v>
      </c>
      <c r="BP10">
        <v>200</v>
      </c>
    </row>
    <row r="11" spans="1:68" ht="14.5" thickBot="1">
      <c r="A11" s="798" t="s">
        <v>1197</v>
      </c>
      <c r="B11" s="799">
        <v>36.751800000000003</v>
      </c>
      <c r="C11" s="800">
        <v>0.64197000000000004</v>
      </c>
      <c r="D11" s="800">
        <v>0.65054000000000001</v>
      </c>
      <c r="E11" s="799">
        <v>17.222100000000001</v>
      </c>
      <c r="F11" s="801">
        <v>270</v>
      </c>
      <c r="G11" s="801">
        <v>30</v>
      </c>
      <c r="H11" s="801">
        <v>30</v>
      </c>
      <c r="I11" s="801">
        <v>4</v>
      </c>
      <c r="J11" s="731">
        <f>H11-I11</f>
        <v>26</v>
      </c>
      <c r="K11" s="781">
        <f>IF(RIGHT($C$9,2)="-m",MAX((C11/B11)*100,MAX(H11/30,F11/600)),"!!!")</f>
        <v>1.7467715866977942</v>
      </c>
      <c r="L11" s="782">
        <f>IF(RIGHT($C$9,2)="-m",MAX((D11/E11)*100,MAX(H11/30,F11/600)),"!!!")</f>
        <v>3.7773558392995046</v>
      </c>
      <c r="M11" s="783">
        <f>ABS((AG11/100)*G11*J11*((H11/2)-I11)^2)</f>
        <v>2359.5</v>
      </c>
      <c r="N11" s="783">
        <f>ABS((AI11/100)*$G11*$J11*(($H11/2)-I11)^2)</f>
        <v>1415.6999999999998</v>
      </c>
      <c r="O11" s="795">
        <f>(G11*H11*H11*H11)/12</f>
        <v>67500</v>
      </c>
      <c r="P11" s="781">
        <f>0.1+0.11/(0.1+MAX((K11/$H11),(0.5-(0.01*(0.7*$F11/$H11))-0.01*$E$2)))</f>
        <v>0.3433628318584071</v>
      </c>
      <c r="Q11" s="781">
        <f>0.1+0.11/(0.1+MAX((L11/$H11),(0.5-(0.01*(0.7*$F11/$H11))-0.01*$E$2)))</f>
        <v>0.3433628318584071</v>
      </c>
      <c r="R11" s="784">
        <f>(6.4*$E$4*10*((P11*O11/2)+($H$4*M11))/(0.7*F11)^2)/1000</f>
        <v>1365.3017968905031</v>
      </c>
      <c r="S11" s="784">
        <f>(6.4*$E$4*10*((Q11*O11/2)+($H$4*N11))/(0.7*$F11)^2)/1000</f>
        <v>1010.1977404531133</v>
      </c>
      <c r="T11" s="785">
        <f>IF($B$9="Kgf",1/((1-(B11*0.001/R11))),IF($B$9="Ton",1/((1-(B11/R11))),"!!!"))</f>
        <v>1.027663091404929</v>
      </c>
      <c r="U11" s="785">
        <f>IF($B$9="Kgf",1/((1-(E11*0.001/S11))),IF($B$9="Ton",1/((1-(E11/S11))),"!!!"))</f>
        <v>1.017343930000278</v>
      </c>
      <c r="V11" s="786">
        <f>IF(T11*K11&gt;=((0.5*$H11)-$I11),((T11*K11)-(0.5*$H11)+$I11),(0.5*$H11)-(T11*K11)-$I11)</f>
        <v>9.2049073112358517</v>
      </c>
      <c r="W11" s="786">
        <f>IF(U11*L11&gt;=((0.5*$H11)-$I11),((U11*L11)-(0.5*$H11)+$I11),(0.5*$H11)-(U11*L11)-$I11)</f>
        <v>7.1571299654375444</v>
      </c>
      <c r="X11" s="782">
        <f>(T11*K11)+(0.5*$H11)-$I11</f>
        <v>12.795092688764147</v>
      </c>
      <c r="Y11" s="782">
        <f>(U11*L11)+(0.5*$H11)-$I11</f>
        <v>14.842870034562456</v>
      </c>
      <c r="Z11" s="786">
        <f>IF($B$9="Kgf",B11/(0.85*$E$2*9.81*$G11),B11*1000/(0.85*$E$2*9.81*$G11))</f>
        <v>17.284248471829819</v>
      </c>
      <c r="AA11" s="786">
        <f>IF($B$9="Kgf",E11/(0.85*$E$2*9.81*$G11),E11*1000/(0.85*$E$2*9.81*$G11))</f>
        <v>8.0994959595638942</v>
      </c>
      <c r="AB11" s="786">
        <f>($H$2+((1-$H$2)/(1+50*(K11/$H11)^2)))*$J11</f>
        <v>24.681025052953366</v>
      </c>
      <c r="AC11" s="786">
        <f>($H$2+((1-$H$2)/(1+50*(L11/$H11)^2)))*$J11</f>
        <v>21.976170898192429</v>
      </c>
      <c r="AD11" s="786">
        <f>IF($B$9="Kgf",IF(Z11&lt;=($H$2*$J11),B11*(X11-$J11+0.5*Z11)/($E$3*9.81*($J11-$I11)),((B11*X11)-($E$2*0.85*9.81*G11*AB11)*($J11-0.5*AB11))/($E$3*9.81*($J11-$I11))),IF(Z11&lt;=($H$2*$J11),B11*1000*(X11-$J11+0.5*Z11)/($E$3*9.81*($J11-$I11)),((B11*1000*X11)-($E$2*0.85*9.81*G11*AB11)*($J11-0.5*AB11))/($E$3*9.81*($J11-$I11))))</f>
        <v>-4.0808321692380058</v>
      </c>
      <c r="AE11" s="786">
        <f>IF($B$9="Kgf",IF(AA11&lt;=($H$2*$J11),E11*(Y11-$J11+0.5*AA11)/($E$3*9.81*($J11-$I11)),((E11*Y11)-($E$2*0.85*9.81*G11*AC11)*($J11-0.5*AC11))/($E$3*9.81*($J11-$I11))),IF(AA11&lt;=($H$2*$J11),E11*1000*(Y11-$J11+0.5*AA11)/($E$3*9.81*($J11-$I11)),((E11*1000*Y11)-($E$2*0.85*9.81*G11*AC11)*($J11-0.5*AC11))/($E$3*9.81*($J11-$I11))))</f>
        <v>-2.0255643475243801</v>
      </c>
      <c r="AF11" s="787">
        <f>2*AD11*100/(G11*J11)</f>
        <v>-1.0463672228815399</v>
      </c>
      <c r="AG11" s="793">
        <v>2.5</v>
      </c>
      <c r="AH11" s="788">
        <f>2*AE11*100/(G11*J11)</f>
        <v>-0.51937547372420001</v>
      </c>
      <c r="AI11" s="789">
        <v>1.5</v>
      </c>
      <c r="AJ11" s="790">
        <f>MAX(AD11,AE11)</f>
        <v>-2.0255643475243801</v>
      </c>
      <c r="AK11" s="792">
        <v>2</v>
      </c>
      <c r="AL11" s="792">
        <v>16</v>
      </c>
      <c r="AM11" s="792"/>
      <c r="AN11" s="791"/>
      <c r="AO11" s="790">
        <f>(3.1415*AL11^2)*AK11/(4*100)+(3.1415*AN11^2)*AM11/(4*100)</f>
        <v>4.0211199999999998</v>
      </c>
      <c r="AP11" s="790">
        <f>2*AO11*100/(G11*J11)</f>
        <v>1.0310564102564101</v>
      </c>
      <c r="AQ11" s="23">
        <f>0.7*F11</f>
        <v>189</v>
      </c>
      <c r="AR11" s="6">
        <f>AQ11/H11</f>
        <v>6.3</v>
      </c>
      <c r="AS11" s="6">
        <f>C11/B11*100</f>
        <v>1.7467715866977942</v>
      </c>
      <c r="AT11">
        <f>MAX(F11/600,H11/30)</f>
        <v>1</v>
      </c>
      <c r="AU11">
        <f>AG11/100</f>
        <v>2.5000000000000001E-2</v>
      </c>
      <c r="AV11" s="6">
        <f>$E$5/$E$4</f>
        <v>9.1304347826086953</v>
      </c>
      <c r="AW11" s="780">
        <f>0.5-(0.01*(0.7*$F11/$H11))-0.01*$E$2</f>
        <v>0.35199999999999998</v>
      </c>
      <c r="AX11" s="780">
        <f>K11/H11</f>
        <v>5.8225719556593142E-2</v>
      </c>
      <c r="AY11" s="796">
        <f>MAX(AW11,AX11)</f>
        <v>0.35199999999999998</v>
      </c>
      <c r="AZ11">
        <f>$H$2*J11</f>
        <v>16.900000000000002</v>
      </c>
      <c r="BA11">
        <f>2*I11</f>
        <v>8</v>
      </c>
      <c r="BB11">
        <f>J11-I11</f>
        <v>22</v>
      </c>
      <c r="BC11" s="6">
        <f>D11/E11*100</f>
        <v>3.7773558392995046</v>
      </c>
      <c r="BD11" s="780">
        <f>0.5-(0.01*(0.7*$F11/$H11))-0.01*$E$2</f>
        <v>0.35199999999999998</v>
      </c>
      <c r="BE11" s="780">
        <f>L11/H11</f>
        <v>0.1259118613099835</v>
      </c>
      <c r="BF11" s="796">
        <f>MAX(BD11,BE11)</f>
        <v>0.35199999999999998</v>
      </c>
      <c r="BG11" s="6">
        <f>2*AJ11/(G11*J11)*100</f>
        <v>-0.51937547372420001</v>
      </c>
      <c r="BH11">
        <v>25</v>
      </c>
      <c r="BI11">
        <f>BH11+AL11/2</f>
        <v>33</v>
      </c>
      <c r="BJ11">
        <f>H11*10</f>
        <v>300</v>
      </c>
      <c r="BK11">
        <f>BJ11-BI11</f>
        <v>267</v>
      </c>
      <c r="BL11">
        <f>BB11*10</f>
        <v>220</v>
      </c>
      <c r="BM11">
        <f>G11*10</f>
        <v>300</v>
      </c>
      <c r="BN11">
        <f>(BM11-2*BH11-AK11*AL11)/2</f>
        <v>109</v>
      </c>
      <c r="BO11">
        <f>15*AL11</f>
        <v>240</v>
      </c>
      <c r="BP11">
        <v>200</v>
      </c>
    </row>
    <row r="12" spans="1:68" ht="14.5" thickBot="1">
      <c r="B12" s="956">
        <v>23.557600000000001</v>
      </c>
      <c r="C12" s="956">
        <v>4.7489999999999997E-2</v>
      </c>
      <c r="D12" s="956">
        <v>1.41967</v>
      </c>
      <c r="E12" s="956">
        <v>23.557600000000001</v>
      </c>
      <c r="F12" s="801">
        <v>270</v>
      </c>
      <c r="G12" s="801">
        <v>20</v>
      </c>
      <c r="H12" s="801">
        <v>20</v>
      </c>
      <c r="I12" s="801">
        <v>4</v>
      </c>
      <c r="J12" s="731">
        <f t="shared" ref="J12:J26" si="0">H12-I12</f>
        <v>16</v>
      </c>
      <c r="K12" s="781">
        <f t="shared" ref="K12:K26" si="1">IF(RIGHT($C$9,2)="-m",MAX((C12/B12)*100,MAX(H12/30,F12/600)),"!!!")</f>
        <v>0.66666666666666663</v>
      </c>
      <c r="L12" s="782">
        <f t="shared" ref="L12:L26" si="2">IF(RIGHT($C$9,2)="-m",MAX((D12/E12)*100,MAX(H12/30,F12/600)),"!!!")</f>
        <v>6.0263778992766666</v>
      </c>
      <c r="M12" s="783">
        <f t="shared" ref="M12:M26" si="3">ABS((AG12/100)*G12*J12*((H12/2)-I12)^2)</f>
        <v>403.20000000000005</v>
      </c>
      <c r="N12" s="783">
        <f t="shared" ref="N12:N26" si="4">ABS((AI12/100)*$G12*$J12*(($H12/2)-I12)^2)</f>
        <v>288</v>
      </c>
      <c r="O12" s="795">
        <f t="shared" ref="O12:O26" si="5">(G12*H12*H12*H12)/12</f>
        <v>13333.333333333334</v>
      </c>
      <c r="P12" s="781">
        <f t="shared" ref="P12:P26" si="6">0.1+0.11/(0.1+MAX((K12/$H12),(0.5-(0.01*(0.7*$F12/$H12))-0.01*$E$2)))</f>
        <v>0.36159334126040432</v>
      </c>
      <c r="Q12" s="781">
        <f t="shared" ref="Q12:Q26" si="7">0.1+0.11/(0.1+MAX((L12/$H12),(0.5-(0.01*(0.7*$F12/$H12))-0.01*$E$2)))</f>
        <v>0.36159334126040432</v>
      </c>
      <c r="R12" s="784">
        <f t="shared" ref="R12:R26" si="8">(6.4*$E$4*10*((P12*O12/2)+($H$4*M12))/(0.7*F12)^2)/1000</f>
        <v>251.04123593690275</v>
      </c>
      <c r="S12" s="784">
        <f t="shared" ref="S12:S26" si="9">(6.4*$E$4*10*((Q12*O12/2)+($H$4*N12))/(0.7*$F12)^2)/1000</f>
        <v>207.69732059298732</v>
      </c>
      <c r="T12" s="785">
        <f t="shared" ref="T12:T26" si="10">IF($B$9="Kgf",1/((1-(B12*0.001/R12))),IF($B$9="Ton",1/((1-(B12/R12))),"!!!"))</f>
        <v>1.1035573389838651</v>
      </c>
      <c r="U12" s="785">
        <f t="shared" ref="U12:U26" si="11">IF($B$9="Kgf",1/((1-(E12*0.001/S12))),IF($B$9="Ton",1/((1-(E12/S12))),"!!!"))</f>
        <v>1.1279332885057998</v>
      </c>
      <c r="V12" s="786">
        <f t="shared" ref="V12:V26" si="12">IF(T12*K12&gt;=((0.5*$H12)-$I12),((T12*K12)-(0.5*$H12)+$I12),(0.5*$H12)-(T12*K12)-$I12)</f>
        <v>5.2642951073440898</v>
      </c>
      <c r="W12" s="786">
        <f t="shared" ref="W12:W26" si="13">IF(U12*L12&gt;=((0.5*$H12)-$I12),((U12*L12)-(0.5*$H12)+$I12),(0.5*$H12)-(U12*L12)-$I12)</f>
        <v>0.79735224170980423</v>
      </c>
      <c r="X12" s="782">
        <f t="shared" ref="X12:X26" si="14">(T12*K12)+(0.5*$H12)-$I12</f>
        <v>6.7357048926559102</v>
      </c>
      <c r="Y12" s="782">
        <f t="shared" ref="Y12:Y26" si="15">(U12*L12)+(0.5*$H12)-$I12</f>
        <v>12.797352241709802</v>
      </c>
      <c r="Z12" s="786">
        <f t="shared" ref="Z12:Z26" si="16">IF($B$9="Kgf",B12/(0.85*$E$2*9.81*$G12),B12*1000/(0.85*$E$2*9.81*$G12))</f>
        <v>16.618590591480341</v>
      </c>
      <c r="AA12" s="786">
        <f t="shared" ref="AA12:AA26" si="17">IF($B$9="Kgf",E12/(0.85*$E$2*9.81*$G12),E12*1000/(0.85*$E$2*9.81*$G12))</f>
        <v>16.618590591480341</v>
      </c>
      <c r="AB12" s="786">
        <f t="shared" ref="AB12:AB26" si="18">($H$2+((1-$H$2)/(1+50*(K12/$H12)^2)))*$J12</f>
        <v>15.705263157894738</v>
      </c>
      <c r="AC12" s="786">
        <f t="shared" ref="AC12:AC26" si="19">($H$2+((1-$H$2)/(1+50*(L12/$H12)^2)))*$J12</f>
        <v>11.41089349241228</v>
      </c>
      <c r="AD12" s="786">
        <f t="shared" ref="AD12:AD26" si="20">IF($B$9="Kgf",IF(Z12&lt;=($H$2*$J12),B12*(X12-$J12+0.5*Z12)/($E$3*9.81*($J12-$I12)),((B12*X12)-($E$2*0.85*9.81*G12*AB12)*($J12-0.5*AB12))/($E$3*9.81*($J12-$I12))),IF(Z12&lt;=($H$2*$J12),B12*1000*(X12-$J12+0.5*Z12)/($E$3*9.81*($J12-$I12)),((B12*1000*X12)-($E$2*0.85*9.81*G12*AB12)*($J12-0.5*AB12))/($E$3*9.81*($J12-$I12))))</f>
        <v>-0.68889700412386623</v>
      </c>
      <c r="AE12" s="786">
        <f t="shared" ref="AE12:AE26" si="21">IF($B$9="Kgf",IF(AA12&lt;=($H$2*$J12),E12*(Y12-$J12+0.5*AA12)/($E$3*9.81*($J12-$I12)),((E12*Y12)-($E$2*0.85*9.81*G12*AC12)*($J12-0.5*AC12))/($E$3*9.81*($J12-$I12))),IF(AA12&lt;=($H$2*$J12),E12*1000*(Y12-$J12+0.5*AA12)/($E$3*9.81*($J12-$I12)),((E12*1000*Y12)-($E$2*0.85*9.81*G12*AC12)*($J12-0.5*AC12))/($E$3*9.81*($J12-$I12))))</f>
        <v>4.0943346835656058</v>
      </c>
      <c r="AF12" s="787">
        <f t="shared" ref="AF12:AF26" si="22">2*AD12*100/(G12*J12)</f>
        <v>-0.43056062757741637</v>
      </c>
      <c r="AG12" s="793">
        <v>3.5</v>
      </c>
      <c r="AH12" s="788">
        <f t="shared" ref="AH12:AH26" si="23">2*AE12*100/(G12*J12)</f>
        <v>2.5589591772285036</v>
      </c>
      <c r="AI12" s="789">
        <v>2.5</v>
      </c>
      <c r="AJ12" s="790">
        <f t="shared" ref="AJ12:AJ26" si="24">MAX(AD12,AE12)</f>
        <v>4.0943346835656058</v>
      </c>
      <c r="AK12" s="792">
        <v>2</v>
      </c>
      <c r="AL12" s="792">
        <v>16</v>
      </c>
      <c r="AM12" s="792"/>
      <c r="AN12" s="791"/>
      <c r="AO12" s="790">
        <f t="shared" ref="AO12:AO26" si="25">(3.1415*AL12^2)*AK12/(4*100)+(3.1415*AN12^2)*AM12/(4*100)</f>
        <v>4.0211199999999998</v>
      </c>
      <c r="AP12" s="790">
        <f t="shared" ref="AP12:AP26" si="26">2*AO12*100/(G12*J12)</f>
        <v>2.5131999999999999</v>
      </c>
    </row>
    <row r="13" spans="1:68" ht="14.5" thickBot="1">
      <c r="B13" s="956">
        <v>36.751800000000003</v>
      </c>
      <c r="C13" s="956">
        <v>0.64197000000000004</v>
      </c>
      <c r="D13" s="956">
        <v>0.65054000000000001</v>
      </c>
      <c r="E13" s="956">
        <v>17.222100000000001</v>
      </c>
      <c r="F13" s="801">
        <v>270</v>
      </c>
      <c r="G13" s="801">
        <v>30</v>
      </c>
      <c r="H13" s="801">
        <v>30</v>
      </c>
      <c r="I13" s="801">
        <v>4</v>
      </c>
      <c r="J13" s="731">
        <f t="shared" si="0"/>
        <v>26</v>
      </c>
      <c r="K13" s="781">
        <f t="shared" si="1"/>
        <v>1.7467715866977942</v>
      </c>
      <c r="L13" s="782">
        <f t="shared" si="2"/>
        <v>3.7773558392995046</v>
      </c>
      <c r="M13" s="783">
        <f t="shared" si="3"/>
        <v>4247.0999999999995</v>
      </c>
      <c r="N13" s="783">
        <f t="shared" si="4"/>
        <v>3303.3</v>
      </c>
      <c r="O13" s="795">
        <f t="shared" si="5"/>
        <v>67500</v>
      </c>
      <c r="P13" s="781">
        <f t="shared" si="6"/>
        <v>0.3433628318584071</v>
      </c>
      <c r="Q13" s="781">
        <f t="shared" si="7"/>
        <v>0.3433628318584071</v>
      </c>
      <c r="R13" s="784">
        <f t="shared" si="8"/>
        <v>2075.5099097652828</v>
      </c>
      <c r="S13" s="784">
        <f t="shared" si="9"/>
        <v>1720.4058533278933</v>
      </c>
      <c r="T13" s="785">
        <f t="shared" si="10"/>
        <v>1.0180265622606064</v>
      </c>
      <c r="U13" s="785">
        <f t="shared" si="11"/>
        <v>1.0101117098882308</v>
      </c>
      <c r="V13" s="786">
        <f t="shared" si="12"/>
        <v>9.2217401265395402</v>
      </c>
      <c r="W13" s="786">
        <f t="shared" si="13"/>
        <v>7.1844486343088843</v>
      </c>
      <c r="X13" s="782">
        <f t="shared" si="14"/>
        <v>12.77825987346046</v>
      </c>
      <c r="Y13" s="782">
        <f t="shared" si="15"/>
        <v>14.815551365691114</v>
      </c>
      <c r="Z13" s="786">
        <f t="shared" si="16"/>
        <v>17.284248471829819</v>
      </c>
      <c r="AA13" s="786">
        <f t="shared" si="17"/>
        <v>8.0994959595638942</v>
      </c>
      <c r="AB13" s="786">
        <f t="shared" si="18"/>
        <v>24.681025052953366</v>
      </c>
      <c r="AC13" s="786">
        <f t="shared" si="19"/>
        <v>21.976170898192429</v>
      </c>
      <c r="AD13" s="786">
        <f t="shared" si="20"/>
        <v>-4.0910694744903653</v>
      </c>
      <c r="AE13" s="786">
        <f t="shared" si="21"/>
        <v>-2.0333500162557487</v>
      </c>
      <c r="AF13" s="787">
        <f t="shared" si="22"/>
        <v>-1.0489921729462475</v>
      </c>
      <c r="AG13" s="793">
        <v>4.5</v>
      </c>
      <c r="AH13" s="788">
        <f t="shared" si="23"/>
        <v>-0.52137179903993558</v>
      </c>
      <c r="AI13" s="789">
        <v>3.5</v>
      </c>
      <c r="AJ13" s="790">
        <f t="shared" si="24"/>
        <v>-2.0333500162557487</v>
      </c>
      <c r="AK13" s="792">
        <v>2</v>
      </c>
      <c r="AL13" s="792">
        <v>16</v>
      </c>
      <c r="AM13" s="792"/>
      <c r="AN13" s="791"/>
      <c r="AO13" s="790">
        <f t="shared" si="25"/>
        <v>4.0211199999999998</v>
      </c>
      <c r="AP13" s="790">
        <f t="shared" si="26"/>
        <v>1.0310564102564101</v>
      </c>
    </row>
    <row r="14" spans="1:68" ht="14.5" thickBot="1">
      <c r="B14" s="956">
        <v>27.771899999999999</v>
      </c>
      <c r="C14" s="956">
        <v>0.55564999999999998</v>
      </c>
      <c r="D14" s="956">
        <v>0.91454000000000002</v>
      </c>
      <c r="E14" s="956">
        <v>27.771899999999999</v>
      </c>
      <c r="F14" s="801">
        <v>270</v>
      </c>
      <c r="G14" s="801">
        <v>30</v>
      </c>
      <c r="H14" s="801">
        <v>30</v>
      </c>
      <c r="I14" s="801">
        <v>4</v>
      </c>
      <c r="J14" s="731">
        <f t="shared" si="0"/>
        <v>26</v>
      </c>
      <c r="K14" s="781">
        <f t="shared" si="1"/>
        <v>2.0007633615272993</v>
      </c>
      <c r="L14" s="782">
        <f t="shared" si="2"/>
        <v>3.2930408074348536</v>
      </c>
      <c r="M14" s="783">
        <f t="shared" si="3"/>
        <v>5190.8999999999996</v>
      </c>
      <c r="N14" s="783">
        <f t="shared" si="4"/>
        <v>4247.0999999999995</v>
      </c>
      <c r="O14" s="795">
        <f t="shared" si="5"/>
        <v>67500</v>
      </c>
      <c r="P14" s="781">
        <f t="shared" si="6"/>
        <v>0.3433628318584071</v>
      </c>
      <c r="Q14" s="781">
        <f t="shared" si="7"/>
        <v>0.3433628318584071</v>
      </c>
      <c r="R14" s="784">
        <f t="shared" si="8"/>
        <v>2430.6139662026726</v>
      </c>
      <c r="S14" s="784">
        <f t="shared" si="9"/>
        <v>2075.5099097652828</v>
      </c>
      <c r="T14" s="785">
        <f t="shared" si="10"/>
        <v>1.0115579381560809</v>
      </c>
      <c r="U14" s="785">
        <f t="shared" si="11"/>
        <v>1.0135622329944363</v>
      </c>
      <c r="V14" s="786">
        <f t="shared" si="12"/>
        <v>8.9761119392752153</v>
      </c>
      <c r="W14" s="786">
        <f t="shared" si="13"/>
        <v>7.6622982058745279</v>
      </c>
      <c r="X14" s="782">
        <f t="shared" si="14"/>
        <v>13.023888060724783</v>
      </c>
      <c r="Y14" s="782">
        <f t="shared" si="15"/>
        <v>14.337701794125472</v>
      </c>
      <c r="Z14" s="786">
        <f t="shared" si="16"/>
        <v>13.061031572189947</v>
      </c>
      <c r="AA14" s="786">
        <f t="shared" si="17"/>
        <v>13.061031572189947</v>
      </c>
      <c r="AB14" s="786">
        <f t="shared" si="18"/>
        <v>24.34442111469513</v>
      </c>
      <c r="AC14" s="786">
        <f t="shared" si="19"/>
        <v>22.578800834407289</v>
      </c>
      <c r="AD14" s="786">
        <f t="shared" si="20"/>
        <v>-2.9622312874238186</v>
      </c>
      <c r="AE14" s="786">
        <f t="shared" si="21"/>
        <v>-2.3584360674880487</v>
      </c>
      <c r="AF14" s="787">
        <f t="shared" si="22"/>
        <v>-0.75954648395482527</v>
      </c>
      <c r="AG14" s="793">
        <v>5.5</v>
      </c>
      <c r="AH14" s="788">
        <f t="shared" si="23"/>
        <v>-0.60472719679180731</v>
      </c>
      <c r="AI14" s="789">
        <v>4.5</v>
      </c>
      <c r="AJ14" s="790">
        <f t="shared" si="24"/>
        <v>-2.3584360674880487</v>
      </c>
      <c r="AK14" s="792">
        <v>2</v>
      </c>
      <c r="AL14" s="792">
        <v>16</v>
      </c>
      <c r="AM14" s="792"/>
      <c r="AN14" s="791"/>
      <c r="AO14" s="790">
        <f t="shared" si="25"/>
        <v>4.0211199999999998</v>
      </c>
      <c r="AP14" s="790">
        <f t="shared" si="26"/>
        <v>1.0310564102564101</v>
      </c>
    </row>
    <row r="15" spans="1:68" ht="14.5" thickBot="1">
      <c r="B15" s="956">
        <v>24.0763</v>
      </c>
      <c r="C15" s="956">
        <v>0.57762999999999998</v>
      </c>
      <c r="D15" s="956">
        <v>0.93033999999999994</v>
      </c>
      <c r="E15" s="956">
        <v>24.0763</v>
      </c>
      <c r="F15" s="801">
        <v>270</v>
      </c>
      <c r="G15" s="801">
        <v>30</v>
      </c>
      <c r="H15" s="801">
        <v>30</v>
      </c>
      <c r="I15" s="801">
        <v>4</v>
      </c>
      <c r="J15" s="731">
        <f t="shared" si="0"/>
        <v>26</v>
      </c>
      <c r="K15" s="781">
        <f t="shared" si="1"/>
        <v>2.3991643234217883</v>
      </c>
      <c r="L15" s="782">
        <f t="shared" si="2"/>
        <v>3.8641319471845756</v>
      </c>
      <c r="M15" s="783">
        <f t="shared" si="3"/>
        <v>6134.7000000000007</v>
      </c>
      <c r="N15" s="783">
        <f t="shared" si="4"/>
        <v>5190.8999999999996</v>
      </c>
      <c r="O15" s="795">
        <f t="shared" si="5"/>
        <v>67500</v>
      </c>
      <c r="P15" s="781">
        <f t="shared" si="6"/>
        <v>0.3433628318584071</v>
      </c>
      <c r="Q15" s="781">
        <f t="shared" si="7"/>
        <v>0.3433628318584071</v>
      </c>
      <c r="R15" s="784">
        <f t="shared" si="8"/>
        <v>2785.7180226400624</v>
      </c>
      <c r="S15" s="784">
        <f t="shared" si="9"/>
        <v>2430.6139662026726</v>
      </c>
      <c r="T15" s="785">
        <f t="shared" si="10"/>
        <v>1.0087181113330601</v>
      </c>
      <c r="U15" s="785">
        <f t="shared" si="11"/>
        <v>1.0100045390263892</v>
      </c>
      <c r="V15" s="786">
        <f t="shared" si="12"/>
        <v>8.5799194949003148</v>
      </c>
      <c r="W15" s="786">
        <f t="shared" si="13"/>
        <v>7.0972091939466999</v>
      </c>
      <c r="X15" s="782">
        <f t="shared" si="14"/>
        <v>13.420080505099683</v>
      </c>
      <c r="Y15" s="782">
        <f t="shared" si="15"/>
        <v>14.9027908060533</v>
      </c>
      <c r="Z15" s="786">
        <f t="shared" si="16"/>
        <v>11.323003267385985</v>
      </c>
      <c r="AA15" s="786">
        <f t="shared" si="17"/>
        <v>11.323003267385985</v>
      </c>
      <c r="AB15" s="786">
        <f t="shared" si="18"/>
        <v>23.795103247093856</v>
      </c>
      <c r="AC15" s="786">
        <f t="shared" si="19"/>
        <v>21.873958728959277</v>
      </c>
      <c r="AD15" s="786">
        <f t="shared" si="20"/>
        <v>-2.7564290339798023</v>
      </c>
      <c r="AE15" s="786">
        <f t="shared" si="21"/>
        <v>-2.1656890982719781</v>
      </c>
      <c r="AF15" s="787">
        <f t="shared" si="22"/>
        <v>-0.70677667537943645</v>
      </c>
      <c r="AG15" s="793">
        <v>6.5</v>
      </c>
      <c r="AH15" s="788">
        <f t="shared" si="23"/>
        <v>-0.55530489699281493</v>
      </c>
      <c r="AI15" s="789">
        <v>5.5</v>
      </c>
      <c r="AJ15" s="790">
        <f t="shared" si="24"/>
        <v>-2.1656890982719781</v>
      </c>
      <c r="AK15" s="792">
        <v>2</v>
      </c>
      <c r="AL15" s="792">
        <v>16</v>
      </c>
      <c r="AM15" s="792"/>
      <c r="AN15" s="791"/>
      <c r="AO15" s="790">
        <f t="shared" si="25"/>
        <v>4.0211199999999998</v>
      </c>
      <c r="AP15" s="790">
        <f t="shared" si="26"/>
        <v>1.0310564102564101</v>
      </c>
    </row>
    <row r="16" spans="1:68" ht="14.5" thickBot="1">
      <c r="B16" s="956">
        <v>26.546700000000001</v>
      </c>
      <c r="C16" s="956">
        <v>0.50356000000000001</v>
      </c>
      <c r="D16" s="956">
        <v>1.17889</v>
      </c>
      <c r="E16" s="956">
        <v>26.546700000000001</v>
      </c>
      <c r="F16" s="801">
        <v>270</v>
      </c>
      <c r="G16" s="801">
        <v>30</v>
      </c>
      <c r="H16" s="801">
        <v>30</v>
      </c>
      <c r="I16" s="801">
        <v>4</v>
      </c>
      <c r="J16" s="731">
        <f t="shared" si="0"/>
        <v>26</v>
      </c>
      <c r="K16" s="781">
        <f t="shared" si="1"/>
        <v>1.8968836051185272</v>
      </c>
      <c r="L16" s="782">
        <f t="shared" si="2"/>
        <v>4.4408156192671777</v>
      </c>
      <c r="M16" s="783">
        <f t="shared" si="3"/>
        <v>7078.5</v>
      </c>
      <c r="N16" s="783">
        <f t="shared" si="4"/>
        <v>6134.7000000000007</v>
      </c>
      <c r="O16" s="795">
        <f t="shared" si="5"/>
        <v>67500</v>
      </c>
      <c r="P16" s="781">
        <f t="shared" si="6"/>
        <v>0.3433628318584071</v>
      </c>
      <c r="Q16" s="781">
        <f t="shared" si="7"/>
        <v>0.3433628318584071</v>
      </c>
      <c r="R16" s="784">
        <f t="shared" si="8"/>
        <v>3140.8220790774521</v>
      </c>
      <c r="S16" s="784">
        <f t="shared" si="9"/>
        <v>2785.7180226400624</v>
      </c>
      <c r="T16" s="785">
        <f t="shared" si="10"/>
        <v>1.0085241980135564</v>
      </c>
      <c r="U16" s="785">
        <f t="shared" si="11"/>
        <v>1.0096212583039603</v>
      </c>
      <c r="V16" s="786">
        <f t="shared" si="12"/>
        <v>9.0869469834227736</v>
      </c>
      <c r="W16" s="786">
        <f t="shared" si="13"/>
        <v>6.5164581465795912</v>
      </c>
      <c r="X16" s="782">
        <f t="shared" si="14"/>
        <v>12.913053016577226</v>
      </c>
      <c r="Y16" s="782">
        <f t="shared" si="15"/>
        <v>15.483541853420409</v>
      </c>
      <c r="Z16" s="786">
        <f t="shared" si="16"/>
        <v>12.484824114931095</v>
      </c>
      <c r="AA16" s="786">
        <f t="shared" si="17"/>
        <v>12.484824114931095</v>
      </c>
      <c r="AB16" s="786">
        <f t="shared" si="18"/>
        <v>24.483976773593739</v>
      </c>
      <c r="AC16" s="786">
        <f t="shared" si="19"/>
        <v>21.242426769675728</v>
      </c>
      <c r="AD16" s="786">
        <f t="shared" si="20"/>
        <v>-3.0068015561729462</v>
      </c>
      <c r="AE16" s="786">
        <f t="shared" si="21"/>
        <v>-1.8775868004071476</v>
      </c>
      <c r="AF16" s="787">
        <f t="shared" si="22"/>
        <v>-0.77097475799306314</v>
      </c>
      <c r="AG16" s="793">
        <v>7.5</v>
      </c>
      <c r="AH16" s="788">
        <f t="shared" si="23"/>
        <v>-0.48143251292490963</v>
      </c>
      <c r="AI16" s="789">
        <v>6.5</v>
      </c>
      <c r="AJ16" s="790">
        <f t="shared" si="24"/>
        <v>-1.8775868004071476</v>
      </c>
      <c r="AK16" s="792">
        <v>2</v>
      </c>
      <c r="AL16" s="792">
        <v>16</v>
      </c>
      <c r="AM16" s="792"/>
      <c r="AN16" s="791"/>
      <c r="AO16" s="790">
        <f t="shared" si="25"/>
        <v>4.0211199999999998</v>
      </c>
      <c r="AP16" s="790">
        <f t="shared" si="26"/>
        <v>1.0310564102564101</v>
      </c>
    </row>
    <row r="17" spans="2:42" ht="14.5" thickBot="1">
      <c r="B17" s="956">
        <v>13.8393</v>
      </c>
      <c r="C17" s="956">
        <v>0.45666000000000001</v>
      </c>
      <c r="D17" s="956">
        <v>1.89056</v>
      </c>
      <c r="E17" s="956">
        <v>13.8393</v>
      </c>
      <c r="F17" s="801">
        <v>270</v>
      </c>
      <c r="G17" s="801">
        <v>30</v>
      </c>
      <c r="H17" s="801">
        <v>30</v>
      </c>
      <c r="I17" s="801">
        <v>4</v>
      </c>
      <c r="J17" s="731">
        <f t="shared" si="0"/>
        <v>26</v>
      </c>
      <c r="K17" s="781">
        <f t="shared" si="1"/>
        <v>3.2997333680171685</v>
      </c>
      <c r="L17" s="782">
        <f t="shared" si="2"/>
        <v>13.660806543683568</v>
      </c>
      <c r="M17" s="783">
        <f t="shared" si="3"/>
        <v>8022.3000000000011</v>
      </c>
      <c r="N17" s="783">
        <f t="shared" si="4"/>
        <v>7078.5</v>
      </c>
      <c r="O17" s="795">
        <f t="shared" si="5"/>
        <v>67500</v>
      </c>
      <c r="P17" s="781">
        <f t="shared" si="6"/>
        <v>0.3433628318584071</v>
      </c>
      <c r="Q17" s="781">
        <f t="shared" si="7"/>
        <v>0.29806964274794329</v>
      </c>
      <c r="R17" s="784">
        <f t="shared" si="8"/>
        <v>3495.9261355148424</v>
      </c>
      <c r="S17" s="784">
        <f t="shared" si="9"/>
        <v>3077.8292839427177</v>
      </c>
      <c r="T17" s="785">
        <f t="shared" si="10"/>
        <v>1.0039744270185478</v>
      </c>
      <c r="U17" s="785">
        <f t="shared" si="11"/>
        <v>1.0045167575848899</v>
      </c>
      <c r="V17" s="786">
        <f t="shared" si="12"/>
        <v>7.6871520825309805</v>
      </c>
      <c r="W17" s="786">
        <f t="shared" si="13"/>
        <v>2.7225090952554645</v>
      </c>
      <c r="X17" s="782">
        <f t="shared" si="14"/>
        <v>14.312847917469021</v>
      </c>
      <c r="Y17" s="782">
        <f t="shared" si="15"/>
        <v>24.722509095255464</v>
      </c>
      <c r="Z17" s="786">
        <f t="shared" si="16"/>
        <v>6.5085764473085508</v>
      </c>
      <c r="AA17" s="786">
        <f t="shared" si="17"/>
        <v>6.5085764473085508</v>
      </c>
      <c r="AB17" s="786">
        <f t="shared" si="18"/>
        <v>22.570127300899195</v>
      </c>
      <c r="AC17" s="786">
        <f t="shared" si="19"/>
        <v>17.700517509942987</v>
      </c>
      <c r="AD17" s="786">
        <f t="shared" si="20"/>
        <v>-1.9312544316386731</v>
      </c>
      <c r="AE17" s="786">
        <f t="shared" si="21"/>
        <v>0.45271673377926647</v>
      </c>
      <c r="AF17" s="787">
        <f t="shared" si="22"/>
        <v>-0.49519344400991622</v>
      </c>
      <c r="AG17" s="793">
        <v>8.5</v>
      </c>
      <c r="AH17" s="788">
        <f t="shared" si="23"/>
        <v>0.11608121378955551</v>
      </c>
      <c r="AI17" s="789">
        <v>7.5</v>
      </c>
      <c r="AJ17" s="790">
        <f t="shared" si="24"/>
        <v>0.45271673377926647</v>
      </c>
      <c r="AK17" s="792">
        <v>2</v>
      </c>
      <c r="AL17" s="792">
        <v>16</v>
      </c>
      <c r="AM17" s="792"/>
      <c r="AN17" s="791"/>
      <c r="AO17" s="790">
        <f t="shared" si="25"/>
        <v>4.0211199999999998</v>
      </c>
      <c r="AP17" s="790">
        <f t="shared" si="26"/>
        <v>1.0310564102564101</v>
      </c>
    </row>
    <row r="18" spans="2:42" ht="14.5" thickBot="1">
      <c r="B18" s="956">
        <v>22.743200000000002</v>
      </c>
      <c r="C18" s="956">
        <v>0.83008000000000004</v>
      </c>
      <c r="D18" s="956">
        <v>0.86831000000000003</v>
      </c>
      <c r="E18" s="956">
        <v>22.743200000000002</v>
      </c>
      <c r="F18" s="801">
        <v>270</v>
      </c>
      <c r="G18" s="801">
        <v>30</v>
      </c>
      <c r="H18" s="801">
        <v>30</v>
      </c>
      <c r="I18" s="801">
        <v>4</v>
      </c>
      <c r="J18" s="731">
        <f t="shared" si="0"/>
        <v>26</v>
      </c>
      <c r="K18" s="781">
        <f t="shared" si="1"/>
        <v>3.6497942242076755</v>
      </c>
      <c r="L18" s="782">
        <f t="shared" si="2"/>
        <v>3.8178884237926058</v>
      </c>
      <c r="M18" s="783">
        <f t="shared" si="3"/>
        <v>8966.1</v>
      </c>
      <c r="N18" s="783">
        <f t="shared" si="4"/>
        <v>8022.3000000000011</v>
      </c>
      <c r="O18" s="795">
        <f t="shared" si="5"/>
        <v>67500</v>
      </c>
      <c r="P18" s="781">
        <f t="shared" si="6"/>
        <v>0.3433628318584071</v>
      </c>
      <c r="Q18" s="781">
        <f t="shared" si="7"/>
        <v>0.3433628318584071</v>
      </c>
      <c r="R18" s="784">
        <f t="shared" si="8"/>
        <v>3851.0301919522317</v>
      </c>
      <c r="S18" s="784">
        <f t="shared" si="9"/>
        <v>3495.9261355148424</v>
      </c>
      <c r="T18" s="785">
        <f t="shared" si="10"/>
        <v>1.005940829422614</v>
      </c>
      <c r="U18" s="785">
        <f t="shared" si="11"/>
        <v>1.0065482298002333</v>
      </c>
      <c r="V18" s="786">
        <f t="shared" si="12"/>
        <v>7.3285229708786659</v>
      </c>
      <c r="W18" s="786">
        <f t="shared" si="13"/>
        <v>7.1571111654567492</v>
      </c>
      <c r="X18" s="782">
        <f t="shared" si="14"/>
        <v>14.671477029121334</v>
      </c>
      <c r="Y18" s="782">
        <f t="shared" si="15"/>
        <v>14.842888834543249</v>
      </c>
      <c r="Z18" s="786">
        <f t="shared" si="16"/>
        <v>10.696050801444281</v>
      </c>
      <c r="AA18" s="786">
        <f t="shared" si="17"/>
        <v>10.696050801444281</v>
      </c>
      <c r="AB18" s="786">
        <f t="shared" si="18"/>
        <v>22.129718434657917</v>
      </c>
      <c r="AC18" s="786">
        <f t="shared" si="19"/>
        <v>21.928199663757901</v>
      </c>
      <c r="AD18" s="786">
        <f t="shared" si="20"/>
        <v>-2.250811726994451</v>
      </c>
      <c r="AE18" s="786">
        <f t="shared" si="21"/>
        <v>-2.1862994189025278</v>
      </c>
      <c r="AF18" s="787">
        <f t="shared" si="22"/>
        <v>-0.57713121204985918</v>
      </c>
      <c r="AG18" s="793">
        <v>9.5</v>
      </c>
      <c r="AH18" s="788">
        <f t="shared" si="23"/>
        <v>-0.5605895945903917</v>
      </c>
      <c r="AI18" s="789">
        <v>8.5</v>
      </c>
      <c r="AJ18" s="790">
        <f t="shared" si="24"/>
        <v>-2.1862994189025278</v>
      </c>
      <c r="AK18" s="792">
        <v>2</v>
      </c>
      <c r="AL18" s="792">
        <v>16</v>
      </c>
      <c r="AM18" s="792"/>
      <c r="AN18" s="791"/>
      <c r="AO18" s="790">
        <f t="shared" si="25"/>
        <v>4.0211199999999998</v>
      </c>
      <c r="AP18" s="790">
        <f t="shared" si="26"/>
        <v>1.0310564102564101</v>
      </c>
    </row>
    <row r="19" spans="2:42" ht="14.5" thickBot="1">
      <c r="B19" s="956">
        <v>15.573399999999999</v>
      </c>
      <c r="C19" s="956">
        <v>0.52890999999999999</v>
      </c>
      <c r="D19" s="956">
        <v>1.15157</v>
      </c>
      <c r="E19" s="956">
        <v>15.573399999999999</v>
      </c>
      <c r="F19" s="801">
        <v>270</v>
      </c>
      <c r="G19" s="801">
        <v>30</v>
      </c>
      <c r="H19" s="801">
        <v>30</v>
      </c>
      <c r="I19" s="801">
        <v>4</v>
      </c>
      <c r="J19" s="731">
        <f t="shared" si="0"/>
        <v>26</v>
      </c>
      <c r="K19" s="781">
        <f t="shared" si="1"/>
        <v>3.3962397421243913</v>
      </c>
      <c r="L19" s="782">
        <f t="shared" si="2"/>
        <v>7.3944674894371172</v>
      </c>
      <c r="M19" s="783">
        <f t="shared" si="3"/>
        <v>9909.9</v>
      </c>
      <c r="N19" s="783">
        <f t="shared" si="4"/>
        <v>8966.1</v>
      </c>
      <c r="O19" s="795">
        <f t="shared" si="5"/>
        <v>67500</v>
      </c>
      <c r="P19" s="781">
        <f t="shared" si="6"/>
        <v>0.3433628318584071</v>
      </c>
      <c r="Q19" s="781">
        <f t="shared" si="7"/>
        <v>0.3433628318584071</v>
      </c>
      <c r="R19" s="784">
        <f t="shared" si="8"/>
        <v>4206.1342483896215</v>
      </c>
      <c r="S19" s="784">
        <f t="shared" si="9"/>
        <v>3851.0301919522317</v>
      </c>
      <c r="T19" s="785">
        <f t="shared" si="10"/>
        <v>1.0037163044669748</v>
      </c>
      <c r="U19" s="785">
        <f t="shared" si="11"/>
        <v>1.004060376858547</v>
      </c>
      <c r="V19" s="786">
        <f t="shared" si="12"/>
        <v>7.591138796951034</v>
      </c>
      <c r="W19" s="786">
        <f t="shared" si="13"/>
        <v>3.575508185887494</v>
      </c>
      <c r="X19" s="782">
        <f t="shared" si="14"/>
        <v>14.408861203048964</v>
      </c>
      <c r="Y19" s="782">
        <f t="shared" si="15"/>
        <v>18.424491814112507</v>
      </c>
      <c r="Z19" s="786">
        <f t="shared" si="16"/>
        <v>7.3241178704497321</v>
      </c>
      <c r="AA19" s="786">
        <f t="shared" si="17"/>
        <v>7.3241178704497321</v>
      </c>
      <c r="AB19" s="786">
        <f t="shared" si="18"/>
        <v>22.446066750377984</v>
      </c>
      <c r="AC19" s="786">
        <f t="shared" si="19"/>
        <v>19.153772299298971</v>
      </c>
      <c r="AD19" s="786">
        <f t="shared" si="20"/>
        <v>-2.0434146894668559</v>
      </c>
      <c r="AE19" s="786">
        <f t="shared" si="21"/>
        <v>-1.0085406913212953</v>
      </c>
      <c r="AF19" s="787">
        <f t="shared" si="22"/>
        <v>-0.52395248447868092</v>
      </c>
      <c r="AG19" s="793">
        <v>10.5</v>
      </c>
      <c r="AH19" s="788">
        <f t="shared" si="23"/>
        <v>-0.25860017726187057</v>
      </c>
      <c r="AI19" s="789">
        <v>9.5</v>
      </c>
      <c r="AJ19" s="790">
        <f t="shared" si="24"/>
        <v>-1.0085406913212953</v>
      </c>
      <c r="AK19" s="792">
        <v>2</v>
      </c>
      <c r="AL19" s="792">
        <v>16</v>
      </c>
      <c r="AM19" s="792"/>
      <c r="AN19" s="791"/>
      <c r="AO19" s="790">
        <f t="shared" si="25"/>
        <v>4.0211199999999998</v>
      </c>
      <c r="AP19" s="790">
        <f t="shared" si="26"/>
        <v>1.0310564102564101</v>
      </c>
    </row>
    <row r="20" spans="2:42" ht="14.5" thickBot="1">
      <c r="B20" s="956">
        <v>13.7159</v>
      </c>
      <c r="C20" s="956">
        <v>0.52815000000000001</v>
      </c>
      <c r="D20" s="956">
        <v>1.1364399999999999</v>
      </c>
      <c r="E20" s="956">
        <v>13.7159</v>
      </c>
      <c r="F20" s="801">
        <v>270</v>
      </c>
      <c r="G20" s="801">
        <v>30</v>
      </c>
      <c r="H20" s="801">
        <v>30</v>
      </c>
      <c r="I20" s="801">
        <v>4</v>
      </c>
      <c r="J20" s="731">
        <f t="shared" si="0"/>
        <v>26</v>
      </c>
      <c r="K20" s="781">
        <f t="shared" si="1"/>
        <v>3.850640497524771</v>
      </c>
      <c r="L20" s="782">
        <f t="shared" si="2"/>
        <v>8.285566386456594</v>
      </c>
      <c r="M20" s="783">
        <f t="shared" si="3"/>
        <v>10853.7</v>
      </c>
      <c r="N20" s="783">
        <f t="shared" si="4"/>
        <v>9909.9</v>
      </c>
      <c r="O20" s="795">
        <f t="shared" si="5"/>
        <v>67500</v>
      </c>
      <c r="P20" s="781">
        <f t="shared" si="6"/>
        <v>0.3433628318584071</v>
      </c>
      <c r="Q20" s="781">
        <f t="shared" si="7"/>
        <v>0.3433628318584071</v>
      </c>
      <c r="R20" s="784">
        <f t="shared" si="8"/>
        <v>4561.2383048270112</v>
      </c>
      <c r="S20" s="784">
        <f t="shared" si="9"/>
        <v>4206.1342483896215</v>
      </c>
      <c r="T20" s="785">
        <f t="shared" si="10"/>
        <v>1.0030161258766843</v>
      </c>
      <c r="U20" s="785">
        <f t="shared" si="11"/>
        <v>1.0032715962149312</v>
      </c>
      <c r="V20" s="786">
        <f t="shared" si="12"/>
        <v>7.1377454860288356</v>
      </c>
      <c r="W20" s="786">
        <f t="shared" si="13"/>
        <v>2.6873265859149136</v>
      </c>
      <c r="X20" s="782">
        <f t="shared" si="14"/>
        <v>14.862254513971163</v>
      </c>
      <c r="Y20" s="782">
        <f t="shared" si="15"/>
        <v>19.312673414085086</v>
      </c>
      <c r="Z20" s="786">
        <f t="shared" si="16"/>
        <v>6.4505418405294597</v>
      </c>
      <c r="AA20" s="786">
        <f t="shared" si="17"/>
        <v>6.4505418405294597</v>
      </c>
      <c r="AB20" s="786">
        <f t="shared" si="18"/>
        <v>21.889729284842872</v>
      </c>
      <c r="AC20" s="786">
        <f t="shared" si="19"/>
        <v>18.790350216218933</v>
      </c>
      <c r="AD20" s="786">
        <f t="shared" si="20"/>
        <v>-1.7959197131300539</v>
      </c>
      <c r="AE20" s="786">
        <f t="shared" si="21"/>
        <v>-0.78579387095879094</v>
      </c>
      <c r="AF20" s="787">
        <f t="shared" si="22"/>
        <v>-0.46049223413591123</v>
      </c>
      <c r="AG20" s="793">
        <v>11.5</v>
      </c>
      <c r="AH20" s="788">
        <f t="shared" si="23"/>
        <v>-0.20148560793815154</v>
      </c>
      <c r="AI20" s="789">
        <v>10.5</v>
      </c>
      <c r="AJ20" s="790">
        <f t="shared" si="24"/>
        <v>-0.78579387095879094</v>
      </c>
      <c r="AK20" s="792">
        <v>2</v>
      </c>
      <c r="AL20" s="792">
        <v>16</v>
      </c>
      <c r="AM20" s="792"/>
      <c r="AN20" s="791"/>
      <c r="AO20" s="790">
        <f t="shared" si="25"/>
        <v>4.0211199999999998</v>
      </c>
      <c r="AP20" s="790">
        <f t="shared" si="26"/>
        <v>1.0310564102564101</v>
      </c>
    </row>
    <row r="21" spans="2:42" ht="14.5" thickBot="1">
      <c r="B21" s="956">
        <v>15.555199999999999</v>
      </c>
      <c r="C21" s="956">
        <v>0.25014999999999998</v>
      </c>
      <c r="D21" s="956">
        <v>1.3709199999999999</v>
      </c>
      <c r="E21" s="956">
        <v>15.555199999999999</v>
      </c>
      <c r="F21" s="801">
        <v>270</v>
      </c>
      <c r="G21" s="801">
        <v>30</v>
      </c>
      <c r="H21" s="801">
        <v>30</v>
      </c>
      <c r="I21" s="801">
        <v>4</v>
      </c>
      <c r="J21" s="731">
        <f t="shared" si="0"/>
        <v>26</v>
      </c>
      <c r="K21" s="781">
        <f t="shared" si="1"/>
        <v>1.6081439004320099</v>
      </c>
      <c r="L21" s="782">
        <f t="shared" si="2"/>
        <v>8.8132585887677433</v>
      </c>
      <c r="M21" s="783">
        <f t="shared" si="3"/>
        <v>11797.5</v>
      </c>
      <c r="N21" s="783">
        <f t="shared" si="4"/>
        <v>10853.7</v>
      </c>
      <c r="O21" s="795">
        <f t="shared" si="5"/>
        <v>67500</v>
      </c>
      <c r="P21" s="781">
        <f t="shared" si="6"/>
        <v>0.3433628318584071</v>
      </c>
      <c r="Q21" s="781">
        <f t="shared" si="7"/>
        <v>0.3433628318584071</v>
      </c>
      <c r="R21" s="784">
        <f t="shared" si="8"/>
        <v>4916.3423612644001</v>
      </c>
      <c r="S21" s="784">
        <f t="shared" si="9"/>
        <v>4561.2383048270112</v>
      </c>
      <c r="T21" s="785">
        <f t="shared" si="10"/>
        <v>1.003174020721191</v>
      </c>
      <c r="U21" s="785">
        <f t="shared" si="11"/>
        <v>1.0034219719327733</v>
      </c>
      <c r="V21" s="786">
        <f t="shared" si="12"/>
        <v>9.3867518175053615</v>
      </c>
      <c r="W21" s="786">
        <f t="shared" si="13"/>
        <v>2.156582687705221</v>
      </c>
      <c r="X21" s="782">
        <f t="shared" si="14"/>
        <v>12.613248182494637</v>
      </c>
      <c r="Y21" s="782">
        <f t="shared" si="15"/>
        <v>19.843417312294779</v>
      </c>
      <c r="Z21" s="786">
        <f t="shared" si="16"/>
        <v>7.3155584713947928</v>
      </c>
      <c r="AA21" s="786">
        <f t="shared" si="17"/>
        <v>7.3155584713947928</v>
      </c>
      <c r="AB21" s="786">
        <f t="shared" si="18"/>
        <v>24.856814876133999</v>
      </c>
      <c r="AC21" s="786">
        <f t="shared" si="19"/>
        <v>18.612072348721327</v>
      </c>
      <c r="AD21" s="786">
        <f t="shared" si="20"/>
        <v>-2.5043375151339613</v>
      </c>
      <c r="AE21" s="786">
        <f t="shared" si="21"/>
        <v>-0.64321768564862436</v>
      </c>
      <c r="AF21" s="787">
        <f t="shared" si="22"/>
        <v>-0.64213782439332334</v>
      </c>
      <c r="AG21" s="793">
        <v>12.5</v>
      </c>
      <c r="AH21" s="788">
        <f t="shared" si="23"/>
        <v>-0.16492761170477549</v>
      </c>
      <c r="AI21" s="789">
        <v>11.5</v>
      </c>
      <c r="AJ21" s="790">
        <f t="shared" si="24"/>
        <v>-0.64321768564862436</v>
      </c>
      <c r="AK21" s="792">
        <v>2</v>
      </c>
      <c r="AL21" s="792">
        <v>16</v>
      </c>
      <c r="AM21" s="792"/>
      <c r="AN21" s="791"/>
      <c r="AO21" s="790">
        <f t="shared" si="25"/>
        <v>4.0211199999999998</v>
      </c>
      <c r="AP21" s="790">
        <f t="shared" si="26"/>
        <v>1.0310564102564101</v>
      </c>
    </row>
    <row r="22" spans="2:42" ht="14.5" thickBot="1">
      <c r="B22" s="956">
        <v>4.1197999999999997</v>
      </c>
      <c r="C22" s="956">
        <v>0.59919</v>
      </c>
      <c r="D22" s="956">
        <v>1.0025299999999999</v>
      </c>
      <c r="E22" s="956">
        <v>6.5100000000000005E-2</v>
      </c>
      <c r="F22" s="801">
        <v>270</v>
      </c>
      <c r="G22" s="801">
        <v>30</v>
      </c>
      <c r="H22" s="801">
        <v>30</v>
      </c>
      <c r="I22" s="801">
        <v>4</v>
      </c>
      <c r="J22" s="731">
        <f t="shared" si="0"/>
        <v>26</v>
      </c>
      <c r="K22" s="781">
        <f t="shared" si="1"/>
        <v>14.544152628768389</v>
      </c>
      <c r="L22" s="782">
        <f t="shared" si="2"/>
        <v>1539.9846390168968</v>
      </c>
      <c r="M22" s="783">
        <f t="shared" si="3"/>
        <v>12741.300000000001</v>
      </c>
      <c r="N22" s="783">
        <f t="shared" si="4"/>
        <v>11797.5</v>
      </c>
      <c r="O22" s="795">
        <f t="shared" si="5"/>
        <v>67500</v>
      </c>
      <c r="P22" s="781">
        <f t="shared" si="6"/>
        <v>0.28809685881259128</v>
      </c>
      <c r="Q22" s="781">
        <f t="shared" si="7"/>
        <v>0.10213871215341624</v>
      </c>
      <c r="R22" s="784">
        <f t="shared" si="8"/>
        <v>5194.5836887491823</v>
      </c>
      <c r="S22" s="784">
        <f t="shared" si="9"/>
        <v>4580.8530337835364</v>
      </c>
      <c r="T22" s="785">
        <f t="shared" si="10"/>
        <v>1.0007937248169534</v>
      </c>
      <c r="U22" s="785">
        <f t="shared" si="11"/>
        <v>1.000014211528877</v>
      </c>
      <c r="V22" s="786">
        <f t="shared" si="12"/>
        <v>3.5556966836513997</v>
      </c>
      <c r="W22" s="786">
        <f t="shared" si="13"/>
        <v>1529.0065245530643</v>
      </c>
      <c r="X22" s="782">
        <f t="shared" si="14"/>
        <v>25.555696683651398</v>
      </c>
      <c r="Y22" s="782">
        <f t="shared" si="15"/>
        <v>1551.0065245530643</v>
      </c>
      <c r="Z22" s="786">
        <f t="shared" si="16"/>
        <v>1.9375281443152299</v>
      </c>
      <c r="AA22" s="786">
        <f t="shared" si="17"/>
        <v>3.0616312004204456E-2</v>
      </c>
      <c r="AB22" s="786">
        <f t="shared" si="18"/>
        <v>17.6136248187576</v>
      </c>
      <c r="AC22" s="786">
        <f t="shared" si="19"/>
        <v>16.900069068149982</v>
      </c>
      <c r="AD22" s="786">
        <f t="shared" si="20"/>
        <v>3.5755216347319367E-2</v>
      </c>
      <c r="AE22" s="786">
        <f t="shared" si="21"/>
        <v>1.6428856273971733</v>
      </c>
      <c r="AF22" s="787">
        <f t="shared" si="22"/>
        <v>9.1680041916203502E-3</v>
      </c>
      <c r="AG22" s="793">
        <v>13.5</v>
      </c>
      <c r="AH22" s="788">
        <f t="shared" si="23"/>
        <v>0.42125272497363414</v>
      </c>
      <c r="AI22" s="789">
        <v>12.5</v>
      </c>
      <c r="AJ22" s="790">
        <f t="shared" si="24"/>
        <v>1.6428856273971733</v>
      </c>
      <c r="AK22" s="792">
        <v>2</v>
      </c>
      <c r="AL22" s="792">
        <v>16</v>
      </c>
      <c r="AM22" s="792"/>
      <c r="AN22" s="791"/>
      <c r="AO22" s="790">
        <f t="shared" si="25"/>
        <v>4.0211199999999998</v>
      </c>
      <c r="AP22" s="790">
        <f t="shared" si="26"/>
        <v>1.0310564102564101</v>
      </c>
    </row>
    <row r="23" spans="2:42" ht="14.5" thickBot="1">
      <c r="B23" s="956">
        <v>9.0855999999999995</v>
      </c>
      <c r="C23" s="956">
        <v>0.27566000000000002</v>
      </c>
      <c r="D23" s="956">
        <v>0.38312000000000002</v>
      </c>
      <c r="E23" s="956">
        <v>9.0855999999999995</v>
      </c>
      <c r="F23" s="801">
        <v>270</v>
      </c>
      <c r="G23" s="801">
        <v>30</v>
      </c>
      <c r="H23" s="801">
        <v>30</v>
      </c>
      <c r="I23" s="801">
        <v>4</v>
      </c>
      <c r="J23" s="731">
        <f t="shared" si="0"/>
        <v>26</v>
      </c>
      <c r="K23" s="781">
        <f t="shared" si="1"/>
        <v>3.0340318746147754</v>
      </c>
      <c r="L23" s="782">
        <f t="shared" si="2"/>
        <v>4.2167826010390073</v>
      </c>
      <c r="M23" s="783">
        <f t="shared" si="3"/>
        <v>13685.099999999999</v>
      </c>
      <c r="N23" s="783">
        <f t="shared" si="4"/>
        <v>12741.300000000001</v>
      </c>
      <c r="O23" s="795">
        <f t="shared" si="5"/>
        <v>67500</v>
      </c>
      <c r="P23" s="781">
        <f t="shared" si="6"/>
        <v>0.3433628318584071</v>
      </c>
      <c r="Q23" s="781">
        <f t="shared" si="7"/>
        <v>0.3433628318584071</v>
      </c>
      <c r="R23" s="784">
        <f t="shared" si="8"/>
        <v>5626.5504741391787</v>
      </c>
      <c r="S23" s="784">
        <f t="shared" si="9"/>
        <v>5271.4464177017908</v>
      </c>
      <c r="T23" s="785">
        <f t="shared" si="10"/>
        <v>1.0016173843902125</v>
      </c>
      <c r="U23" s="785">
        <f t="shared" si="11"/>
        <v>1.001726525473023</v>
      </c>
      <c r="V23" s="786">
        <f t="shared" si="12"/>
        <v>7.9610609295918149</v>
      </c>
      <c r="W23" s="786">
        <f t="shared" si="13"/>
        <v>6.7759370163860986</v>
      </c>
      <c r="X23" s="782">
        <f t="shared" si="14"/>
        <v>14.038939070408183</v>
      </c>
      <c r="Y23" s="782">
        <f t="shared" si="15"/>
        <v>15.224062983613901</v>
      </c>
      <c r="Z23" s="786">
        <f t="shared" si="16"/>
        <v>4.2729272556897069</v>
      </c>
      <c r="AA23" s="786">
        <f t="shared" si="17"/>
        <v>4.2729272556897069</v>
      </c>
      <c r="AB23" s="786">
        <f t="shared" si="18"/>
        <v>22.92087469983354</v>
      </c>
      <c r="AC23" s="786">
        <f t="shared" si="19"/>
        <v>21.477815889656018</v>
      </c>
      <c r="AD23" s="786">
        <f t="shared" si="20"/>
        <v>-1.4771297715813472</v>
      </c>
      <c r="AE23" s="786">
        <f t="shared" si="21"/>
        <v>-1.2989462021746017</v>
      </c>
      <c r="AF23" s="787">
        <f t="shared" si="22"/>
        <v>-0.3787512234823967</v>
      </c>
      <c r="AG23" s="793">
        <v>14.5</v>
      </c>
      <c r="AH23" s="788">
        <f t="shared" si="23"/>
        <v>-0.33306312876271837</v>
      </c>
      <c r="AI23" s="789">
        <v>13.5</v>
      </c>
      <c r="AJ23" s="790">
        <f t="shared" si="24"/>
        <v>-1.2989462021746017</v>
      </c>
      <c r="AK23" s="792">
        <v>2</v>
      </c>
      <c r="AL23" s="792">
        <v>16</v>
      </c>
      <c r="AM23" s="792"/>
      <c r="AN23" s="791"/>
      <c r="AO23" s="790">
        <f t="shared" si="25"/>
        <v>4.0211199999999998</v>
      </c>
      <c r="AP23" s="790">
        <f t="shared" si="26"/>
        <v>1.0310564102564101</v>
      </c>
    </row>
    <row r="24" spans="2:42" ht="14.5" thickBot="1">
      <c r="B24" s="956">
        <v>3.3954</v>
      </c>
      <c r="C24" s="956">
        <v>6.9080000000000003E-2</v>
      </c>
      <c r="D24" s="956">
        <v>0.48814999999999997</v>
      </c>
      <c r="E24" s="956">
        <v>4.36E-2</v>
      </c>
      <c r="F24" s="801">
        <v>270</v>
      </c>
      <c r="G24" s="801">
        <v>30</v>
      </c>
      <c r="H24" s="801">
        <v>30</v>
      </c>
      <c r="I24" s="801">
        <v>4</v>
      </c>
      <c r="J24" s="731">
        <f t="shared" si="0"/>
        <v>26</v>
      </c>
      <c r="K24" s="781">
        <f t="shared" si="1"/>
        <v>2.034517288095659</v>
      </c>
      <c r="L24" s="782">
        <f t="shared" si="2"/>
        <v>1119.6100917431193</v>
      </c>
      <c r="M24" s="783">
        <f t="shared" si="3"/>
        <v>14628.900000000001</v>
      </c>
      <c r="N24" s="783">
        <f t="shared" si="4"/>
        <v>13685.099999999999</v>
      </c>
      <c r="O24" s="795">
        <f t="shared" si="5"/>
        <v>67500</v>
      </c>
      <c r="P24" s="781">
        <f t="shared" si="6"/>
        <v>0.3433628318584071</v>
      </c>
      <c r="Q24" s="781">
        <f t="shared" si="7"/>
        <v>0.10293957806389925</v>
      </c>
      <c r="R24" s="784">
        <f t="shared" si="8"/>
        <v>5981.6545305765703</v>
      </c>
      <c r="S24" s="784">
        <f t="shared" si="9"/>
        <v>5292.1749737749369</v>
      </c>
      <c r="T24" s="785">
        <f t="shared" si="10"/>
        <v>1.0005679579833924</v>
      </c>
      <c r="U24" s="785">
        <f t="shared" si="11"/>
        <v>1.0000082386465718</v>
      </c>
      <c r="V24" s="786">
        <f t="shared" si="12"/>
        <v>8.9643271915682163</v>
      </c>
      <c r="W24" s="786">
        <f t="shared" si="13"/>
        <v>1108.6193158149633</v>
      </c>
      <c r="X24" s="782">
        <f t="shared" si="14"/>
        <v>13.035672808431784</v>
      </c>
      <c r="Y24" s="782">
        <f t="shared" si="15"/>
        <v>1130.6193158149633</v>
      </c>
      <c r="Z24" s="786">
        <f t="shared" si="16"/>
        <v>1.5968452500626082</v>
      </c>
      <c r="AA24" s="786">
        <f t="shared" si="17"/>
        <v>2.0504933999743687E-2</v>
      </c>
      <c r="AB24" s="786">
        <f t="shared" si="18"/>
        <v>24.298621073770146</v>
      </c>
      <c r="AC24" s="786">
        <f t="shared" si="19"/>
        <v>16.900130669446796</v>
      </c>
      <c r="AD24" s="786">
        <f t="shared" si="20"/>
        <v>-0.68357414851694254</v>
      </c>
      <c r="AE24" s="786">
        <f t="shared" si="21"/>
        <v>0.79699103050646691</v>
      </c>
      <c r="AF24" s="787">
        <f t="shared" si="22"/>
        <v>-0.17527542269665194</v>
      </c>
      <c r="AG24" s="793">
        <v>15.5</v>
      </c>
      <c r="AH24" s="788">
        <f t="shared" si="23"/>
        <v>0.20435667448883768</v>
      </c>
      <c r="AI24" s="789">
        <v>14.5</v>
      </c>
      <c r="AJ24" s="790">
        <f t="shared" si="24"/>
        <v>0.79699103050646691</v>
      </c>
      <c r="AK24" s="792">
        <v>2</v>
      </c>
      <c r="AL24" s="792">
        <v>16</v>
      </c>
      <c r="AM24" s="792"/>
      <c r="AN24" s="791"/>
      <c r="AO24" s="790">
        <f t="shared" si="25"/>
        <v>4.0211199999999998</v>
      </c>
      <c r="AP24" s="790">
        <f t="shared" si="26"/>
        <v>1.0310564102564101</v>
      </c>
    </row>
    <row r="25" spans="2:42" ht="14.5" thickBot="1">
      <c r="B25" s="956">
        <v>3.3382000000000001</v>
      </c>
      <c r="C25" s="956">
        <v>7.4759999999999993E-2</v>
      </c>
      <c r="D25" s="956">
        <v>0.47375</v>
      </c>
      <c r="E25" s="956">
        <v>1.3299999999999999E-2</v>
      </c>
      <c r="F25" s="801">
        <v>270</v>
      </c>
      <c r="G25" s="801">
        <v>30</v>
      </c>
      <c r="H25" s="801">
        <v>30</v>
      </c>
      <c r="I25" s="801">
        <v>4</v>
      </c>
      <c r="J25" s="731">
        <f t="shared" si="0"/>
        <v>26</v>
      </c>
      <c r="K25" s="781">
        <f t="shared" si="1"/>
        <v>2.2395302857827568</v>
      </c>
      <c r="L25" s="782">
        <f t="shared" si="2"/>
        <v>3562.0300751879704</v>
      </c>
      <c r="M25" s="783">
        <f t="shared" si="3"/>
        <v>15572.700000000003</v>
      </c>
      <c r="N25" s="783">
        <f t="shared" si="4"/>
        <v>14628.900000000001</v>
      </c>
      <c r="O25" s="795">
        <f t="shared" si="5"/>
        <v>67500</v>
      </c>
      <c r="P25" s="781">
        <f t="shared" si="6"/>
        <v>0.3433628318584071</v>
      </c>
      <c r="Q25" s="781">
        <f t="shared" si="7"/>
        <v>0.10092565839008413</v>
      </c>
      <c r="R25" s="784">
        <f t="shared" si="8"/>
        <v>6336.7585870139601</v>
      </c>
      <c r="S25" s="784">
        <f t="shared" si="9"/>
        <v>5644.4781139615179</v>
      </c>
      <c r="T25" s="785">
        <f t="shared" si="10"/>
        <v>1.0005270769656858</v>
      </c>
      <c r="U25" s="785">
        <f t="shared" si="11"/>
        <v>1.0000023562907092</v>
      </c>
      <c r="V25" s="786">
        <f t="shared" si="12"/>
        <v>8.7592893093896507</v>
      </c>
      <c r="W25" s="786">
        <f t="shared" si="13"/>
        <v>3551.0384683663424</v>
      </c>
      <c r="X25" s="782">
        <f t="shared" si="14"/>
        <v>13.240710690610349</v>
      </c>
      <c r="Y25" s="782">
        <f t="shared" si="15"/>
        <v>3573.0384683663424</v>
      </c>
      <c r="Z25" s="786">
        <f t="shared" si="16"/>
        <v>1.5699442816042291</v>
      </c>
      <c r="AA25" s="786">
        <f t="shared" si="17"/>
        <v>6.2549454632245651E-3</v>
      </c>
      <c r="AB25" s="786">
        <f t="shared" si="18"/>
        <v>24.016944197292872</v>
      </c>
      <c r="AC25" s="786">
        <f t="shared" si="19"/>
        <v>16.900012909758477</v>
      </c>
      <c r="AD25" s="786">
        <f t="shared" si="20"/>
        <v>-0.66147493235399391</v>
      </c>
      <c r="AE25" s="786">
        <f t="shared" si="21"/>
        <v>0.78067128070779357</v>
      </c>
      <c r="AF25" s="787">
        <f t="shared" si="22"/>
        <v>-0.1696089570138446</v>
      </c>
      <c r="AG25" s="793">
        <v>16.5</v>
      </c>
      <c r="AH25" s="788">
        <f t="shared" si="23"/>
        <v>0.20017212325840861</v>
      </c>
      <c r="AI25" s="789">
        <v>15.5</v>
      </c>
      <c r="AJ25" s="790">
        <f t="shared" si="24"/>
        <v>0.78067128070779357</v>
      </c>
      <c r="AK25" s="792">
        <v>2</v>
      </c>
      <c r="AL25" s="792">
        <v>16</v>
      </c>
      <c r="AM25" s="792"/>
      <c r="AN25" s="791"/>
      <c r="AO25" s="790">
        <f t="shared" si="25"/>
        <v>4.0211199999999998</v>
      </c>
      <c r="AP25" s="790">
        <f t="shared" si="26"/>
        <v>1.0310564102564101</v>
      </c>
    </row>
    <row r="26" spans="2:42">
      <c r="B26" s="956">
        <v>4.8623000000000003</v>
      </c>
      <c r="C26" s="956">
        <v>0.10888</v>
      </c>
      <c r="D26" s="956">
        <v>0.68954000000000004</v>
      </c>
      <c r="E26" s="956">
        <v>0.54300000000000004</v>
      </c>
      <c r="F26" s="801">
        <v>270</v>
      </c>
      <c r="G26" s="801">
        <v>30</v>
      </c>
      <c r="H26" s="801">
        <v>30</v>
      </c>
      <c r="I26" s="801">
        <v>4</v>
      </c>
      <c r="J26" s="731">
        <f t="shared" si="0"/>
        <v>26</v>
      </c>
      <c r="K26" s="781">
        <f t="shared" si="1"/>
        <v>2.2392694815210907</v>
      </c>
      <c r="L26" s="782">
        <f t="shared" si="2"/>
        <v>126.98710865561694</v>
      </c>
      <c r="M26" s="783">
        <f t="shared" si="3"/>
        <v>16516.5</v>
      </c>
      <c r="N26" s="783">
        <f t="shared" si="4"/>
        <v>15572.700000000003</v>
      </c>
      <c r="O26" s="795">
        <f t="shared" si="5"/>
        <v>67500</v>
      </c>
      <c r="P26" s="781">
        <f t="shared" si="6"/>
        <v>0.3433628318584071</v>
      </c>
      <c r="Q26" s="781">
        <f t="shared" si="7"/>
        <v>0.12538713287902187</v>
      </c>
      <c r="R26" s="784">
        <f t="shared" si="8"/>
        <v>6691.862643451349</v>
      </c>
      <c r="S26" s="784">
        <f t="shared" si="9"/>
        <v>6033.6026640192003</v>
      </c>
      <c r="T26" s="785">
        <f t="shared" si="10"/>
        <v>1.0007271272245053</v>
      </c>
      <c r="U26" s="785">
        <f t="shared" si="11"/>
        <v>1.0000900040825451</v>
      </c>
      <c r="V26" s="786">
        <f t="shared" si="12"/>
        <v>8.7591022846758904</v>
      </c>
      <c r="W26" s="786">
        <f t="shared" si="13"/>
        <v>115.99853801382655</v>
      </c>
      <c r="X26" s="782">
        <f t="shared" si="14"/>
        <v>13.24089771532411</v>
      </c>
      <c r="Y26" s="782">
        <f t="shared" si="15"/>
        <v>137.99853801382653</v>
      </c>
      <c r="Z26" s="786">
        <f t="shared" si="16"/>
        <v>2.2867234079576546</v>
      </c>
      <c r="AA26" s="786">
        <f t="shared" si="17"/>
        <v>0.25537108169405554</v>
      </c>
      <c r="AB26" s="786">
        <f t="shared" si="18"/>
        <v>24.017305417133343</v>
      </c>
      <c r="AC26" s="786">
        <f t="shared" si="19"/>
        <v>16.910146356695307</v>
      </c>
      <c r="AD26" s="786">
        <f t="shared" si="20"/>
        <v>-0.9346283183327927</v>
      </c>
      <c r="AE26" s="786">
        <f t="shared" si="21"/>
        <v>1.007528419684852</v>
      </c>
      <c r="AF26" s="787">
        <f t="shared" si="22"/>
        <v>-0.23964828675199812</v>
      </c>
      <c r="AG26" s="793">
        <v>17.5</v>
      </c>
      <c r="AH26" s="788">
        <f t="shared" si="23"/>
        <v>0.25834062043201333</v>
      </c>
      <c r="AI26" s="789">
        <v>16.5</v>
      </c>
      <c r="AJ26" s="790">
        <f t="shared" si="24"/>
        <v>1.007528419684852</v>
      </c>
      <c r="AK26" s="792">
        <v>2</v>
      </c>
      <c r="AL26" s="792">
        <v>16</v>
      </c>
      <c r="AM26" s="792"/>
      <c r="AN26" s="791"/>
      <c r="AO26" s="790">
        <f t="shared" si="25"/>
        <v>4.0211199999999998</v>
      </c>
      <c r="AP26" s="790">
        <f t="shared" si="26"/>
        <v>1.0310564102564101</v>
      </c>
    </row>
  </sheetData>
  <mergeCells count="38">
    <mergeCell ref="AK8:AN8"/>
    <mergeCell ref="AC7:AC9"/>
    <mergeCell ref="AD7:AE7"/>
    <mergeCell ref="AF7:AI7"/>
    <mergeCell ref="AJ7:AP7"/>
    <mergeCell ref="AD8:AD9"/>
    <mergeCell ref="AE8:AE9"/>
    <mergeCell ref="AF8:AG8"/>
    <mergeCell ref="F7:F8"/>
    <mergeCell ref="AH8:AI8"/>
    <mergeCell ref="G7:G8"/>
    <mergeCell ref="H7:H8"/>
    <mergeCell ref="I7:I8"/>
    <mergeCell ref="J7:J8"/>
    <mergeCell ref="K7:K8"/>
    <mergeCell ref="L7:L8"/>
    <mergeCell ref="M7:M8"/>
    <mergeCell ref="N7:N8"/>
    <mergeCell ref="O7:O8"/>
    <mergeCell ref="P7:P9"/>
    <mergeCell ref="Q7:Q9"/>
    <mergeCell ref="Z7:Z9"/>
    <mergeCell ref="AD4:AE4"/>
    <mergeCell ref="A1:H1"/>
    <mergeCell ref="G3:G4"/>
    <mergeCell ref="V4:W4"/>
    <mergeCell ref="AA7:AA9"/>
    <mergeCell ref="AB7:AB9"/>
    <mergeCell ref="R7:R9"/>
    <mergeCell ref="S7:S9"/>
    <mergeCell ref="T7:T9"/>
    <mergeCell ref="U7:U9"/>
    <mergeCell ref="V7:V9"/>
    <mergeCell ref="W7:W9"/>
    <mergeCell ref="X7:X9"/>
    <mergeCell ref="Y7:Y9"/>
    <mergeCell ref="A7:A9"/>
    <mergeCell ref="B7:E7"/>
  </mergeCells>
  <pageMargins left="0.7" right="0.7" top="0.75" bottom="0.75" header="0.3" footer="0.3"/>
  <pageSetup paperSize="9" orientation="portrait"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5CA4B-491B-4948-BB20-3026DE859884}">
  <sheetPr codeName="Sheet13"/>
  <dimension ref="A1:C9"/>
  <sheetViews>
    <sheetView workbookViewId="0">
      <selection activeCell="G6" sqref="G6"/>
    </sheetView>
  </sheetViews>
  <sheetFormatPr defaultRowHeight="14"/>
  <sheetData>
    <row r="1" spans="1:3">
      <c r="A1" t="s">
        <v>9</v>
      </c>
      <c r="B1" t="s">
        <v>8</v>
      </c>
      <c r="C1" t="s">
        <v>7</v>
      </c>
    </row>
    <row r="2" spans="1:3">
      <c r="A2">
        <v>149</v>
      </c>
      <c r="B2">
        <v>150</v>
      </c>
      <c r="C2">
        <v>151</v>
      </c>
    </row>
    <row r="3" spans="1:3">
      <c r="A3">
        <v>152</v>
      </c>
      <c r="B3">
        <v>153</v>
      </c>
      <c r="C3">
        <v>154</v>
      </c>
    </row>
    <row r="4" spans="1:3">
      <c r="A4">
        <v>155</v>
      </c>
      <c r="B4">
        <v>156</v>
      </c>
      <c r="C4">
        <v>157</v>
      </c>
    </row>
    <row r="5" spans="1:3">
      <c r="A5">
        <v>168</v>
      </c>
      <c r="B5">
        <v>159</v>
      </c>
      <c r="C5">
        <v>160</v>
      </c>
    </row>
    <row r="6" spans="1:3">
      <c r="A6">
        <v>181</v>
      </c>
      <c r="B6">
        <v>162</v>
      </c>
      <c r="C6">
        <v>163</v>
      </c>
    </row>
    <row r="7" spans="1:3">
      <c r="A7">
        <v>184</v>
      </c>
      <c r="B7">
        <v>165</v>
      </c>
      <c r="C7">
        <v>166</v>
      </c>
    </row>
    <row r="8" spans="1:3">
      <c r="A8">
        <v>187</v>
      </c>
      <c r="B8">
        <v>168</v>
      </c>
      <c r="C8">
        <v>169</v>
      </c>
    </row>
    <row r="9" spans="1:3">
      <c r="A9">
        <v>170</v>
      </c>
      <c r="B9">
        <v>171</v>
      </c>
      <c r="C9">
        <v>172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8DCC7-9FC6-40F5-9335-39D859E2C02A}">
  <sheetPr codeName="Sheet14"/>
  <dimension ref="A1:L86"/>
  <sheetViews>
    <sheetView topLeftCell="A55" workbookViewId="0">
      <selection activeCell="F64" sqref="F64"/>
    </sheetView>
  </sheetViews>
  <sheetFormatPr defaultRowHeight="14"/>
  <cols>
    <col min="3" max="3" width="11.6640625" customWidth="1"/>
    <col min="5" max="5" width="11.6640625" bestFit="1" customWidth="1"/>
    <col min="8" max="8" width="11.25" customWidth="1"/>
  </cols>
  <sheetData>
    <row r="1" spans="1:12" ht="16.5">
      <c r="A1" s="1075" t="s">
        <v>1022</v>
      </c>
      <c r="B1" s="1075"/>
      <c r="C1" s="1075"/>
      <c r="D1" s="1075"/>
      <c r="E1" s="1075"/>
      <c r="F1" s="1075"/>
      <c r="G1" s="1075"/>
      <c r="H1" s="1075"/>
      <c r="I1" s="1075"/>
      <c r="J1" s="1075"/>
      <c r="K1" s="1075"/>
      <c r="L1" s="1075"/>
    </row>
    <row r="2" spans="1:12" ht="16.5">
      <c r="A2" s="655"/>
      <c r="B2" s="655"/>
      <c r="C2" s="655"/>
      <c r="D2" s="655"/>
      <c r="E2" s="655"/>
      <c r="F2" s="655"/>
      <c r="G2" s="655"/>
      <c r="H2" s="655"/>
      <c r="I2" s="655"/>
      <c r="J2" s="655"/>
      <c r="K2" s="655"/>
      <c r="L2" s="655"/>
    </row>
    <row r="3" spans="1:12" ht="16.5">
      <c r="A3" s="656" t="s">
        <v>683</v>
      </c>
      <c r="B3" s="655"/>
      <c r="C3" s="655"/>
      <c r="D3" s="655"/>
      <c r="E3" s="655"/>
      <c r="F3" s="657" t="s">
        <v>976</v>
      </c>
      <c r="G3" s="655"/>
      <c r="H3" s="655"/>
      <c r="I3" s="655"/>
      <c r="J3" s="655"/>
      <c r="K3" s="655"/>
      <c r="L3" s="655"/>
    </row>
    <row r="4" spans="1:12" ht="16.5">
      <c r="A4" s="658" t="s">
        <v>684</v>
      </c>
      <c r="B4" s="659"/>
      <c r="C4" s="659"/>
      <c r="D4" s="659"/>
      <c r="E4" s="659"/>
      <c r="F4" s="655"/>
      <c r="G4" s="655"/>
      <c r="H4" s="655"/>
      <c r="I4" s="655"/>
      <c r="J4" s="655"/>
      <c r="K4" s="655"/>
      <c r="L4" s="655"/>
    </row>
    <row r="5" spans="1:12" ht="16.5">
      <c r="A5" s="660" t="s">
        <v>685</v>
      </c>
      <c r="B5" s="659"/>
      <c r="C5" s="655"/>
      <c r="D5" s="661"/>
      <c r="E5" s="662"/>
      <c r="F5" s="655"/>
      <c r="G5" s="655"/>
      <c r="H5" s="655"/>
      <c r="I5" s="655"/>
      <c r="J5" s="655"/>
      <c r="K5" s="655"/>
      <c r="L5" s="655"/>
    </row>
    <row r="6" spans="1:12" ht="16.5">
      <c r="A6" s="660"/>
      <c r="B6" s="655" t="s">
        <v>686</v>
      </c>
      <c r="C6" s="655"/>
      <c r="D6" s="663" t="s">
        <v>687</v>
      </c>
      <c r="E6" s="664">
        <f>TH!B22</f>
        <v>8.5</v>
      </c>
      <c r="F6" s="665" t="s">
        <v>92</v>
      </c>
      <c r="G6" s="655"/>
      <c r="H6" s="655"/>
      <c r="I6" s="655"/>
      <c r="J6" s="655"/>
      <c r="K6" s="655"/>
      <c r="L6" s="655"/>
    </row>
    <row r="7" spans="1:12" ht="16.5">
      <c r="A7" s="660"/>
      <c r="B7" s="655" t="s">
        <v>688</v>
      </c>
      <c r="C7" s="655"/>
      <c r="D7" s="663" t="s">
        <v>689</v>
      </c>
      <c r="E7" s="664">
        <f>TH!B23</f>
        <v>0.75</v>
      </c>
      <c r="F7" s="665" t="s">
        <v>92</v>
      </c>
      <c r="G7" s="655"/>
      <c r="H7" s="655"/>
      <c r="I7" s="655"/>
      <c r="J7" s="655"/>
      <c r="K7" s="655"/>
      <c r="L7" s="655"/>
    </row>
    <row r="8" spans="1:12" ht="16.5">
      <c r="A8" s="660"/>
      <c r="B8" s="655" t="s">
        <v>690</v>
      </c>
      <c r="C8" s="655"/>
      <c r="D8" s="663" t="s">
        <v>691</v>
      </c>
      <c r="E8" s="666">
        <f>TH!B24</f>
        <v>23000</v>
      </c>
      <c r="F8" s="665" t="s">
        <v>92</v>
      </c>
      <c r="G8" s="655"/>
      <c r="H8" s="655"/>
      <c r="I8" s="655"/>
      <c r="J8" s="655"/>
      <c r="K8" s="655"/>
      <c r="L8" s="655"/>
    </row>
    <row r="9" spans="1:12" ht="16.5">
      <c r="A9" s="660" t="s">
        <v>1023</v>
      </c>
      <c r="B9" s="659"/>
      <c r="C9" s="655"/>
      <c r="D9" s="667" t="s">
        <v>380</v>
      </c>
      <c r="E9" s="662"/>
      <c r="F9" s="655"/>
      <c r="G9" s="655"/>
      <c r="H9" s="655"/>
      <c r="I9" s="655"/>
      <c r="J9" s="655"/>
      <c r="K9" s="655"/>
      <c r="L9" s="655"/>
    </row>
    <row r="10" spans="1:12" ht="16.5">
      <c r="A10" s="660"/>
      <c r="B10" s="655" t="s">
        <v>688</v>
      </c>
      <c r="C10" s="655"/>
      <c r="D10" s="663" t="s">
        <v>692</v>
      </c>
      <c r="E10" s="668">
        <f>TH!B31</f>
        <v>280</v>
      </c>
      <c r="F10" s="665" t="s">
        <v>92</v>
      </c>
      <c r="G10" s="655"/>
      <c r="H10" s="655"/>
      <c r="I10" s="655"/>
      <c r="J10" s="655"/>
      <c r="K10" s="655"/>
      <c r="L10" s="655"/>
    </row>
    <row r="11" spans="1:12" ht="16.5">
      <c r="A11" s="660"/>
      <c r="B11" s="655" t="s">
        <v>686</v>
      </c>
      <c r="C11" s="655"/>
      <c r="D11" s="663" t="s">
        <v>693</v>
      </c>
      <c r="E11" s="668">
        <f>TH!B32</f>
        <v>225</v>
      </c>
      <c r="F11" s="665" t="s">
        <v>92</v>
      </c>
      <c r="G11" s="655"/>
      <c r="H11" s="655"/>
      <c r="I11" s="655"/>
      <c r="J11" s="655"/>
      <c r="K11" s="655"/>
      <c r="L11" s="655"/>
    </row>
    <row r="12" spans="1:12" ht="19.5">
      <c r="A12" s="660" t="s">
        <v>694</v>
      </c>
      <c r="B12" s="655" t="s">
        <v>695</v>
      </c>
      <c r="C12" s="669"/>
      <c r="D12" s="670" t="s">
        <v>728</v>
      </c>
      <c r="E12" s="671">
        <f>TH!B33</f>
        <v>210000</v>
      </c>
      <c r="F12" s="655"/>
      <c r="G12" s="655"/>
      <c r="H12" s="655"/>
      <c r="I12" s="655"/>
      <c r="J12" s="655"/>
      <c r="K12" s="655"/>
      <c r="L12" s="655"/>
    </row>
    <row r="13" spans="1:12" ht="16.5">
      <c r="A13" s="660"/>
      <c r="B13" s="655" t="s">
        <v>696</v>
      </c>
      <c r="C13" s="672"/>
      <c r="D13" s="673"/>
      <c r="E13" s="673"/>
      <c r="F13" s="665"/>
      <c r="G13" s="655"/>
      <c r="H13" s="655"/>
      <c r="I13" s="655"/>
      <c r="J13" s="655"/>
      <c r="K13" s="655"/>
      <c r="L13" s="655"/>
    </row>
    <row r="14" spans="1:12" ht="19.5">
      <c r="A14" s="660" t="s">
        <v>694</v>
      </c>
      <c r="B14" s="655" t="s">
        <v>697</v>
      </c>
      <c r="C14" s="655"/>
      <c r="D14" s="670" t="s">
        <v>729</v>
      </c>
      <c r="E14" s="671">
        <v>0.2</v>
      </c>
      <c r="F14" s="665" t="s">
        <v>698</v>
      </c>
      <c r="G14" s="655"/>
      <c r="H14" s="655"/>
      <c r="I14" s="655"/>
      <c r="J14" s="655"/>
      <c r="K14" s="655"/>
      <c r="L14" s="655"/>
    </row>
    <row r="15" spans="1:12" ht="19.5">
      <c r="A15" s="660"/>
      <c r="B15" s="655"/>
      <c r="C15" s="655"/>
      <c r="D15" s="674" t="s">
        <v>730</v>
      </c>
      <c r="E15" s="675">
        <f>(0.85-0.008*E6)/(1+E10*(1-(0.85-0.008*E6)/1.1)/400)</f>
        <v>0.65038560411311053</v>
      </c>
      <c r="F15" s="665"/>
      <c r="G15" s="655"/>
      <c r="H15" s="655"/>
      <c r="I15" s="655"/>
      <c r="J15" s="655"/>
      <c r="K15" s="655"/>
      <c r="L15" s="655"/>
    </row>
    <row r="16" spans="1:12" ht="16.5">
      <c r="A16" s="660"/>
      <c r="B16" s="655"/>
      <c r="C16" s="655"/>
      <c r="D16" s="674"/>
      <c r="E16" s="675"/>
      <c r="F16" s="665"/>
      <c r="G16" s="655"/>
      <c r="H16" s="655"/>
      <c r="I16" s="655"/>
      <c r="J16" s="655"/>
      <c r="K16" s="655"/>
      <c r="L16" s="655"/>
    </row>
    <row r="17" spans="1:12" ht="16.5">
      <c r="A17" s="658" t="s">
        <v>1024</v>
      </c>
      <c r="B17" s="659"/>
      <c r="C17" s="659"/>
      <c r="D17" s="676"/>
      <c r="E17" s="659"/>
      <c r="F17" s="655"/>
      <c r="G17" s="655"/>
      <c r="H17" s="655"/>
      <c r="I17" s="655"/>
      <c r="J17" s="655"/>
      <c r="K17" s="655"/>
      <c r="L17" s="655"/>
    </row>
    <row r="18" spans="1:12" ht="16.5">
      <c r="A18" s="660" t="s">
        <v>1025</v>
      </c>
      <c r="B18" s="665"/>
      <c r="C18" s="665"/>
      <c r="D18" s="665"/>
      <c r="E18" s="677">
        <v>200</v>
      </c>
      <c r="F18" s="655" t="s">
        <v>158</v>
      </c>
      <c r="G18" s="655"/>
      <c r="H18" s="663"/>
      <c r="I18" s="678"/>
      <c r="J18" s="655"/>
      <c r="K18" s="655"/>
      <c r="L18" s="655"/>
    </row>
    <row r="19" spans="1:12" ht="16.5">
      <c r="A19" s="660" t="s">
        <v>1026</v>
      </c>
      <c r="B19" s="665"/>
      <c r="C19" s="665"/>
      <c r="D19" s="665"/>
      <c r="E19" s="677">
        <v>200</v>
      </c>
      <c r="F19" s="655" t="s">
        <v>158</v>
      </c>
      <c r="G19" s="655"/>
      <c r="H19" s="679" t="s">
        <v>1116</v>
      </c>
      <c r="I19" s="680">
        <v>0.7</v>
      </c>
      <c r="J19" s="655"/>
      <c r="K19" s="681"/>
      <c r="L19" s="655"/>
    </row>
    <row r="20" spans="1:12" ht="16.5">
      <c r="A20" s="660" t="s">
        <v>1027</v>
      </c>
      <c r="B20" s="665"/>
      <c r="C20" s="665"/>
      <c r="D20" s="665"/>
      <c r="E20" s="677">
        <v>40</v>
      </c>
      <c r="F20" s="655" t="s">
        <v>158</v>
      </c>
      <c r="G20" s="655"/>
      <c r="H20" s="663" t="s">
        <v>1028</v>
      </c>
      <c r="I20" s="682">
        <f>+I19*E26</f>
        <v>2.52</v>
      </c>
      <c r="J20" s="655" t="s">
        <v>6</v>
      </c>
      <c r="K20" s="655"/>
      <c r="L20" s="655"/>
    </row>
    <row r="21" spans="1:12" ht="16.5">
      <c r="A21" s="660"/>
      <c r="B21" s="665"/>
      <c r="C21" s="665" t="s">
        <v>514</v>
      </c>
      <c r="D21" s="663"/>
      <c r="E21" s="668">
        <f>E19-E20</f>
        <v>160</v>
      </c>
      <c r="F21" s="655"/>
      <c r="G21" s="655"/>
      <c r="H21" s="683"/>
      <c r="I21" s="683"/>
      <c r="J21" s="683"/>
      <c r="K21" s="655"/>
      <c r="L21" s="655"/>
    </row>
    <row r="22" spans="1:12" ht="16.5">
      <c r="A22" s="658" t="s">
        <v>1029</v>
      </c>
      <c r="B22" s="665"/>
      <c r="C22" s="665" t="s">
        <v>1117</v>
      </c>
      <c r="D22" s="665">
        <f>E19-2*E20</f>
        <v>120</v>
      </c>
      <c r="E22" s="665"/>
      <c r="F22" s="655"/>
      <c r="G22" s="655"/>
      <c r="H22" s="655"/>
      <c r="I22" s="655"/>
      <c r="J22" s="655"/>
      <c r="K22" s="655"/>
      <c r="L22" s="655"/>
    </row>
    <row r="23" spans="1:12" ht="16.5">
      <c r="A23" s="660"/>
      <c r="B23" s="665"/>
      <c r="C23" s="665"/>
      <c r="D23" s="665"/>
      <c r="E23" s="665"/>
      <c r="F23" s="655"/>
      <c r="G23" s="655"/>
      <c r="H23" s="655"/>
      <c r="I23" s="655"/>
      <c r="J23" s="655"/>
      <c r="K23" s="655"/>
      <c r="L23" s="655"/>
    </row>
    <row r="24" spans="1:12" ht="16.5">
      <c r="A24" s="660"/>
      <c r="B24" s="1076" t="s">
        <v>649</v>
      </c>
      <c r="C24" s="1076"/>
      <c r="D24" s="1076" t="s">
        <v>955</v>
      </c>
      <c r="E24" s="1076" t="s">
        <v>1030</v>
      </c>
      <c r="F24" s="1076" t="s">
        <v>1031</v>
      </c>
      <c r="G24" s="1076" t="s">
        <v>1032</v>
      </c>
      <c r="H24" s="1076"/>
      <c r="I24" s="1076" t="s">
        <v>1033</v>
      </c>
      <c r="J24" s="1076" t="s">
        <v>1034</v>
      </c>
      <c r="K24" s="1076" t="s">
        <v>1035</v>
      </c>
      <c r="L24" s="655"/>
    </row>
    <row r="25" spans="1:12" ht="16.5">
      <c r="A25" s="660"/>
      <c r="B25" s="1076"/>
      <c r="C25" s="1076"/>
      <c r="D25" s="1076"/>
      <c r="E25" s="1076"/>
      <c r="F25" s="1076"/>
      <c r="G25" s="1076"/>
      <c r="H25" s="1076"/>
      <c r="I25" s="1076"/>
      <c r="J25" s="1076"/>
      <c r="K25" s="1076"/>
      <c r="L25" s="655"/>
    </row>
    <row r="26" spans="1:12" ht="16.5">
      <c r="A26" s="655"/>
      <c r="B26" s="1074" t="s">
        <v>1036</v>
      </c>
      <c r="C26" s="1074"/>
      <c r="D26" s="684" t="s">
        <v>1037</v>
      </c>
      <c r="E26" s="684">
        <v>3.6</v>
      </c>
      <c r="F26" s="684">
        <v>0</v>
      </c>
      <c r="G26" s="1074" t="s">
        <v>1038</v>
      </c>
      <c r="H26" s="1074"/>
      <c r="I26" s="685">
        <v>0.14000000000000001</v>
      </c>
      <c r="J26" s="685">
        <v>0.06</v>
      </c>
      <c r="K26" s="684">
        <v>14.21</v>
      </c>
      <c r="L26" s="655"/>
    </row>
    <row r="27" spans="1:12" ht="16.5">
      <c r="A27" s="655"/>
      <c r="B27" s="655"/>
      <c r="C27" s="655"/>
      <c r="D27" s="655"/>
      <c r="E27" s="655"/>
      <c r="F27" s="655"/>
      <c r="G27" s="655"/>
      <c r="H27" s="655"/>
      <c r="I27" s="655"/>
      <c r="J27" s="655"/>
      <c r="K27" s="655"/>
      <c r="L27" s="655"/>
    </row>
    <row r="28" spans="1:12" ht="16.5">
      <c r="A28" s="658" t="s">
        <v>1039</v>
      </c>
      <c r="B28" s="655"/>
      <c r="C28" s="655"/>
      <c r="D28" s="655"/>
      <c r="E28" s="655"/>
      <c r="F28" s="655"/>
      <c r="G28" s="655"/>
      <c r="H28" s="655"/>
      <c r="I28" s="655"/>
      <c r="J28" s="655"/>
      <c r="K28" s="655"/>
      <c r="L28" s="655"/>
    </row>
    <row r="29" spans="1:12" ht="19.5">
      <c r="A29" s="658"/>
      <c r="B29" s="656" t="s">
        <v>1040</v>
      </c>
      <c r="C29" s="655"/>
      <c r="D29" s="655"/>
      <c r="E29" s="655"/>
      <c r="F29" s="655"/>
      <c r="G29" s="655"/>
      <c r="H29" s="655"/>
      <c r="I29" s="655"/>
      <c r="J29" s="655"/>
      <c r="K29" s="655"/>
      <c r="L29" s="655"/>
    </row>
    <row r="30" spans="1:12" ht="19.5">
      <c r="A30" s="658"/>
      <c r="B30" s="655"/>
      <c r="C30" s="655" t="s">
        <v>1041</v>
      </c>
      <c r="D30" s="686">
        <f>+I20/(0.288*E19*0.001)</f>
        <v>43.75</v>
      </c>
      <c r="E30" s="655" t="str">
        <f>+IF(D30&lt;=100," ≤  100"," &gt; 100")</f>
        <v xml:space="preserve"> ≤  100</v>
      </c>
      <c r="F30" s="683"/>
      <c r="G30" s="687" t="s">
        <v>1042</v>
      </c>
      <c r="H30" s="688">
        <f>+IF(D30&lt;=28,1,1/(1-ABS(K26)/H35))</f>
        <v>1.1301798610987877</v>
      </c>
      <c r="I30" s="655"/>
      <c r="J30" s="655"/>
      <c r="K30" s="655"/>
      <c r="L30" s="655"/>
    </row>
    <row r="31" spans="1:12" ht="16.5">
      <c r="A31" s="658"/>
      <c r="B31" s="655" t="s">
        <v>76</v>
      </c>
      <c r="C31" s="655"/>
      <c r="D31" s="686"/>
      <c r="E31" s="655"/>
      <c r="F31" s="687"/>
      <c r="G31" s="688"/>
      <c r="H31" s="655"/>
      <c r="I31" s="655"/>
      <c r="J31" s="655"/>
      <c r="K31" s="655"/>
      <c r="L31" s="655"/>
    </row>
    <row r="32" spans="1:12" ht="19.5">
      <c r="A32" s="658"/>
      <c r="B32" s="655" t="s">
        <v>1043</v>
      </c>
      <c r="C32" s="655"/>
      <c r="D32" s="655"/>
      <c r="E32" s="655"/>
      <c r="F32" s="655"/>
      <c r="G32" s="679" t="s">
        <v>1044</v>
      </c>
      <c r="H32" s="689">
        <f>+ABS(J26/K26)*1000</f>
        <v>4.2223786066150595</v>
      </c>
      <c r="I32" s="655" t="s">
        <v>158</v>
      </c>
      <c r="J32" s="655"/>
      <c r="K32" s="655"/>
      <c r="L32" s="655"/>
    </row>
    <row r="33" spans="1:12" ht="19.5">
      <c r="A33" s="658"/>
      <c r="B33" s="655" t="s">
        <v>1045</v>
      </c>
      <c r="C33" s="655"/>
      <c r="D33" s="655"/>
      <c r="E33" s="655"/>
      <c r="F33" s="655"/>
      <c r="G33" s="655"/>
      <c r="H33" s="689">
        <f>+MAX(E26*1000/600,E19/30)</f>
        <v>6.666666666666667</v>
      </c>
      <c r="I33" s="655" t="s">
        <v>158</v>
      </c>
      <c r="J33" s="655"/>
      <c r="K33" s="655"/>
      <c r="L33" s="655"/>
    </row>
    <row r="34" spans="1:12" ht="19.5">
      <c r="A34" s="658"/>
      <c r="B34" s="655" t="s">
        <v>1046</v>
      </c>
      <c r="C34" s="655"/>
      <c r="D34" s="655"/>
      <c r="E34" s="655"/>
      <c r="F34" s="655"/>
      <c r="G34" s="679" t="s">
        <v>1047</v>
      </c>
      <c r="H34" s="689">
        <f>+MAX(H32,H33)</f>
        <v>6.666666666666667</v>
      </c>
      <c r="I34" s="655" t="s">
        <v>158</v>
      </c>
      <c r="J34" s="655"/>
      <c r="K34" s="655"/>
      <c r="L34" s="655"/>
    </row>
    <row r="35" spans="1:12" ht="20.5">
      <c r="A35" s="658"/>
      <c r="B35" s="655" t="s">
        <v>1048</v>
      </c>
      <c r="C35" s="655"/>
      <c r="D35" s="655"/>
      <c r="E35" s="655"/>
      <c r="F35" s="655"/>
      <c r="G35" s="679" t="s">
        <v>1049</v>
      </c>
      <c r="H35" s="690">
        <f>2.5*H37*E8*100*H38/(I20^2)</f>
        <v>123.36666893527155</v>
      </c>
      <c r="I35" s="655" t="s">
        <v>670</v>
      </c>
      <c r="J35" s="655"/>
      <c r="K35" s="655"/>
      <c r="L35" s="655"/>
    </row>
    <row r="36" spans="1:12" ht="16.5">
      <c r="A36" s="658"/>
      <c r="B36" s="655"/>
      <c r="C36" s="655" t="s">
        <v>76</v>
      </c>
      <c r="D36" s="655"/>
      <c r="E36" s="655"/>
      <c r="F36" s="655"/>
      <c r="G36" s="655"/>
      <c r="H36" s="689"/>
      <c r="I36" s="655"/>
      <c r="J36" s="655"/>
      <c r="K36" s="655"/>
      <c r="L36" s="655"/>
    </row>
    <row r="37" spans="1:12" ht="19.5">
      <c r="A37" s="658"/>
      <c r="B37" s="655"/>
      <c r="C37" s="683"/>
      <c r="D37" s="655"/>
      <c r="E37" s="655"/>
      <c r="F37" s="655"/>
      <c r="G37" s="679" t="s">
        <v>1050</v>
      </c>
      <c r="H37" s="691">
        <f>+MAX(1,(0.2*H32+1.05*E19)/(1.5*H32+E19))</f>
        <v>1.0218622100954982</v>
      </c>
      <c r="I37" s="655"/>
      <c r="J37" s="655"/>
      <c r="K37" s="655"/>
      <c r="L37" s="655"/>
    </row>
    <row r="38" spans="1:12" ht="20.5">
      <c r="A38" s="658"/>
      <c r="B38" s="655"/>
      <c r="C38" s="655"/>
      <c r="D38" s="655"/>
      <c r="E38" s="655"/>
      <c r="F38" s="683"/>
      <c r="G38" s="679" t="s">
        <v>1051</v>
      </c>
      <c r="H38" s="692">
        <f>+(E18*E19^3)/12*10^-12</f>
        <v>1.3333333333333331E-4</v>
      </c>
      <c r="I38" s="655" t="s">
        <v>1052</v>
      </c>
      <c r="J38" s="655"/>
      <c r="K38" s="655"/>
      <c r="L38" s="655"/>
    </row>
    <row r="39" spans="1:12" ht="19.5">
      <c r="A39" s="658"/>
      <c r="B39" s="656" t="s">
        <v>1053</v>
      </c>
      <c r="C39" s="655"/>
      <c r="D39" s="655"/>
      <c r="E39" s="655"/>
      <c r="F39" s="655"/>
      <c r="G39" s="655"/>
      <c r="H39" s="655"/>
      <c r="I39" s="655"/>
      <c r="J39" s="655"/>
      <c r="K39" s="655"/>
      <c r="L39" s="655"/>
    </row>
    <row r="40" spans="1:12" ht="19.5">
      <c r="A40" s="658"/>
      <c r="B40" s="655"/>
      <c r="C40" s="655" t="s">
        <v>1054</v>
      </c>
      <c r="D40" s="686">
        <f>+I20/(0.288*E18*0.001)</f>
        <v>43.75</v>
      </c>
      <c r="E40" s="655" t="str">
        <f>+IF(D40&lt;=100," ≤  100"," &gt; 100")</f>
        <v xml:space="preserve"> ≤  100</v>
      </c>
      <c r="F40" s="683"/>
      <c r="G40" s="687" t="s">
        <v>1055</v>
      </c>
      <c r="H40" s="688">
        <f>+IF(D40&lt;=28,1,1/(1-ABS(K26)/H45))</f>
        <v>1.1334055553808249</v>
      </c>
      <c r="I40" s="655"/>
      <c r="J40" s="655"/>
      <c r="K40" s="655"/>
      <c r="L40" s="655"/>
    </row>
    <row r="41" spans="1:12" ht="16.5">
      <c r="A41" s="658"/>
      <c r="B41" s="655" t="s">
        <v>76</v>
      </c>
      <c r="C41" s="655"/>
      <c r="D41" s="686"/>
      <c r="E41" s="655"/>
      <c r="F41" s="687"/>
      <c r="G41" s="655"/>
      <c r="H41" s="688"/>
      <c r="I41" s="655"/>
      <c r="J41" s="655"/>
      <c r="K41" s="655"/>
      <c r="L41" s="655"/>
    </row>
    <row r="42" spans="1:12" ht="19.5">
      <c r="A42" s="658"/>
      <c r="B42" s="655" t="s">
        <v>1056</v>
      </c>
      <c r="C42" s="655"/>
      <c r="D42" s="655"/>
      <c r="E42" s="655"/>
      <c r="F42" s="655"/>
      <c r="G42" s="679" t="s">
        <v>1057</v>
      </c>
      <c r="H42" s="689">
        <f>+ABS(I26/K26)*1000</f>
        <v>9.8522167487684733</v>
      </c>
      <c r="I42" s="655" t="s">
        <v>158</v>
      </c>
      <c r="J42" s="655"/>
      <c r="K42" s="655"/>
      <c r="L42" s="655"/>
    </row>
    <row r="43" spans="1:12" ht="19.5">
      <c r="A43" s="658"/>
      <c r="B43" s="655" t="s">
        <v>1058</v>
      </c>
      <c r="C43" s="655"/>
      <c r="D43" s="655"/>
      <c r="E43" s="655"/>
      <c r="F43" s="655"/>
      <c r="G43" s="679" t="s">
        <v>1059</v>
      </c>
      <c r="H43" s="689">
        <f>+MAX(E26*1000/600,E18/30)</f>
        <v>6.666666666666667</v>
      </c>
      <c r="I43" s="655" t="s">
        <v>158</v>
      </c>
      <c r="J43" s="655"/>
      <c r="K43" s="655"/>
      <c r="L43" s="655"/>
    </row>
    <row r="44" spans="1:12" ht="19.5">
      <c r="A44" s="658"/>
      <c r="B44" s="655" t="s">
        <v>1060</v>
      </c>
      <c r="C44" s="655"/>
      <c r="D44" s="655"/>
      <c r="E44" s="655"/>
      <c r="F44" s="655"/>
      <c r="G44" s="679" t="s">
        <v>1061</v>
      </c>
      <c r="H44" s="689">
        <f>+MAX(H42,H43)</f>
        <v>9.8522167487684733</v>
      </c>
      <c r="I44" s="655" t="s">
        <v>158</v>
      </c>
      <c r="J44" s="655"/>
      <c r="K44" s="655"/>
      <c r="L44" s="655"/>
    </row>
    <row r="45" spans="1:12" ht="20.5">
      <c r="A45" s="658"/>
      <c r="B45" s="655" t="s">
        <v>1062</v>
      </c>
      <c r="C45" s="655"/>
      <c r="D45" s="655"/>
      <c r="E45" s="655"/>
      <c r="F45" s="655"/>
      <c r="G45" s="679" t="s">
        <v>1063</v>
      </c>
      <c r="H45" s="690">
        <f>2.5*H47*E8*100*H48/(I20^2)</f>
        <v>120.72730326698577</v>
      </c>
      <c r="I45" s="655" t="s">
        <v>670</v>
      </c>
      <c r="J45" s="655"/>
      <c r="K45" s="655"/>
      <c r="L45" s="655"/>
    </row>
    <row r="46" spans="1:12" ht="16.5">
      <c r="A46" s="658"/>
      <c r="B46" s="655"/>
      <c r="C46" s="655" t="s">
        <v>76</v>
      </c>
      <c r="D46" s="655"/>
      <c r="E46" s="655"/>
      <c r="F46" s="655"/>
      <c r="G46" s="689"/>
      <c r="H46" s="655"/>
      <c r="I46" s="655"/>
      <c r="J46" s="655"/>
      <c r="K46" s="655"/>
      <c r="L46" s="655"/>
    </row>
    <row r="47" spans="1:12" ht="19.5">
      <c r="A47" s="658"/>
      <c r="B47" s="655"/>
      <c r="C47" s="655"/>
      <c r="D47" s="655"/>
      <c r="E47" s="655"/>
      <c r="F47" s="655"/>
      <c r="G47" s="679" t="s">
        <v>1064</v>
      </c>
      <c r="H47" s="691">
        <f>+MAX(1,(0.2*H42+1.05*E18)/(1.5*H42+E18))</f>
        <v>1</v>
      </c>
      <c r="I47" s="655"/>
      <c r="J47" s="655"/>
      <c r="K47" s="655"/>
      <c r="L47" s="655"/>
    </row>
    <row r="48" spans="1:12" ht="20.5">
      <c r="A48" s="658"/>
      <c r="B48" s="655"/>
      <c r="C48" s="655"/>
      <c r="D48" s="655"/>
      <c r="E48" s="655"/>
      <c r="F48" s="655"/>
      <c r="G48" s="679" t="s">
        <v>1065</v>
      </c>
      <c r="H48" s="693">
        <f>+(E18^3*E19)/12*10^-12</f>
        <v>1.3333333333333331E-4</v>
      </c>
      <c r="I48" s="655" t="s">
        <v>1052</v>
      </c>
      <c r="J48" s="655"/>
      <c r="K48" s="655"/>
      <c r="L48" s="655"/>
    </row>
    <row r="49" spans="1:12" ht="16.5">
      <c r="A49" s="658"/>
      <c r="B49" s="655"/>
      <c r="C49" s="655"/>
      <c r="D49" s="655"/>
      <c r="E49" s="655"/>
      <c r="F49" s="655"/>
      <c r="G49" s="689"/>
      <c r="H49" s="655"/>
      <c r="I49" s="655"/>
      <c r="J49" s="655"/>
      <c r="K49" s="655"/>
      <c r="L49" s="655"/>
    </row>
    <row r="50" spans="1:12" ht="16.5">
      <c r="A50" s="658"/>
      <c r="B50" s="656" t="s">
        <v>1066</v>
      </c>
      <c r="C50" s="655"/>
      <c r="D50" s="655"/>
      <c r="E50" s="655"/>
      <c r="F50" s="655"/>
      <c r="G50" s="689"/>
      <c r="H50" s="655"/>
      <c r="I50" s="655"/>
      <c r="J50" s="655"/>
      <c r="K50" s="655"/>
      <c r="L50" s="655"/>
    </row>
    <row r="51" spans="1:12" ht="19.5">
      <c r="A51" s="658"/>
      <c r="B51" s="655" t="s">
        <v>1067</v>
      </c>
      <c r="C51" s="655"/>
      <c r="D51" s="655"/>
      <c r="E51" s="655"/>
      <c r="F51" s="655"/>
      <c r="G51" s="679" t="s">
        <v>1068</v>
      </c>
      <c r="H51" s="691">
        <f>+H30*ABS(J26)</f>
        <v>6.7810791665927253E-2</v>
      </c>
      <c r="I51" s="655" t="s">
        <v>672</v>
      </c>
      <c r="J51" s="655"/>
      <c r="K51" s="655"/>
      <c r="L51" s="655"/>
    </row>
    <row r="52" spans="1:12" ht="19.5">
      <c r="A52" s="658"/>
      <c r="B52" s="655" t="s">
        <v>1069</v>
      </c>
      <c r="C52" s="655"/>
      <c r="D52" s="655"/>
      <c r="E52" s="655"/>
      <c r="F52" s="655"/>
      <c r="G52" s="679" t="s">
        <v>1070</v>
      </c>
      <c r="H52" s="691">
        <f>+H40*ABS(I26)</f>
        <v>0.15867677775331551</v>
      </c>
      <c r="I52" s="655" t="s">
        <v>672</v>
      </c>
      <c r="J52" s="655"/>
      <c r="K52" s="655"/>
      <c r="L52" s="655"/>
    </row>
    <row r="53" spans="1:12" ht="16.5">
      <c r="A53" s="658"/>
      <c r="B53" s="656" t="s">
        <v>1071</v>
      </c>
      <c r="C53" s="655"/>
      <c r="D53" s="655"/>
      <c r="E53" s="655"/>
      <c r="F53" s="655"/>
      <c r="G53" s="655"/>
      <c r="H53" s="655"/>
      <c r="I53" s="655"/>
      <c r="J53" s="655"/>
      <c r="K53" s="655"/>
      <c r="L53" s="655"/>
    </row>
    <row r="54" spans="1:12" ht="19.5">
      <c r="A54" s="658"/>
      <c r="B54" s="655" t="s">
        <v>1072</v>
      </c>
      <c r="C54" s="655" t="s">
        <v>1073</v>
      </c>
      <c r="D54" s="688">
        <f>+ABS(H51)/E19*1000</f>
        <v>0.33905395832963625</v>
      </c>
      <c r="E54" s="694" t="str">
        <f>+IF(D54&lt;=G54," ≤ "," &gt; ")</f>
        <v xml:space="preserve"> ≤ </v>
      </c>
      <c r="F54" s="655" t="s">
        <v>1074</v>
      </c>
      <c r="G54" s="688">
        <f>+ABS(H52)/E18*1000</f>
        <v>0.79338388876657751</v>
      </c>
      <c r="H54" s="687"/>
      <c r="I54" s="683"/>
      <c r="J54" s="695" t="s">
        <v>1075</v>
      </c>
      <c r="K54" s="656" t="str">
        <f>+IF(D54&gt;=G54,"cạnh h ", "cạnh b")</f>
        <v>cạnh b</v>
      </c>
      <c r="L54" s="655"/>
    </row>
    <row r="55" spans="1:12" ht="16.5">
      <c r="A55" s="658"/>
      <c r="B55" s="655" t="s">
        <v>1076</v>
      </c>
      <c r="C55" s="655"/>
      <c r="D55" s="655"/>
      <c r="E55" s="655"/>
      <c r="F55" s="655"/>
      <c r="G55" s="655"/>
      <c r="H55" s="655"/>
      <c r="I55" s="655"/>
      <c r="J55" s="655"/>
      <c r="K55" s="655"/>
      <c r="L55" s="655"/>
    </row>
    <row r="56" spans="1:12" ht="16.5">
      <c r="A56" s="658"/>
      <c r="B56" s="655" t="str">
        <f>+IF(D54&gt;=G54, "h1 = h =", "h1 = b =")</f>
        <v>h1 = b =</v>
      </c>
      <c r="C56" s="690">
        <f>+IF(D54&gt;=G54, E19, E18)</f>
        <v>200</v>
      </c>
      <c r="D56" s="655" t="s">
        <v>158</v>
      </c>
      <c r="E56" s="655"/>
      <c r="F56" s="679" t="str">
        <f>+IF(D54&gt;=G54, "b1 = b =", "b1 = h =")</f>
        <v>b1 = h =</v>
      </c>
      <c r="G56" s="696">
        <f>+IF(D54&gt;=G54,E18,E19)</f>
        <v>200</v>
      </c>
      <c r="H56" s="655" t="s">
        <v>158</v>
      </c>
      <c r="I56" s="663"/>
      <c r="J56" s="663" t="s">
        <v>1077</v>
      </c>
      <c r="K56" s="668">
        <f>+C56-E20</f>
        <v>160</v>
      </c>
      <c r="L56" s="655" t="s">
        <v>158</v>
      </c>
    </row>
    <row r="57" spans="1:12" ht="16.5">
      <c r="A57" s="658"/>
      <c r="B57" s="679" t="str">
        <f>+IF(D54&gt;=G54, "M1=Mh=", "M1=Mb=")</f>
        <v>M1=Mb=</v>
      </c>
      <c r="C57" s="691">
        <f>+IF(D54&gt;=G54, H51, H52)</f>
        <v>0.15867677775331551</v>
      </c>
      <c r="D57" s="655" t="s">
        <v>672</v>
      </c>
      <c r="E57" s="655"/>
      <c r="F57" s="679" t="str">
        <f>+IF(D54&gt;=G54, "M2=Mb=", "M2=Mh=")</f>
        <v>M2=Mh=</v>
      </c>
      <c r="G57" s="691">
        <f>+IF(D54&gt;=G54,H52,H51)</f>
        <v>6.7810791665927253E-2</v>
      </c>
      <c r="H57" s="655" t="s">
        <v>672</v>
      </c>
      <c r="I57" s="655"/>
      <c r="J57" s="663" t="s">
        <v>1078</v>
      </c>
      <c r="K57" s="668">
        <f>+K56-E20</f>
        <v>120</v>
      </c>
      <c r="L57" s="655" t="s">
        <v>158</v>
      </c>
    </row>
    <row r="58" spans="1:12" ht="19.5">
      <c r="A58" s="658"/>
      <c r="B58" s="655" t="s">
        <v>1079</v>
      </c>
      <c r="C58" s="655"/>
      <c r="D58" s="689">
        <f>+ABS(K26)/(E6*100*G56*0.001)*1000</f>
        <v>83.588235294117652</v>
      </c>
      <c r="E58" s="694" t="str">
        <f>+IF(D58&lt;=G58," ≤ "," &gt; ")</f>
        <v xml:space="preserve"> ≤ </v>
      </c>
      <c r="F58" s="663" t="s">
        <v>1080</v>
      </c>
      <c r="G58" s="668">
        <f>+K56</f>
        <v>160</v>
      </c>
      <c r="H58" s="655" t="s">
        <v>158</v>
      </c>
      <c r="I58" s="687" t="s">
        <v>1081</v>
      </c>
      <c r="J58" s="679" t="s">
        <v>1082</v>
      </c>
      <c r="K58" s="688">
        <f>+IF(D58&lt;=G58,1-0.6*D58/G58,0.4)</f>
        <v>0.6865441176470588</v>
      </c>
      <c r="L58" s="655"/>
    </row>
    <row r="59" spans="1:12" ht="19.5">
      <c r="A59" s="658"/>
      <c r="B59" s="697"/>
      <c r="C59" s="697"/>
      <c r="D59" s="697"/>
      <c r="E59" s="697"/>
      <c r="F59" s="698" t="s">
        <v>1083</v>
      </c>
      <c r="G59" s="699">
        <f>+C57+K58*G57*C56/G56</f>
        <v>0.20523187788454808</v>
      </c>
      <c r="H59" s="697" t="s">
        <v>672</v>
      </c>
      <c r="I59" s="655"/>
      <c r="J59" s="655"/>
      <c r="K59" s="655"/>
      <c r="L59" s="655"/>
    </row>
    <row r="60" spans="1:12" ht="19.5">
      <c r="A60" s="658"/>
      <c r="B60" s="697" t="s">
        <v>1084</v>
      </c>
      <c r="C60" s="697"/>
      <c r="D60" s="697"/>
      <c r="E60" s="697"/>
      <c r="F60" s="698" t="s">
        <v>1085</v>
      </c>
      <c r="G60" s="700">
        <f>+ABS(G59/K26)*1000</f>
        <v>14.442778176252503</v>
      </c>
      <c r="H60" s="697" t="s">
        <v>158</v>
      </c>
      <c r="I60" s="655"/>
      <c r="J60" s="655"/>
      <c r="K60" s="655"/>
      <c r="L60" s="655"/>
    </row>
    <row r="61" spans="1:12" ht="16.5">
      <c r="A61" s="658"/>
      <c r="B61" s="697" t="s">
        <v>1086</v>
      </c>
      <c r="C61" s="697"/>
      <c r="D61" s="697"/>
      <c r="E61" s="697"/>
      <c r="F61" s="698" t="str">
        <f>+IF(D54&gt;=G54, "ea =ea1 +0.2ea2=", "ea = ea2 +0.2ea1=")</f>
        <v>ea = ea2 +0.2ea1=</v>
      </c>
      <c r="G61" s="700">
        <f>+IF(D54&gt;=G54,H34+0.2*H44,H44+0.2*H34)</f>
        <v>11.185550082101807</v>
      </c>
      <c r="H61" s="697" t="s">
        <v>158</v>
      </c>
      <c r="I61" s="655"/>
      <c r="J61" s="655"/>
      <c r="K61" s="655"/>
      <c r="L61" s="655"/>
    </row>
    <row r="62" spans="1:12" ht="19.5">
      <c r="A62" s="658"/>
      <c r="B62" s="697" t="s">
        <v>1060</v>
      </c>
      <c r="C62" s="697"/>
      <c r="D62" s="697"/>
      <c r="E62" s="697"/>
      <c r="F62" s="698" t="s">
        <v>1087</v>
      </c>
      <c r="G62" s="700">
        <f>+MAX(G60,G61)</f>
        <v>14.442778176252503</v>
      </c>
      <c r="H62" s="697" t="s">
        <v>158</v>
      </c>
      <c r="I62" s="655"/>
      <c r="J62" s="655"/>
      <c r="K62" s="655"/>
      <c r="L62" s="655"/>
    </row>
    <row r="63" spans="1:12" ht="19.5">
      <c r="A63" s="658"/>
      <c r="B63" s="697" t="s">
        <v>1088</v>
      </c>
      <c r="C63" s="697"/>
      <c r="D63" s="697"/>
      <c r="E63" s="697"/>
      <c r="F63" s="698" t="s">
        <v>1089</v>
      </c>
      <c r="G63" s="700">
        <f>+IF(D54&lt;=G54,0.5*C56-E20+G62*H40,0.5*C56-E20+G62*H30)</f>
        <v>76.369525020097527</v>
      </c>
      <c r="H63" s="697" t="s">
        <v>158</v>
      </c>
      <c r="I63" s="655"/>
      <c r="J63" s="655"/>
      <c r="K63" s="655"/>
      <c r="L63" s="655"/>
    </row>
    <row r="64" spans="1:12" ht="19.5">
      <c r="A64" s="658"/>
      <c r="B64" s="697"/>
      <c r="C64" s="698" t="s">
        <v>1090</v>
      </c>
      <c r="D64" s="701">
        <f>+G62/G58</f>
        <v>9.0267363601578138E-2</v>
      </c>
      <c r="E64" s="702" t="str">
        <f>+IF(D64&lt;=F64," ≤ "," &gt; ")</f>
        <v xml:space="preserve"> ≤ </v>
      </c>
      <c r="F64" s="703">
        <v>0.3</v>
      </c>
      <c r="G64" s="704"/>
      <c r="H64" s="697"/>
      <c r="I64" s="655"/>
      <c r="J64" s="655"/>
      <c r="K64" s="655"/>
      <c r="L64" s="655"/>
    </row>
    <row r="65" spans="1:12" ht="19.5">
      <c r="A65" s="658"/>
      <c r="B65" s="697"/>
      <c r="C65" s="698" t="s">
        <v>1091</v>
      </c>
      <c r="D65" s="700">
        <f>+D58</f>
        <v>83.588235294117652</v>
      </c>
      <c r="E65" s="702" t="str">
        <f>+IF(D65&lt;=G65," ≤ "," &gt; ")</f>
        <v xml:space="preserve"> ≤ </v>
      </c>
      <c r="F65" s="698" t="s">
        <v>1092</v>
      </c>
      <c r="G65" s="700">
        <f>+E15*K56</f>
        <v>104.06169665809769</v>
      </c>
      <c r="H65" s="697" t="s">
        <v>158</v>
      </c>
      <c r="I65" s="655"/>
      <c r="J65" s="655"/>
      <c r="K65" s="655"/>
      <c r="L65" s="655"/>
    </row>
    <row r="66" spans="1:12" ht="16.5">
      <c r="A66" s="658"/>
      <c r="B66" s="655"/>
      <c r="C66" s="679"/>
      <c r="D66" s="705"/>
      <c r="E66" s="694"/>
      <c r="F66" s="674"/>
      <c r="G66" s="689"/>
      <c r="H66" s="655"/>
      <c r="I66" s="655"/>
      <c r="J66" s="655"/>
      <c r="K66" s="655"/>
      <c r="L66" s="655"/>
    </row>
    <row r="67" spans="1:12" ht="16.5">
      <c r="A67" s="658"/>
      <c r="B67" s="656" t="s">
        <v>1093</v>
      </c>
      <c r="C67" s="679"/>
      <c r="D67" s="706" t="s">
        <v>1094</v>
      </c>
      <c r="E67" s="707" t="str">
        <f>+IF(D64&lt;=F64,"Đúng tâm", IF( D65&lt;=G65,"Lệch tâm lớn", "Lệch tâm bé"))</f>
        <v>Đúng tâm</v>
      </c>
      <c r="F67" s="674"/>
      <c r="G67" s="689"/>
      <c r="H67" s="655"/>
      <c r="I67" s="655"/>
      <c r="J67" s="655"/>
      <c r="K67" s="655"/>
      <c r="L67" s="655"/>
    </row>
    <row r="68" spans="1:12" ht="16.5">
      <c r="A68" s="658"/>
      <c r="B68" s="656" t="s">
        <v>1095</v>
      </c>
      <c r="C68" s="679"/>
      <c r="D68" s="705"/>
      <c r="E68" s="694"/>
      <c r="F68" s="674"/>
      <c r="G68" s="689"/>
      <c r="H68" s="655"/>
      <c r="I68" s="655"/>
      <c r="J68" s="655"/>
      <c r="K68" s="655"/>
      <c r="L68" s="655"/>
    </row>
    <row r="69" spans="1:12" ht="19.5">
      <c r="A69" s="658"/>
      <c r="B69" s="655"/>
      <c r="C69" s="679"/>
      <c r="D69" s="679" t="s">
        <v>1096</v>
      </c>
      <c r="E69" s="694">
        <f>1/((0.5-D64)*(2+D64))</f>
        <v>1.1676094522061471</v>
      </c>
      <c r="F69" s="674"/>
      <c r="G69" s="655"/>
      <c r="H69" s="655"/>
      <c r="I69" s="679" t="s">
        <v>1097</v>
      </c>
      <c r="J69" s="708">
        <f>+J71+(1-J71)*D64/0.3</f>
        <v>0.93209905896601097</v>
      </c>
      <c r="K69" s="655"/>
      <c r="L69" s="655"/>
    </row>
    <row r="70" spans="1:12" ht="16.5">
      <c r="A70" s="658"/>
      <c r="B70" s="655"/>
      <c r="C70" s="679" t="s">
        <v>76</v>
      </c>
      <c r="D70" s="705"/>
      <c r="E70" s="694"/>
      <c r="F70" s="674"/>
      <c r="G70" s="689"/>
      <c r="H70" s="655"/>
      <c r="I70" s="655"/>
      <c r="J70" s="655"/>
      <c r="K70" s="655"/>
      <c r="L70" s="655"/>
    </row>
    <row r="71" spans="1:12" ht="19.5">
      <c r="A71" s="658"/>
      <c r="B71" s="655"/>
      <c r="C71" s="655"/>
      <c r="D71" s="679" t="s">
        <v>1098</v>
      </c>
      <c r="E71" s="688">
        <f>+I20/(0.288*E18*0.001)</f>
        <v>43.75</v>
      </c>
      <c r="F71" s="655"/>
      <c r="G71" s="689"/>
      <c r="H71" s="655"/>
      <c r="I71" s="679" t="s">
        <v>1099</v>
      </c>
      <c r="J71" s="688">
        <f>+IF(E73&lt;=14,1,1.028-0.0000288*E73^2-0.0016*E73)</f>
        <v>0.90287500000000009</v>
      </c>
      <c r="K71" s="655"/>
      <c r="L71" s="655"/>
    </row>
    <row r="72" spans="1:12" ht="19.5">
      <c r="A72" s="658"/>
      <c r="B72" s="655"/>
      <c r="C72" s="655"/>
      <c r="D72" s="679" t="s">
        <v>1100</v>
      </c>
      <c r="E72" s="688">
        <f>+I20/(0.288*E19*0.001)</f>
        <v>43.75</v>
      </c>
      <c r="F72" s="655"/>
      <c r="G72" s="689"/>
      <c r="H72" s="655"/>
      <c r="I72" s="655"/>
      <c r="J72" s="655"/>
      <c r="K72" s="655"/>
      <c r="L72" s="655"/>
    </row>
    <row r="73" spans="1:12" ht="19.5">
      <c r="A73" s="658"/>
      <c r="B73" s="655"/>
      <c r="C73" s="655"/>
      <c r="D73" s="679" t="s">
        <v>1101</v>
      </c>
      <c r="E73" s="708">
        <f>+MAX(E71:E72)</f>
        <v>43.75</v>
      </c>
      <c r="F73" s="655"/>
      <c r="G73" s="689"/>
      <c r="H73" s="655"/>
      <c r="I73" s="655"/>
      <c r="J73" s="655"/>
      <c r="K73" s="655"/>
      <c r="L73" s="655"/>
    </row>
    <row r="74" spans="1:12" ht="20.5">
      <c r="A74" s="658"/>
      <c r="B74" s="655"/>
      <c r="C74" s="655" t="s">
        <v>1102</v>
      </c>
      <c r="D74" s="705"/>
      <c r="E74" s="655"/>
      <c r="F74" s="655"/>
      <c r="G74" s="655"/>
      <c r="H74" s="655"/>
      <c r="I74" s="679" t="s">
        <v>1103</v>
      </c>
      <c r="J74" s="709">
        <f>+MAX((E69*ABS(K26)/J69-E6*100*G56*C56*10^-6)/(E10*100-E6*100)*10000,(E18*(E19-E20))*E14*0.0001)</f>
        <v>0.64</v>
      </c>
      <c r="K74" s="682" t="s">
        <v>1104</v>
      </c>
      <c r="L74" s="655"/>
    </row>
    <row r="75" spans="1:12" ht="16.5">
      <c r="A75" s="658"/>
      <c r="B75" s="655"/>
      <c r="C75" s="655"/>
      <c r="D75" s="655"/>
      <c r="E75" s="655"/>
      <c r="F75" s="655"/>
      <c r="G75" s="655"/>
      <c r="H75" s="655"/>
      <c r="I75" s="655"/>
      <c r="J75" s="655"/>
      <c r="K75" s="655"/>
      <c r="L75" s="655"/>
    </row>
    <row r="76" spans="1:12" ht="16.5">
      <c r="A76" s="658"/>
      <c r="B76" s="656" t="s">
        <v>1105</v>
      </c>
      <c r="C76" s="655"/>
      <c r="D76" s="655"/>
      <c r="E76" s="655"/>
      <c r="F76" s="655"/>
      <c r="G76" s="655"/>
      <c r="H76" s="655"/>
      <c r="I76" s="655"/>
      <c r="J76" s="655"/>
      <c r="K76" s="655"/>
      <c r="L76" s="655"/>
    </row>
    <row r="77" spans="1:12" ht="20.5">
      <c r="A77" s="658"/>
      <c r="B77" s="655"/>
      <c r="C77" s="655"/>
      <c r="D77" s="655"/>
      <c r="E77" s="655"/>
      <c r="F77" s="655"/>
      <c r="G77" s="679" t="s">
        <v>1106</v>
      </c>
      <c r="H77" s="688">
        <f>+(E15+(1-E15)/(1+50*L77^2))*K56</f>
        <v>148.43103626189273</v>
      </c>
      <c r="I77" s="655" t="s">
        <v>158</v>
      </c>
      <c r="J77" s="655"/>
      <c r="K77" s="679" t="s">
        <v>1107</v>
      </c>
      <c r="L77" s="691">
        <f>+G62/C56</f>
        <v>7.221389088126251E-2</v>
      </c>
    </row>
    <row r="78" spans="1:12" ht="20.5">
      <c r="A78" s="658"/>
      <c r="B78" s="655"/>
      <c r="C78" s="655" t="s">
        <v>1108</v>
      </c>
      <c r="D78" s="705"/>
      <c r="E78" s="655"/>
      <c r="F78" s="655"/>
      <c r="G78" s="655"/>
      <c r="H78" s="655"/>
      <c r="I78" s="679" t="s">
        <v>1109</v>
      </c>
      <c r="J78" s="709">
        <f>+MAX((ABS(K26)*G63*0.001-E6*100*G56*0.001*H77*0.001*(K56-0.5*H77)*0.001)/(0.4*E11*100*K57*0.001)*10000,,(E18*(E19-E20))*E14*0.0001)</f>
        <v>0.64</v>
      </c>
      <c r="K78" s="682" t="s">
        <v>1104</v>
      </c>
      <c r="L78" s="655"/>
    </row>
    <row r="79" spans="1:12" ht="16.5">
      <c r="A79" s="658"/>
      <c r="B79" s="655"/>
      <c r="C79" s="655"/>
      <c r="D79" s="655"/>
      <c r="E79" s="655"/>
      <c r="F79" s="655"/>
      <c r="G79" s="655"/>
      <c r="H79" s="655"/>
      <c r="I79" s="655"/>
      <c r="J79" s="655"/>
      <c r="K79" s="655"/>
      <c r="L79" s="655"/>
    </row>
    <row r="80" spans="1:12" ht="16.5">
      <c r="A80" s="658"/>
      <c r="B80" s="656" t="s">
        <v>1110</v>
      </c>
      <c r="C80" s="655"/>
      <c r="D80" s="655"/>
      <c r="E80" s="655"/>
      <c r="F80" s="655"/>
      <c r="G80" s="655"/>
      <c r="H80" s="655"/>
      <c r="I80" s="655"/>
      <c r="J80" s="655"/>
      <c r="K80" s="655"/>
      <c r="L80" s="655"/>
    </row>
    <row r="81" spans="1:12" ht="16.5">
      <c r="A81" s="658"/>
      <c r="B81" s="655"/>
      <c r="C81" s="655" t="s">
        <v>1111</v>
      </c>
      <c r="D81" s="655"/>
      <c r="E81" s="655"/>
      <c r="F81" s="655"/>
      <c r="G81" s="655"/>
      <c r="H81" s="688">
        <f>+D65</f>
        <v>83.588235294117652</v>
      </c>
      <c r="I81" s="655" t="s">
        <v>158</v>
      </c>
      <c r="J81" s="655"/>
      <c r="K81" s="679"/>
      <c r="L81" s="710"/>
    </row>
    <row r="82" spans="1:12" ht="20.5">
      <c r="A82" s="658"/>
      <c r="B82" s="655"/>
      <c r="C82" s="655" t="s">
        <v>1108</v>
      </c>
      <c r="D82" s="705"/>
      <c r="E82" s="655"/>
      <c r="F82" s="655"/>
      <c r="G82" s="655"/>
      <c r="H82" s="655"/>
      <c r="I82" s="679" t="s">
        <v>1112</v>
      </c>
      <c r="J82" s="711">
        <f>+MAX((ABS(K26)*(G63+0.5*H81-K56)*0.001)/(0.4*E10*100*K57*0.001)*10000,(E18*(E19-E20))*E14*0.0001)</f>
        <v>0.64</v>
      </c>
      <c r="K82" s="682" t="s">
        <v>1104</v>
      </c>
      <c r="L82" s="655"/>
    </row>
    <row r="83" spans="1:12" ht="16.5">
      <c r="A83" s="658"/>
      <c r="B83" s="655"/>
      <c r="C83" s="655"/>
      <c r="D83" s="655"/>
      <c r="E83" s="655"/>
      <c r="F83" s="655"/>
      <c r="G83" s="655"/>
      <c r="H83" s="655"/>
      <c r="I83" s="655"/>
      <c r="J83" s="655"/>
      <c r="K83" s="655"/>
      <c r="L83" s="655"/>
    </row>
    <row r="84" spans="1:12" ht="16.5">
      <c r="A84" s="655"/>
      <c r="B84" s="656" t="s">
        <v>1113</v>
      </c>
      <c r="C84" s="655"/>
      <c r="D84" s="655"/>
      <c r="E84" s="655"/>
      <c r="F84" s="655"/>
      <c r="G84" s="655"/>
      <c r="H84" s="655"/>
      <c r="I84" s="655"/>
      <c r="J84" s="655"/>
      <c r="K84" s="655"/>
      <c r="L84" s="655"/>
    </row>
    <row r="85" spans="1:12" ht="19.5">
      <c r="A85" s="655"/>
      <c r="B85" s="656"/>
      <c r="C85" s="655"/>
      <c r="D85" s="674" t="s">
        <v>1114</v>
      </c>
      <c r="E85" s="712">
        <f>+IF(D64&lt;=F64,J74, IF( D65&lt;=G65,J82, J78))/(E18*(E19-E20)*0.01)</f>
        <v>2E-3</v>
      </c>
      <c r="F85" s="713" t="str">
        <f>IF(E85&lt;=H85,"≤","&gt;")</f>
        <v>≤</v>
      </c>
      <c r="G85" s="674" t="s">
        <v>1115</v>
      </c>
      <c r="H85" s="714">
        <v>0.06</v>
      </c>
      <c r="I85" s="655"/>
      <c r="J85" s="655"/>
      <c r="K85" s="655"/>
      <c r="L85" s="655"/>
    </row>
    <row r="86" spans="1:12" ht="16.5">
      <c r="A86" s="655"/>
      <c r="B86" s="656"/>
      <c r="C86" s="655"/>
      <c r="D86" s="655"/>
      <c r="E86" s="655"/>
      <c r="F86" s="655"/>
      <c r="G86" s="655"/>
      <c r="H86" s="655"/>
      <c r="I86" s="655"/>
      <c r="J86" s="655"/>
      <c r="K86" s="655"/>
      <c r="L86" s="655"/>
    </row>
  </sheetData>
  <mergeCells count="11">
    <mergeCell ref="B26:C26"/>
    <mergeCell ref="G26:H26"/>
    <mergeCell ref="A1:L1"/>
    <mergeCell ref="B24:C25"/>
    <mergeCell ref="D24:D25"/>
    <mergeCell ref="E24:E25"/>
    <mergeCell ref="F24:F25"/>
    <mergeCell ref="G24:H25"/>
    <mergeCell ref="I24:I25"/>
    <mergeCell ref="J24:J25"/>
    <mergeCell ref="K24:K25"/>
  </mergeCells>
  <dataValidations disablePrompts="1" count="2">
    <dataValidation type="list" showInputMessage="1" showErrorMessage="1" sqref="D5" xr:uid="{F271413C-E6B5-476C-9EAA-3902D66C44C9}">
      <formula1>MBT_2</formula1>
    </dataValidation>
    <dataValidation type="list" allowBlank="1" showInputMessage="1" showErrorMessage="1" sqref="D9" xr:uid="{B2F6136F-3372-4F8E-9BD3-37BF4CE9AA2C}">
      <formula1>MT</formula1>
    </dataValidation>
  </dataValidation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BB7A9-5BCB-427C-86C5-92833CFA74D0}">
  <sheetPr codeName="Sheet15"/>
  <dimension ref="A1:O25"/>
  <sheetViews>
    <sheetView topLeftCell="A7" workbookViewId="0">
      <selection activeCell="O23" sqref="O23"/>
    </sheetView>
  </sheetViews>
  <sheetFormatPr defaultColWidth="8.83203125" defaultRowHeight="14"/>
  <cols>
    <col min="8" max="8" width="16.83203125" bestFit="1" customWidth="1"/>
  </cols>
  <sheetData>
    <row r="1" spans="1:8">
      <c r="A1" t="s">
        <v>930</v>
      </c>
    </row>
    <row r="2" spans="1:8">
      <c r="A2" t="s">
        <v>931</v>
      </c>
      <c r="B2" t="s">
        <v>937</v>
      </c>
      <c r="C2">
        <v>42</v>
      </c>
      <c r="D2" t="s">
        <v>936</v>
      </c>
      <c r="E2">
        <f>+C2*4</f>
        <v>168</v>
      </c>
    </row>
    <row r="3" spans="1:8">
      <c r="A3" t="s">
        <v>932</v>
      </c>
      <c r="C3">
        <v>18</v>
      </c>
      <c r="D3">
        <v>17200</v>
      </c>
      <c r="E3">
        <v>4</v>
      </c>
      <c r="F3">
        <f>E3*D3/1000</f>
        <v>68.8</v>
      </c>
      <c r="G3">
        <v>168</v>
      </c>
      <c r="H3" s="574">
        <f>G3*F3*7850*(C3/1000/2)^2*PI()</f>
        <v>23088.848191653349</v>
      </c>
    </row>
    <row r="4" spans="1:8">
      <c r="A4" t="s">
        <v>933</v>
      </c>
      <c r="C4">
        <v>28</v>
      </c>
      <c r="D4">
        <v>400</v>
      </c>
      <c r="E4">
        <v>1</v>
      </c>
      <c r="F4">
        <f t="shared" ref="F4:F6" si="0">E4*D4/1000</f>
        <v>0.4</v>
      </c>
      <c r="G4">
        <v>168</v>
      </c>
      <c r="H4" s="574">
        <f t="shared" ref="H4:H6" si="1">G4*F4*7850*(C4/1000/2)^2*PI()</f>
        <v>324.82157949785079</v>
      </c>
    </row>
    <row r="5" spans="1:8">
      <c r="A5" t="s">
        <v>934</v>
      </c>
      <c r="C5">
        <v>6</v>
      </c>
      <c r="D5">
        <v>370</v>
      </c>
      <c r="E5">
        <v>205</v>
      </c>
      <c r="F5">
        <f t="shared" si="0"/>
        <v>75.849999999999994</v>
      </c>
      <c r="G5">
        <v>168</v>
      </c>
      <c r="H5" s="574">
        <f t="shared" si="1"/>
        <v>2828.3093270944878</v>
      </c>
    </row>
    <row r="6" spans="1:8">
      <c r="A6" t="s">
        <v>935</v>
      </c>
      <c r="C6">
        <v>6</v>
      </c>
      <c r="D6">
        <v>250</v>
      </c>
      <c r="E6">
        <v>60</v>
      </c>
      <c r="F6">
        <f t="shared" si="0"/>
        <v>15</v>
      </c>
      <c r="G6">
        <v>168</v>
      </c>
      <c r="H6" s="574">
        <f t="shared" si="1"/>
        <v>559.32287285981965</v>
      </c>
    </row>
    <row r="7" spans="1:8">
      <c r="H7" s="9">
        <f>SUM(H3:H6)</f>
        <v>26801.301971105506</v>
      </c>
    </row>
    <row r="9" spans="1:8">
      <c r="A9" t="s">
        <v>938</v>
      </c>
    </row>
    <row r="10" spans="1:8">
      <c r="A10">
        <f>ROUNDUP(1000/150+1,0)</f>
        <v>8</v>
      </c>
    </row>
    <row r="11" spans="1:8">
      <c r="A11">
        <f>A10*1800</f>
        <v>14400</v>
      </c>
    </row>
    <row r="13" spans="1:8">
      <c r="A13">
        <v>12</v>
      </c>
      <c r="B13">
        <v>1800</v>
      </c>
      <c r="C13">
        <v>32</v>
      </c>
      <c r="D13">
        <f>+C13*B13/1000</f>
        <v>57.6</v>
      </c>
      <c r="E13">
        <v>42</v>
      </c>
      <c r="F13" s="6">
        <f>+D13*E13*7.85*(A13/1000/2)^2*PI()</f>
        <v>2.1477998317817075</v>
      </c>
    </row>
    <row r="14" spans="1:8">
      <c r="A14">
        <v>12</v>
      </c>
      <c r="B14">
        <v>1800</v>
      </c>
      <c r="C14">
        <v>32</v>
      </c>
      <c r="D14">
        <f>+C14*B14/1000</f>
        <v>57.6</v>
      </c>
      <c r="E14">
        <v>42</v>
      </c>
      <c r="F14" s="6">
        <f>+D14*E14*7.85*(A14/1000/2)^2*PI()</f>
        <v>2.1477998317817075</v>
      </c>
    </row>
    <row r="15" spans="1:8">
      <c r="F15" s="6">
        <f>SUM(F13:F14)</f>
        <v>4.295599663563415</v>
      </c>
    </row>
    <row r="17" spans="1:15">
      <c r="K17">
        <v>10000</v>
      </c>
    </row>
    <row r="18" spans="1:15">
      <c r="H18">
        <v>900</v>
      </c>
      <c r="I18">
        <v>14</v>
      </c>
      <c r="J18">
        <f>+I18*H18</f>
        <v>12600</v>
      </c>
      <c r="K18">
        <f>+K17-J18</f>
        <v>-2600</v>
      </c>
    </row>
    <row r="19" spans="1:15">
      <c r="A19" t="s">
        <v>939</v>
      </c>
      <c r="J19">
        <v>150</v>
      </c>
      <c r="K19">
        <v>200</v>
      </c>
    </row>
    <row r="20" spans="1:15">
      <c r="A20" t="s">
        <v>940</v>
      </c>
      <c r="B20" t="s">
        <v>941</v>
      </c>
      <c r="C20" t="s">
        <v>942</v>
      </c>
      <c r="D20" t="s">
        <v>943</v>
      </c>
      <c r="E20" t="s">
        <v>944</v>
      </c>
    </row>
    <row r="21" spans="1:15">
      <c r="A21">
        <v>18</v>
      </c>
      <c r="B21">
        <v>33200</v>
      </c>
      <c r="C21">
        <v>4</v>
      </c>
      <c r="D21">
        <f>4*3</f>
        <v>12</v>
      </c>
      <c r="E21">
        <f>+C21*B21*D21/1000</f>
        <v>1593.6</v>
      </c>
      <c r="F21">
        <f>C21*8</f>
        <v>32</v>
      </c>
      <c r="G21" s="6">
        <f>+E21*7.85*(A21/1000/2)^2*PI()</f>
        <v>3.1833461792478865</v>
      </c>
      <c r="H21" s="6">
        <f>G21*1000</f>
        <v>3183.3461792478865</v>
      </c>
      <c r="J21">
        <f>+J18/J19+1</f>
        <v>85</v>
      </c>
      <c r="K21">
        <f>+K18/K19+1</f>
        <v>-12</v>
      </c>
      <c r="L21">
        <f>+K21+J21</f>
        <v>73</v>
      </c>
      <c r="O21">
        <v>189</v>
      </c>
    </row>
    <row r="22" spans="1:15">
      <c r="A22">
        <v>18</v>
      </c>
      <c r="B22">
        <v>14900</v>
      </c>
      <c r="C22">
        <v>4</v>
      </c>
      <c r="D22">
        <f>4*3</f>
        <v>12</v>
      </c>
      <c r="E22">
        <f t="shared" ref="E22:E24" si="2">+C22*B22*D22/1000</f>
        <v>715.2</v>
      </c>
      <c r="F22">
        <f t="shared" ref="F22:F23" si="3">C22*8</f>
        <v>32</v>
      </c>
      <c r="G22" s="6">
        <f t="shared" ref="G22:G24" si="4">+E22*7.85*(A22/1000/2)^2*PI()</f>
        <v>1.4286704238190817</v>
      </c>
      <c r="H22" s="6">
        <f t="shared" ref="H22:H25" si="5">G22*1000</f>
        <v>1428.6704238190816</v>
      </c>
      <c r="O22">
        <v>97</v>
      </c>
    </row>
    <row r="23" spans="1:15">
      <c r="A23">
        <v>18</v>
      </c>
      <c r="B23">
        <v>10000</v>
      </c>
      <c r="C23">
        <v>4</v>
      </c>
      <c r="D23">
        <f>4*3</f>
        <v>12</v>
      </c>
      <c r="E23">
        <f t="shared" si="2"/>
        <v>480</v>
      </c>
      <c r="F23">
        <f t="shared" si="3"/>
        <v>32</v>
      </c>
      <c r="G23" s="6">
        <f t="shared" si="4"/>
        <v>0.95883921061683353</v>
      </c>
      <c r="H23" s="6">
        <f t="shared" si="5"/>
        <v>958.8392106168335</v>
      </c>
      <c r="O23">
        <v>73</v>
      </c>
    </row>
    <row r="24" spans="1:15">
      <c r="A24">
        <v>6</v>
      </c>
      <c r="B24">
        <v>1160</v>
      </c>
      <c r="C24">
        <v>359</v>
      </c>
      <c r="D24">
        <f>4*3</f>
        <v>12</v>
      </c>
      <c r="E24">
        <f t="shared" si="2"/>
        <v>4997.28</v>
      </c>
      <c r="F24">
        <v>42</v>
      </c>
      <c r="G24" s="6">
        <f t="shared" si="4"/>
        <v>1.1091638913035393</v>
      </c>
      <c r="H24" s="6">
        <f t="shared" si="5"/>
        <v>1109.1638913035392</v>
      </c>
    </row>
    <row r="25" spans="1:15">
      <c r="G25" s="6">
        <f>SUM(G21:G24)</f>
        <v>6.6800197049873411</v>
      </c>
      <c r="H25" s="6">
        <f t="shared" si="5"/>
        <v>6680.0197049873414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D575F-F606-43A5-91A4-558515BBBE90}">
  <sheetPr codeName="Sheet16"/>
  <dimension ref="A1:I110"/>
  <sheetViews>
    <sheetView workbookViewId="0">
      <selection activeCell="E106" sqref="E106"/>
    </sheetView>
  </sheetViews>
  <sheetFormatPr defaultColWidth="8.83203125" defaultRowHeight="16.5"/>
  <cols>
    <col min="1" max="1" width="16" style="7" customWidth="1"/>
    <col min="2" max="2" width="14.33203125" style="7" customWidth="1"/>
    <col min="3" max="3" width="10.33203125" style="7" customWidth="1"/>
    <col min="4" max="4" width="17.4140625" style="7" bestFit="1" customWidth="1"/>
    <col min="5" max="5" width="13.6640625" style="7" customWidth="1"/>
    <col min="6" max="6" width="10.08203125" style="7" bestFit="1" customWidth="1"/>
    <col min="7" max="7" width="9.08203125" style="7"/>
    <col min="8" max="8" width="21.08203125" style="7" customWidth="1"/>
    <col min="9" max="256" width="9.08203125" style="7"/>
    <col min="257" max="257" width="16" style="7" customWidth="1"/>
    <col min="258" max="258" width="14.33203125" style="7" customWidth="1"/>
    <col min="259" max="259" width="9.08203125" style="7"/>
    <col min="260" max="260" width="17.4140625" style="7" bestFit="1" customWidth="1"/>
    <col min="261" max="263" width="9.08203125" style="7"/>
    <col min="264" max="264" width="21.08203125" style="7" customWidth="1"/>
    <col min="265" max="512" width="9.08203125" style="7"/>
    <col min="513" max="513" width="16" style="7" customWidth="1"/>
    <col min="514" max="514" width="14.33203125" style="7" customWidth="1"/>
    <col min="515" max="515" width="9.08203125" style="7"/>
    <col min="516" max="516" width="17.4140625" style="7" bestFit="1" customWidth="1"/>
    <col min="517" max="519" width="9.08203125" style="7"/>
    <col min="520" max="520" width="21.08203125" style="7" customWidth="1"/>
    <col min="521" max="768" width="9.08203125" style="7"/>
    <col min="769" max="769" width="16" style="7" customWidth="1"/>
    <col min="770" max="770" width="14.33203125" style="7" customWidth="1"/>
    <col min="771" max="771" width="9.08203125" style="7"/>
    <col min="772" max="772" width="17.4140625" style="7" bestFit="1" customWidth="1"/>
    <col min="773" max="775" width="9.08203125" style="7"/>
    <col min="776" max="776" width="21.08203125" style="7" customWidth="1"/>
    <col min="777" max="1024" width="9.08203125" style="7"/>
    <col min="1025" max="1025" width="16" style="7" customWidth="1"/>
    <col min="1026" max="1026" width="14.33203125" style="7" customWidth="1"/>
    <col min="1027" max="1027" width="9.08203125" style="7"/>
    <col min="1028" max="1028" width="17.4140625" style="7" bestFit="1" customWidth="1"/>
    <col min="1029" max="1031" width="9.08203125" style="7"/>
    <col min="1032" max="1032" width="21.08203125" style="7" customWidth="1"/>
    <col min="1033" max="1280" width="9.08203125" style="7"/>
    <col min="1281" max="1281" width="16" style="7" customWidth="1"/>
    <col min="1282" max="1282" width="14.33203125" style="7" customWidth="1"/>
    <col min="1283" max="1283" width="9.08203125" style="7"/>
    <col min="1284" max="1284" width="17.4140625" style="7" bestFit="1" customWidth="1"/>
    <col min="1285" max="1287" width="9.08203125" style="7"/>
    <col min="1288" max="1288" width="21.08203125" style="7" customWidth="1"/>
    <col min="1289" max="1536" width="9.08203125" style="7"/>
    <col min="1537" max="1537" width="16" style="7" customWidth="1"/>
    <col min="1538" max="1538" width="14.33203125" style="7" customWidth="1"/>
    <col min="1539" max="1539" width="9.08203125" style="7"/>
    <col min="1540" max="1540" width="17.4140625" style="7" bestFit="1" customWidth="1"/>
    <col min="1541" max="1543" width="9.08203125" style="7"/>
    <col min="1544" max="1544" width="21.08203125" style="7" customWidth="1"/>
    <col min="1545" max="1792" width="9.08203125" style="7"/>
    <col min="1793" max="1793" width="16" style="7" customWidth="1"/>
    <col min="1794" max="1794" width="14.33203125" style="7" customWidth="1"/>
    <col min="1795" max="1795" width="9.08203125" style="7"/>
    <col min="1796" max="1796" width="17.4140625" style="7" bestFit="1" customWidth="1"/>
    <col min="1797" max="1799" width="9.08203125" style="7"/>
    <col min="1800" max="1800" width="21.08203125" style="7" customWidth="1"/>
    <col min="1801" max="2048" width="9.08203125" style="7"/>
    <col min="2049" max="2049" width="16" style="7" customWidth="1"/>
    <col min="2050" max="2050" width="14.33203125" style="7" customWidth="1"/>
    <col min="2051" max="2051" width="9.08203125" style="7"/>
    <col min="2052" max="2052" width="17.4140625" style="7" bestFit="1" customWidth="1"/>
    <col min="2053" max="2055" width="9.08203125" style="7"/>
    <col min="2056" max="2056" width="21.08203125" style="7" customWidth="1"/>
    <col min="2057" max="2304" width="9.08203125" style="7"/>
    <col min="2305" max="2305" width="16" style="7" customWidth="1"/>
    <col min="2306" max="2306" width="14.33203125" style="7" customWidth="1"/>
    <col min="2307" max="2307" width="9.08203125" style="7"/>
    <col min="2308" max="2308" width="17.4140625" style="7" bestFit="1" customWidth="1"/>
    <col min="2309" max="2311" width="9.08203125" style="7"/>
    <col min="2312" max="2312" width="21.08203125" style="7" customWidth="1"/>
    <col min="2313" max="2560" width="9.08203125" style="7"/>
    <col min="2561" max="2561" width="16" style="7" customWidth="1"/>
    <col min="2562" max="2562" width="14.33203125" style="7" customWidth="1"/>
    <col min="2563" max="2563" width="9.08203125" style="7"/>
    <col min="2564" max="2564" width="17.4140625" style="7" bestFit="1" customWidth="1"/>
    <col min="2565" max="2567" width="9.08203125" style="7"/>
    <col min="2568" max="2568" width="21.08203125" style="7" customWidth="1"/>
    <col min="2569" max="2816" width="9.08203125" style="7"/>
    <col min="2817" max="2817" width="16" style="7" customWidth="1"/>
    <col min="2818" max="2818" width="14.33203125" style="7" customWidth="1"/>
    <col min="2819" max="2819" width="9.08203125" style="7"/>
    <col min="2820" max="2820" width="17.4140625" style="7" bestFit="1" customWidth="1"/>
    <col min="2821" max="2823" width="9.08203125" style="7"/>
    <col min="2824" max="2824" width="21.08203125" style="7" customWidth="1"/>
    <col min="2825" max="3072" width="9.08203125" style="7"/>
    <col min="3073" max="3073" width="16" style="7" customWidth="1"/>
    <col min="3074" max="3074" width="14.33203125" style="7" customWidth="1"/>
    <col min="3075" max="3075" width="9.08203125" style="7"/>
    <col min="3076" max="3076" width="17.4140625" style="7" bestFit="1" customWidth="1"/>
    <col min="3077" max="3079" width="9.08203125" style="7"/>
    <col min="3080" max="3080" width="21.08203125" style="7" customWidth="1"/>
    <col min="3081" max="3328" width="9.08203125" style="7"/>
    <col min="3329" max="3329" width="16" style="7" customWidth="1"/>
    <col min="3330" max="3330" width="14.33203125" style="7" customWidth="1"/>
    <col min="3331" max="3331" width="9.08203125" style="7"/>
    <col min="3332" max="3332" width="17.4140625" style="7" bestFit="1" customWidth="1"/>
    <col min="3333" max="3335" width="9.08203125" style="7"/>
    <col min="3336" max="3336" width="21.08203125" style="7" customWidth="1"/>
    <col min="3337" max="3584" width="9.08203125" style="7"/>
    <col min="3585" max="3585" width="16" style="7" customWidth="1"/>
    <col min="3586" max="3586" width="14.33203125" style="7" customWidth="1"/>
    <col min="3587" max="3587" width="9.08203125" style="7"/>
    <col min="3588" max="3588" width="17.4140625" style="7" bestFit="1" customWidth="1"/>
    <col min="3589" max="3591" width="9.08203125" style="7"/>
    <col min="3592" max="3592" width="21.08203125" style="7" customWidth="1"/>
    <col min="3593" max="3840" width="9.08203125" style="7"/>
    <col min="3841" max="3841" width="16" style="7" customWidth="1"/>
    <col min="3842" max="3842" width="14.33203125" style="7" customWidth="1"/>
    <col min="3843" max="3843" width="9.08203125" style="7"/>
    <col min="3844" max="3844" width="17.4140625" style="7" bestFit="1" customWidth="1"/>
    <col min="3845" max="3847" width="9.08203125" style="7"/>
    <col min="3848" max="3848" width="21.08203125" style="7" customWidth="1"/>
    <col min="3849" max="4096" width="9.08203125" style="7"/>
    <col min="4097" max="4097" width="16" style="7" customWidth="1"/>
    <col min="4098" max="4098" width="14.33203125" style="7" customWidth="1"/>
    <col min="4099" max="4099" width="9.08203125" style="7"/>
    <col min="4100" max="4100" width="17.4140625" style="7" bestFit="1" customWidth="1"/>
    <col min="4101" max="4103" width="9.08203125" style="7"/>
    <col min="4104" max="4104" width="21.08203125" style="7" customWidth="1"/>
    <col min="4105" max="4352" width="9.08203125" style="7"/>
    <col min="4353" max="4353" width="16" style="7" customWidth="1"/>
    <col min="4354" max="4354" width="14.33203125" style="7" customWidth="1"/>
    <col min="4355" max="4355" width="9.08203125" style="7"/>
    <col min="4356" max="4356" width="17.4140625" style="7" bestFit="1" customWidth="1"/>
    <col min="4357" max="4359" width="9.08203125" style="7"/>
    <col min="4360" max="4360" width="21.08203125" style="7" customWidth="1"/>
    <col min="4361" max="4608" width="9.08203125" style="7"/>
    <col min="4609" max="4609" width="16" style="7" customWidth="1"/>
    <col min="4610" max="4610" width="14.33203125" style="7" customWidth="1"/>
    <col min="4611" max="4611" width="9.08203125" style="7"/>
    <col min="4612" max="4612" width="17.4140625" style="7" bestFit="1" customWidth="1"/>
    <col min="4613" max="4615" width="9.08203125" style="7"/>
    <col min="4616" max="4616" width="21.08203125" style="7" customWidth="1"/>
    <col min="4617" max="4864" width="9.08203125" style="7"/>
    <col min="4865" max="4865" width="16" style="7" customWidth="1"/>
    <col min="4866" max="4866" width="14.33203125" style="7" customWidth="1"/>
    <col min="4867" max="4867" width="9.08203125" style="7"/>
    <col min="4868" max="4868" width="17.4140625" style="7" bestFit="1" customWidth="1"/>
    <col min="4869" max="4871" width="9.08203125" style="7"/>
    <col min="4872" max="4872" width="21.08203125" style="7" customWidth="1"/>
    <col min="4873" max="5120" width="9.08203125" style="7"/>
    <col min="5121" max="5121" width="16" style="7" customWidth="1"/>
    <col min="5122" max="5122" width="14.33203125" style="7" customWidth="1"/>
    <col min="5123" max="5123" width="9.08203125" style="7"/>
    <col min="5124" max="5124" width="17.4140625" style="7" bestFit="1" customWidth="1"/>
    <col min="5125" max="5127" width="9.08203125" style="7"/>
    <col min="5128" max="5128" width="21.08203125" style="7" customWidth="1"/>
    <col min="5129" max="5376" width="9.08203125" style="7"/>
    <col min="5377" max="5377" width="16" style="7" customWidth="1"/>
    <col min="5378" max="5378" width="14.33203125" style="7" customWidth="1"/>
    <col min="5379" max="5379" width="9.08203125" style="7"/>
    <col min="5380" max="5380" width="17.4140625" style="7" bestFit="1" customWidth="1"/>
    <col min="5381" max="5383" width="9.08203125" style="7"/>
    <col min="5384" max="5384" width="21.08203125" style="7" customWidth="1"/>
    <col min="5385" max="5632" width="9.08203125" style="7"/>
    <col min="5633" max="5633" width="16" style="7" customWidth="1"/>
    <col min="5634" max="5634" width="14.33203125" style="7" customWidth="1"/>
    <col min="5635" max="5635" width="9.08203125" style="7"/>
    <col min="5636" max="5636" width="17.4140625" style="7" bestFit="1" customWidth="1"/>
    <col min="5637" max="5639" width="9.08203125" style="7"/>
    <col min="5640" max="5640" width="21.08203125" style="7" customWidth="1"/>
    <col min="5641" max="5888" width="9.08203125" style="7"/>
    <col min="5889" max="5889" width="16" style="7" customWidth="1"/>
    <col min="5890" max="5890" width="14.33203125" style="7" customWidth="1"/>
    <col min="5891" max="5891" width="9.08203125" style="7"/>
    <col min="5892" max="5892" width="17.4140625" style="7" bestFit="1" customWidth="1"/>
    <col min="5893" max="5895" width="9.08203125" style="7"/>
    <col min="5896" max="5896" width="21.08203125" style="7" customWidth="1"/>
    <col min="5897" max="6144" width="9.08203125" style="7"/>
    <col min="6145" max="6145" width="16" style="7" customWidth="1"/>
    <col min="6146" max="6146" width="14.33203125" style="7" customWidth="1"/>
    <col min="6147" max="6147" width="9.08203125" style="7"/>
    <col min="6148" max="6148" width="17.4140625" style="7" bestFit="1" customWidth="1"/>
    <col min="6149" max="6151" width="9.08203125" style="7"/>
    <col min="6152" max="6152" width="21.08203125" style="7" customWidth="1"/>
    <col min="6153" max="6400" width="9.08203125" style="7"/>
    <col min="6401" max="6401" width="16" style="7" customWidth="1"/>
    <col min="6402" max="6402" width="14.33203125" style="7" customWidth="1"/>
    <col min="6403" max="6403" width="9.08203125" style="7"/>
    <col min="6404" max="6404" width="17.4140625" style="7" bestFit="1" customWidth="1"/>
    <col min="6405" max="6407" width="9.08203125" style="7"/>
    <col min="6408" max="6408" width="21.08203125" style="7" customWidth="1"/>
    <col min="6409" max="6656" width="9.08203125" style="7"/>
    <col min="6657" max="6657" width="16" style="7" customWidth="1"/>
    <col min="6658" max="6658" width="14.33203125" style="7" customWidth="1"/>
    <col min="6659" max="6659" width="9.08203125" style="7"/>
    <col min="6660" max="6660" width="17.4140625" style="7" bestFit="1" customWidth="1"/>
    <col min="6661" max="6663" width="9.08203125" style="7"/>
    <col min="6664" max="6664" width="21.08203125" style="7" customWidth="1"/>
    <col min="6665" max="6912" width="9.08203125" style="7"/>
    <col min="6913" max="6913" width="16" style="7" customWidth="1"/>
    <col min="6914" max="6914" width="14.33203125" style="7" customWidth="1"/>
    <col min="6915" max="6915" width="9.08203125" style="7"/>
    <col min="6916" max="6916" width="17.4140625" style="7" bestFit="1" customWidth="1"/>
    <col min="6917" max="6919" width="9.08203125" style="7"/>
    <col min="6920" max="6920" width="21.08203125" style="7" customWidth="1"/>
    <col min="6921" max="7168" width="9.08203125" style="7"/>
    <col min="7169" max="7169" width="16" style="7" customWidth="1"/>
    <col min="7170" max="7170" width="14.33203125" style="7" customWidth="1"/>
    <col min="7171" max="7171" width="9.08203125" style="7"/>
    <col min="7172" max="7172" width="17.4140625" style="7" bestFit="1" customWidth="1"/>
    <col min="7173" max="7175" width="9.08203125" style="7"/>
    <col min="7176" max="7176" width="21.08203125" style="7" customWidth="1"/>
    <col min="7177" max="7424" width="9.08203125" style="7"/>
    <col min="7425" max="7425" width="16" style="7" customWidth="1"/>
    <col min="7426" max="7426" width="14.33203125" style="7" customWidth="1"/>
    <col min="7427" max="7427" width="9.08203125" style="7"/>
    <col min="7428" max="7428" width="17.4140625" style="7" bestFit="1" customWidth="1"/>
    <col min="7429" max="7431" width="9.08203125" style="7"/>
    <col min="7432" max="7432" width="21.08203125" style="7" customWidth="1"/>
    <col min="7433" max="7680" width="9.08203125" style="7"/>
    <col min="7681" max="7681" width="16" style="7" customWidth="1"/>
    <col min="7682" max="7682" width="14.33203125" style="7" customWidth="1"/>
    <col min="7683" max="7683" width="9.08203125" style="7"/>
    <col min="7684" max="7684" width="17.4140625" style="7" bestFit="1" customWidth="1"/>
    <col min="7685" max="7687" width="9.08203125" style="7"/>
    <col min="7688" max="7688" width="21.08203125" style="7" customWidth="1"/>
    <col min="7689" max="7936" width="9.08203125" style="7"/>
    <col min="7937" max="7937" width="16" style="7" customWidth="1"/>
    <col min="7938" max="7938" width="14.33203125" style="7" customWidth="1"/>
    <col min="7939" max="7939" width="9.08203125" style="7"/>
    <col min="7940" max="7940" width="17.4140625" style="7" bestFit="1" customWidth="1"/>
    <col min="7941" max="7943" width="9.08203125" style="7"/>
    <col min="7944" max="7944" width="21.08203125" style="7" customWidth="1"/>
    <col min="7945" max="8192" width="9.08203125" style="7"/>
    <col min="8193" max="8193" width="16" style="7" customWidth="1"/>
    <col min="8194" max="8194" width="14.33203125" style="7" customWidth="1"/>
    <col min="8195" max="8195" width="9.08203125" style="7"/>
    <col min="8196" max="8196" width="17.4140625" style="7" bestFit="1" customWidth="1"/>
    <col min="8197" max="8199" width="9.08203125" style="7"/>
    <col min="8200" max="8200" width="21.08203125" style="7" customWidth="1"/>
    <col min="8201" max="8448" width="9.08203125" style="7"/>
    <col min="8449" max="8449" width="16" style="7" customWidth="1"/>
    <col min="8450" max="8450" width="14.33203125" style="7" customWidth="1"/>
    <col min="8451" max="8451" width="9.08203125" style="7"/>
    <col min="8452" max="8452" width="17.4140625" style="7" bestFit="1" customWidth="1"/>
    <col min="8453" max="8455" width="9.08203125" style="7"/>
    <col min="8456" max="8456" width="21.08203125" style="7" customWidth="1"/>
    <col min="8457" max="8704" width="9.08203125" style="7"/>
    <col min="8705" max="8705" width="16" style="7" customWidth="1"/>
    <col min="8706" max="8706" width="14.33203125" style="7" customWidth="1"/>
    <col min="8707" max="8707" width="9.08203125" style="7"/>
    <col min="8708" max="8708" width="17.4140625" style="7" bestFit="1" customWidth="1"/>
    <col min="8709" max="8711" width="9.08203125" style="7"/>
    <col min="8712" max="8712" width="21.08203125" style="7" customWidth="1"/>
    <col min="8713" max="8960" width="9.08203125" style="7"/>
    <col min="8961" max="8961" width="16" style="7" customWidth="1"/>
    <col min="8962" max="8962" width="14.33203125" style="7" customWidth="1"/>
    <col min="8963" max="8963" width="9.08203125" style="7"/>
    <col min="8964" max="8964" width="17.4140625" style="7" bestFit="1" customWidth="1"/>
    <col min="8965" max="8967" width="9.08203125" style="7"/>
    <col min="8968" max="8968" width="21.08203125" style="7" customWidth="1"/>
    <col min="8969" max="9216" width="9.08203125" style="7"/>
    <col min="9217" max="9217" width="16" style="7" customWidth="1"/>
    <col min="9218" max="9218" width="14.33203125" style="7" customWidth="1"/>
    <col min="9219" max="9219" width="9.08203125" style="7"/>
    <col min="9220" max="9220" width="17.4140625" style="7" bestFit="1" customWidth="1"/>
    <col min="9221" max="9223" width="9.08203125" style="7"/>
    <col min="9224" max="9224" width="21.08203125" style="7" customWidth="1"/>
    <col min="9225" max="9472" width="9.08203125" style="7"/>
    <col min="9473" max="9473" width="16" style="7" customWidth="1"/>
    <col min="9474" max="9474" width="14.33203125" style="7" customWidth="1"/>
    <col min="9475" max="9475" width="9.08203125" style="7"/>
    <col min="9476" max="9476" width="17.4140625" style="7" bestFit="1" customWidth="1"/>
    <col min="9477" max="9479" width="9.08203125" style="7"/>
    <col min="9480" max="9480" width="21.08203125" style="7" customWidth="1"/>
    <col min="9481" max="9728" width="9.08203125" style="7"/>
    <col min="9729" max="9729" width="16" style="7" customWidth="1"/>
    <col min="9730" max="9730" width="14.33203125" style="7" customWidth="1"/>
    <col min="9731" max="9731" width="9.08203125" style="7"/>
    <col min="9732" max="9732" width="17.4140625" style="7" bestFit="1" customWidth="1"/>
    <col min="9733" max="9735" width="9.08203125" style="7"/>
    <col min="9736" max="9736" width="21.08203125" style="7" customWidth="1"/>
    <col min="9737" max="9984" width="9.08203125" style="7"/>
    <col min="9985" max="9985" width="16" style="7" customWidth="1"/>
    <col min="9986" max="9986" width="14.33203125" style="7" customWidth="1"/>
    <col min="9987" max="9987" width="9.08203125" style="7"/>
    <col min="9988" max="9988" width="17.4140625" style="7" bestFit="1" customWidth="1"/>
    <col min="9989" max="9991" width="9.08203125" style="7"/>
    <col min="9992" max="9992" width="21.08203125" style="7" customWidth="1"/>
    <col min="9993" max="10240" width="9.08203125" style="7"/>
    <col min="10241" max="10241" width="16" style="7" customWidth="1"/>
    <col min="10242" max="10242" width="14.33203125" style="7" customWidth="1"/>
    <col min="10243" max="10243" width="9.08203125" style="7"/>
    <col min="10244" max="10244" width="17.4140625" style="7" bestFit="1" customWidth="1"/>
    <col min="10245" max="10247" width="9.08203125" style="7"/>
    <col min="10248" max="10248" width="21.08203125" style="7" customWidth="1"/>
    <col min="10249" max="10496" width="9.08203125" style="7"/>
    <col min="10497" max="10497" width="16" style="7" customWidth="1"/>
    <col min="10498" max="10498" width="14.33203125" style="7" customWidth="1"/>
    <col min="10499" max="10499" width="9.08203125" style="7"/>
    <col min="10500" max="10500" width="17.4140625" style="7" bestFit="1" customWidth="1"/>
    <col min="10501" max="10503" width="9.08203125" style="7"/>
    <col min="10504" max="10504" width="21.08203125" style="7" customWidth="1"/>
    <col min="10505" max="10752" width="9.08203125" style="7"/>
    <col min="10753" max="10753" width="16" style="7" customWidth="1"/>
    <col min="10754" max="10754" width="14.33203125" style="7" customWidth="1"/>
    <col min="10755" max="10755" width="9.08203125" style="7"/>
    <col min="10756" max="10756" width="17.4140625" style="7" bestFit="1" customWidth="1"/>
    <col min="10757" max="10759" width="9.08203125" style="7"/>
    <col min="10760" max="10760" width="21.08203125" style="7" customWidth="1"/>
    <col min="10761" max="11008" width="9.08203125" style="7"/>
    <col min="11009" max="11009" width="16" style="7" customWidth="1"/>
    <col min="11010" max="11010" width="14.33203125" style="7" customWidth="1"/>
    <col min="11011" max="11011" width="9.08203125" style="7"/>
    <col min="11012" max="11012" width="17.4140625" style="7" bestFit="1" customWidth="1"/>
    <col min="11013" max="11015" width="9.08203125" style="7"/>
    <col min="11016" max="11016" width="21.08203125" style="7" customWidth="1"/>
    <col min="11017" max="11264" width="9.08203125" style="7"/>
    <col min="11265" max="11265" width="16" style="7" customWidth="1"/>
    <col min="11266" max="11266" width="14.33203125" style="7" customWidth="1"/>
    <col min="11267" max="11267" width="9.08203125" style="7"/>
    <col min="11268" max="11268" width="17.4140625" style="7" bestFit="1" customWidth="1"/>
    <col min="11269" max="11271" width="9.08203125" style="7"/>
    <col min="11272" max="11272" width="21.08203125" style="7" customWidth="1"/>
    <col min="11273" max="11520" width="9.08203125" style="7"/>
    <col min="11521" max="11521" width="16" style="7" customWidth="1"/>
    <col min="11522" max="11522" width="14.33203125" style="7" customWidth="1"/>
    <col min="11523" max="11523" width="9.08203125" style="7"/>
    <col min="11524" max="11524" width="17.4140625" style="7" bestFit="1" customWidth="1"/>
    <col min="11525" max="11527" width="9.08203125" style="7"/>
    <col min="11528" max="11528" width="21.08203125" style="7" customWidth="1"/>
    <col min="11529" max="11776" width="9.08203125" style="7"/>
    <col min="11777" max="11777" width="16" style="7" customWidth="1"/>
    <col min="11778" max="11778" width="14.33203125" style="7" customWidth="1"/>
    <col min="11779" max="11779" width="9.08203125" style="7"/>
    <col min="11780" max="11780" width="17.4140625" style="7" bestFit="1" customWidth="1"/>
    <col min="11781" max="11783" width="9.08203125" style="7"/>
    <col min="11784" max="11784" width="21.08203125" style="7" customWidth="1"/>
    <col min="11785" max="12032" width="9.08203125" style="7"/>
    <col min="12033" max="12033" width="16" style="7" customWidth="1"/>
    <col min="12034" max="12034" width="14.33203125" style="7" customWidth="1"/>
    <col min="12035" max="12035" width="9.08203125" style="7"/>
    <col min="12036" max="12036" width="17.4140625" style="7" bestFit="1" customWidth="1"/>
    <col min="12037" max="12039" width="9.08203125" style="7"/>
    <col min="12040" max="12040" width="21.08203125" style="7" customWidth="1"/>
    <col min="12041" max="12288" width="9.08203125" style="7"/>
    <col min="12289" max="12289" width="16" style="7" customWidth="1"/>
    <col min="12290" max="12290" width="14.33203125" style="7" customWidth="1"/>
    <col min="12291" max="12291" width="9.08203125" style="7"/>
    <col min="12292" max="12292" width="17.4140625" style="7" bestFit="1" customWidth="1"/>
    <col min="12293" max="12295" width="9.08203125" style="7"/>
    <col min="12296" max="12296" width="21.08203125" style="7" customWidth="1"/>
    <col min="12297" max="12544" width="9.08203125" style="7"/>
    <col min="12545" max="12545" width="16" style="7" customWidth="1"/>
    <col min="12546" max="12546" width="14.33203125" style="7" customWidth="1"/>
    <col min="12547" max="12547" width="9.08203125" style="7"/>
    <col min="12548" max="12548" width="17.4140625" style="7" bestFit="1" customWidth="1"/>
    <col min="12549" max="12551" width="9.08203125" style="7"/>
    <col min="12552" max="12552" width="21.08203125" style="7" customWidth="1"/>
    <col min="12553" max="12800" width="9.08203125" style="7"/>
    <col min="12801" max="12801" width="16" style="7" customWidth="1"/>
    <col min="12802" max="12802" width="14.33203125" style="7" customWidth="1"/>
    <col min="12803" max="12803" width="9.08203125" style="7"/>
    <col min="12804" max="12804" width="17.4140625" style="7" bestFit="1" customWidth="1"/>
    <col min="12805" max="12807" width="9.08203125" style="7"/>
    <col min="12808" max="12808" width="21.08203125" style="7" customWidth="1"/>
    <col min="12809" max="13056" width="9.08203125" style="7"/>
    <col min="13057" max="13057" width="16" style="7" customWidth="1"/>
    <col min="13058" max="13058" width="14.33203125" style="7" customWidth="1"/>
    <col min="13059" max="13059" width="9.08203125" style="7"/>
    <col min="13060" max="13060" width="17.4140625" style="7" bestFit="1" customWidth="1"/>
    <col min="13061" max="13063" width="9.08203125" style="7"/>
    <col min="13064" max="13064" width="21.08203125" style="7" customWidth="1"/>
    <col min="13065" max="13312" width="9.08203125" style="7"/>
    <col min="13313" max="13313" width="16" style="7" customWidth="1"/>
    <col min="13314" max="13314" width="14.33203125" style="7" customWidth="1"/>
    <col min="13315" max="13315" width="9.08203125" style="7"/>
    <col min="13316" max="13316" width="17.4140625" style="7" bestFit="1" customWidth="1"/>
    <col min="13317" max="13319" width="9.08203125" style="7"/>
    <col min="13320" max="13320" width="21.08203125" style="7" customWidth="1"/>
    <col min="13321" max="13568" width="9.08203125" style="7"/>
    <col min="13569" max="13569" width="16" style="7" customWidth="1"/>
    <col min="13570" max="13570" width="14.33203125" style="7" customWidth="1"/>
    <col min="13571" max="13571" width="9.08203125" style="7"/>
    <col min="13572" max="13572" width="17.4140625" style="7" bestFit="1" customWidth="1"/>
    <col min="13573" max="13575" width="9.08203125" style="7"/>
    <col min="13576" max="13576" width="21.08203125" style="7" customWidth="1"/>
    <col min="13577" max="13824" width="9.08203125" style="7"/>
    <col min="13825" max="13825" width="16" style="7" customWidth="1"/>
    <col min="13826" max="13826" width="14.33203125" style="7" customWidth="1"/>
    <col min="13827" max="13827" width="9.08203125" style="7"/>
    <col min="13828" max="13828" width="17.4140625" style="7" bestFit="1" customWidth="1"/>
    <col min="13829" max="13831" width="9.08203125" style="7"/>
    <col min="13832" max="13832" width="21.08203125" style="7" customWidth="1"/>
    <col min="13833" max="14080" width="9.08203125" style="7"/>
    <col min="14081" max="14081" width="16" style="7" customWidth="1"/>
    <col min="14082" max="14082" width="14.33203125" style="7" customWidth="1"/>
    <col min="14083" max="14083" width="9.08203125" style="7"/>
    <col min="14084" max="14084" width="17.4140625" style="7" bestFit="1" customWidth="1"/>
    <col min="14085" max="14087" width="9.08203125" style="7"/>
    <col min="14088" max="14088" width="21.08203125" style="7" customWidth="1"/>
    <col min="14089" max="14336" width="9.08203125" style="7"/>
    <col min="14337" max="14337" width="16" style="7" customWidth="1"/>
    <col min="14338" max="14338" width="14.33203125" style="7" customWidth="1"/>
    <col min="14339" max="14339" width="9.08203125" style="7"/>
    <col min="14340" max="14340" width="17.4140625" style="7" bestFit="1" customWidth="1"/>
    <col min="14341" max="14343" width="9.08203125" style="7"/>
    <col min="14344" max="14344" width="21.08203125" style="7" customWidth="1"/>
    <col min="14345" max="14592" width="9.08203125" style="7"/>
    <col min="14593" max="14593" width="16" style="7" customWidth="1"/>
    <col min="14594" max="14594" width="14.33203125" style="7" customWidth="1"/>
    <col min="14595" max="14595" width="9.08203125" style="7"/>
    <col min="14596" max="14596" width="17.4140625" style="7" bestFit="1" customWidth="1"/>
    <col min="14597" max="14599" width="9.08203125" style="7"/>
    <col min="14600" max="14600" width="21.08203125" style="7" customWidth="1"/>
    <col min="14601" max="14848" width="9.08203125" style="7"/>
    <col min="14849" max="14849" width="16" style="7" customWidth="1"/>
    <col min="14850" max="14850" width="14.33203125" style="7" customWidth="1"/>
    <col min="14851" max="14851" width="9.08203125" style="7"/>
    <col min="14852" max="14852" width="17.4140625" style="7" bestFit="1" customWidth="1"/>
    <col min="14853" max="14855" width="9.08203125" style="7"/>
    <col min="14856" max="14856" width="21.08203125" style="7" customWidth="1"/>
    <col min="14857" max="15104" width="9.08203125" style="7"/>
    <col min="15105" max="15105" width="16" style="7" customWidth="1"/>
    <col min="15106" max="15106" width="14.33203125" style="7" customWidth="1"/>
    <col min="15107" max="15107" width="9.08203125" style="7"/>
    <col min="15108" max="15108" width="17.4140625" style="7" bestFit="1" customWidth="1"/>
    <col min="15109" max="15111" width="9.08203125" style="7"/>
    <col min="15112" max="15112" width="21.08203125" style="7" customWidth="1"/>
    <col min="15113" max="15360" width="9.08203125" style="7"/>
    <col min="15361" max="15361" width="16" style="7" customWidth="1"/>
    <col min="15362" max="15362" width="14.33203125" style="7" customWidth="1"/>
    <col min="15363" max="15363" width="9.08203125" style="7"/>
    <col min="15364" max="15364" width="17.4140625" style="7" bestFit="1" customWidth="1"/>
    <col min="15365" max="15367" width="9.08203125" style="7"/>
    <col min="15368" max="15368" width="21.08203125" style="7" customWidth="1"/>
    <col min="15369" max="15616" width="9.08203125" style="7"/>
    <col min="15617" max="15617" width="16" style="7" customWidth="1"/>
    <col min="15618" max="15618" width="14.33203125" style="7" customWidth="1"/>
    <col min="15619" max="15619" width="9.08203125" style="7"/>
    <col min="15620" max="15620" width="17.4140625" style="7" bestFit="1" customWidth="1"/>
    <col min="15621" max="15623" width="9.08203125" style="7"/>
    <col min="15624" max="15624" width="21.08203125" style="7" customWidth="1"/>
    <col min="15625" max="15872" width="9.08203125" style="7"/>
    <col min="15873" max="15873" width="16" style="7" customWidth="1"/>
    <col min="15874" max="15874" width="14.33203125" style="7" customWidth="1"/>
    <col min="15875" max="15875" width="9.08203125" style="7"/>
    <col min="15876" max="15876" width="17.4140625" style="7" bestFit="1" customWidth="1"/>
    <col min="15877" max="15879" width="9.08203125" style="7"/>
    <col min="15880" max="15880" width="21.08203125" style="7" customWidth="1"/>
    <col min="15881" max="16128" width="9.08203125" style="7"/>
    <col min="16129" max="16129" width="16" style="7" customWidth="1"/>
    <col min="16130" max="16130" width="14.33203125" style="7" customWidth="1"/>
    <col min="16131" max="16131" width="9.08203125" style="7"/>
    <col min="16132" max="16132" width="17.4140625" style="7" bestFit="1" customWidth="1"/>
    <col min="16133" max="16135" width="9.08203125" style="7"/>
    <col min="16136" max="16136" width="21.08203125" style="7" customWidth="1"/>
    <col min="16137" max="16384" width="9.08203125" style="7"/>
  </cols>
  <sheetData>
    <row r="1" spans="1:8">
      <c r="A1" s="1077" t="s">
        <v>926</v>
      </c>
      <c r="B1" s="1077"/>
      <c r="C1" s="1077"/>
      <c r="D1" s="1077" t="s">
        <v>927</v>
      </c>
      <c r="E1" s="1077"/>
      <c r="F1" s="1077"/>
      <c r="G1" s="1077"/>
    </row>
    <row r="3" spans="1:8">
      <c r="C3" s="1078" t="s">
        <v>825</v>
      </c>
      <c r="D3" s="1078"/>
      <c r="E3" s="1078"/>
      <c r="F3" s="1078"/>
      <c r="G3" s="1078"/>
      <c r="H3" s="1078"/>
    </row>
    <row r="4" spans="1:8">
      <c r="C4" s="1078"/>
      <c r="D4" s="1078"/>
      <c r="E4" s="1078"/>
      <c r="F4" s="1078"/>
      <c r="G4" s="1078"/>
      <c r="H4" s="1078"/>
    </row>
    <row r="5" spans="1:8">
      <c r="C5" s="7" t="s">
        <v>103</v>
      </c>
      <c r="D5" s="1079" t="s">
        <v>826</v>
      </c>
      <c r="E5" s="1079"/>
      <c r="F5" s="1079"/>
      <c r="G5" s="1079"/>
    </row>
    <row r="6" spans="1:8">
      <c r="A6" s="505" t="s">
        <v>827</v>
      </c>
      <c r="B6" s="505"/>
    </row>
    <row r="7" spans="1:8">
      <c r="A7" s="506" t="s">
        <v>828</v>
      </c>
      <c r="C7" s="507" t="s">
        <v>829</v>
      </c>
    </row>
    <row r="8" spans="1:8">
      <c r="A8" s="506" t="s">
        <v>830</v>
      </c>
      <c r="C8" s="507" t="s">
        <v>380</v>
      </c>
      <c r="D8" s="508"/>
    </row>
    <row r="9" spans="1:8">
      <c r="B9" s="330" t="s">
        <v>831</v>
      </c>
      <c r="C9" s="330" t="s">
        <v>832</v>
      </c>
      <c r="D9" s="330" t="s">
        <v>833</v>
      </c>
      <c r="E9" s="330" t="s">
        <v>834</v>
      </c>
      <c r="F9" s="330" t="s">
        <v>835</v>
      </c>
    </row>
    <row r="10" spans="1:8">
      <c r="B10" s="509">
        <v>1450</v>
      </c>
      <c r="C10" s="509">
        <v>28000</v>
      </c>
      <c r="D10" s="510">
        <v>100</v>
      </c>
      <c r="E10" s="510">
        <v>20</v>
      </c>
      <c r="F10" s="510">
        <f>D10-E10</f>
        <v>80</v>
      </c>
    </row>
    <row r="11" spans="1:8">
      <c r="A11" s="506" t="s">
        <v>836</v>
      </c>
      <c r="C11" s="511" t="s">
        <v>837</v>
      </c>
      <c r="D11" s="512">
        <f>TH!C41</f>
        <v>6</v>
      </c>
      <c r="E11" s="511" t="s">
        <v>838</v>
      </c>
      <c r="H11" s="534">
        <f>D11*1000</f>
        <v>6000</v>
      </c>
    </row>
    <row r="12" spans="1:8">
      <c r="A12" s="506"/>
      <c r="C12" s="508" t="s">
        <v>839</v>
      </c>
      <c r="D12" s="512">
        <f>TH!C40+0.0000000001</f>
        <v>4.0000000001</v>
      </c>
      <c r="E12" s="511" t="s">
        <v>838</v>
      </c>
      <c r="H12" s="534">
        <f>D12*1000</f>
        <v>4000.0000000999999</v>
      </c>
    </row>
    <row r="13" spans="1:8">
      <c r="A13" s="505" t="s">
        <v>840</v>
      </c>
      <c r="D13" s="7">
        <v>4.5</v>
      </c>
    </row>
    <row r="14" spans="1:8">
      <c r="A14" s="506" t="s">
        <v>841</v>
      </c>
      <c r="B14" s="508" t="s">
        <v>842</v>
      </c>
      <c r="C14" s="507">
        <f>TH!B91</f>
        <v>0.48</v>
      </c>
      <c r="D14" s="7" t="s">
        <v>843</v>
      </c>
      <c r="E14" s="7" t="s">
        <v>599</v>
      </c>
      <c r="F14" s="7">
        <v>1.2</v>
      </c>
    </row>
    <row r="15" spans="1:8">
      <c r="A15" s="506" t="s">
        <v>844</v>
      </c>
      <c r="B15" s="508" t="s">
        <v>842</v>
      </c>
      <c r="C15" s="507">
        <f>TH!B92</f>
        <v>0.48</v>
      </c>
      <c r="D15" s="7" t="s">
        <v>843</v>
      </c>
      <c r="E15" s="7" t="s">
        <v>6</v>
      </c>
      <c r="F15" s="7">
        <v>45</v>
      </c>
    </row>
    <row r="16" spans="1:8">
      <c r="A16" s="506" t="s">
        <v>845</v>
      </c>
      <c r="B16" s="508" t="s">
        <v>842</v>
      </c>
      <c r="C16" s="513">
        <f>SUM(C14:C15)</f>
        <v>0.96</v>
      </c>
      <c r="D16" s="7" t="s">
        <v>731</v>
      </c>
      <c r="E16" s="7" t="s">
        <v>899</v>
      </c>
      <c r="F16" s="334">
        <f>F14/F15*D12*1000</f>
        <v>106.66666666933334</v>
      </c>
      <c r="G16" s="7" t="s">
        <v>158</v>
      </c>
      <c r="H16" s="514"/>
    </row>
    <row r="18" spans="1:6">
      <c r="A18" s="505" t="s">
        <v>846</v>
      </c>
    </row>
    <row r="19" spans="1:6">
      <c r="A19" s="506" t="s">
        <v>847</v>
      </c>
      <c r="B19" s="508" t="s">
        <v>842</v>
      </c>
      <c r="C19" s="515">
        <f>D11/D12</f>
        <v>1.4999999999625</v>
      </c>
      <c r="D19" s="516" t="s">
        <v>848</v>
      </c>
    </row>
    <row r="20" spans="1:6">
      <c r="A20" s="506" t="s">
        <v>849</v>
      </c>
      <c r="B20" s="508"/>
      <c r="C20" s="517" t="s">
        <v>850</v>
      </c>
      <c r="D20" s="516"/>
    </row>
    <row r="21" spans="1:6">
      <c r="A21" s="506" t="s">
        <v>851</v>
      </c>
    </row>
    <row r="22" spans="1:6">
      <c r="A22" s="518"/>
      <c r="B22" s="330" t="s">
        <v>327</v>
      </c>
      <c r="C22" s="330" t="s">
        <v>428</v>
      </c>
      <c r="D22" s="330" t="s">
        <v>3</v>
      </c>
      <c r="E22" s="330" t="s">
        <v>429</v>
      </c>
      <c r="F22" s="330" t="s">
        <v>430</v>
      </c>
    </row>
    <row r="23" spans="1:6">
      <c r="A23" s="330" t="s">
        <v>852</v>
      </c>
      <c r="B23" s="330">
        <v>1.45</v>
      </c>
      <c r="C23" s="330">
        <v>2.0899999999999998E-2</v>
      </c>
      <c r="D23" s="330">
        <v>0.01</v>
      </c>
      <c r="E23" s="330">
        <v>4.6899999999999997E-2</v>
      </c>
      <c r="F23" s="330">
        <v>2.23E-2</v>
      </c>
    </row>
    <row r="24" spans="1:6">
      <c r="A24" s="509" t="s">
        <v>853</v>
      </c>
      <c r="B24" s="519">
        <f>C19</f>
        <v>1.4999999999625</v>
      </c>
      <c r="C24" s="519">
        <f>C23+((B24-B23)*(C25-C23))/(B25-B23)</f>
        <v>2.0800000000074998E-2</v>
      </c>
      <c r="D24" s="519">
        <f>D23+((B24-B23)*(D25-D23))/(B25-B23)</f>
        <v>9.3000000005249994E-3</v>
      </c>
      <c r="E24" s="519">
        <f>E23+((B24-B23)*(E25-E23))/(B25-B23)</f>
        <v>4.6400000000374995E-2</v>
      </c>
      <c r="F24" s="519">
        <f>F23+((B24-B23)*(F25-F23))/(B25-B23)</f>
        <v>2.0600000001275001E-2</v>
      </c>
    </row>
    <row r="25" spans="1:6">
      <c r="A25" s="330" t="s">
        <v>854</v>
      </c>
      <c r="B25" s="330">
        <f>CEILING(B24,0.05)</f>
        <v>1.5</v>
      </c>
      <c r="C25" s="330">
        <v>2.0799999999999999E-2</v>
      </c>
      <c r="D25" s="330">
        <v>9.2999999999999992E-3</v>
      </c>
      <c r="E25" s="330">
        <v>4.6399999999999997E-2</v>
      </c>
      <c r="F25" s="330">
        <v>2.06E-2</v>
      </c>
    </row>
    <row r="27" spans="1:6">
      <c r="A27" s="505" t="s">
        <v>855</v>
      </c>
    </row>
    <row r="28" spans="1:6">
      <c r="A28" s="7" t="s">
        <v>856</v>
      </c>
      <c r="B28" s="508" t="s">
        <v>842</v>
      </c>
      <c r="C28" s="520">
        <f>C16*D12*D11</f>
        <v>23.040000000576001</v>
      </c>
      <c r="D28" s="508" t="s">
        <v>857</v>
      </c>
    </row>
    <row r="30" spans="1:6">
      <c r="A30" s="505" t="s">
        <v>858</v>
      </c>
    </row>
    <row r="31" spans="1:6">
      <c r="A31" s="7" t="s">
        <v>859</v>
      </c>
      <c r="B31" s="508" t="s">
        <v>860</v>
      </c>
      <c r="C31" s="508" t="s">
        <v>842</v>
      </c>
      <c r="D31" s="521">
        <f>C28*C24</f>
        <v>0.47923200001370875</v>
      </c>
      <c r="E31" s="508" t="s">
        <v>861</v>
      </c>
    </row>
    <row r="32" spans="1:6">
      <c r="A32" s="7" t="s">
        <v>862</v>
      </c>
      <c r="B32" s="508" t="s">
        <v>863</v>
      </c>
      <c r="C32" s="508" t="s">
        <v>842</v>
      </c>
      <c r="D32" s="521">
        <f>C28*D24</f>
        <v>0.21427200001745278</v>
      </c>
      <c r="E32" s="508" t="s">
        <v>861</v>
      </c>
    </row>
    <row r="33" spans="1:9">
      <c r="A33" s="7" t="s">
        <v>864</v>
      </c>
      <c r="B33" s="508" t="s">
        <v>865</v>
      </c>
      <c r="C33" s="508" t="s">
        <v>842</v>
      </c>
      <c r="D33" s="521">
        <f>C28*E24</f>
        <v>1.0690560000353664</v>
      </c>
      <c r="E33" s="508" t="s">
        <v>861</v>
      </c>
    </row>
    <row r="34" spans="1:9">
      <c r="A34" s="7" t="s">
        <v>866</v>
      </c>
      <c r="B34" s="508" t="s">
        <v>867</v>
      </c>
      <c r="C34" s="508" t="s">
        <v>842</v>
      </c>
      <c r="D34" s="521">
        <f>C28*F24</f>
        <v>0.47462400004124167</v>
      </c>
      <c r="E34" s="508" t="s">
        <v>861</v>
      </c>
    </row>
    <row r="36" spans="1:9">
      <c r="A36" s="505" t="s">
        <v>868</v>
      </c>
    </row>
    <row r="37" spans="1:9">
      <c r="A37" s="522" t="s">
        <v>869</v>
      </c>
      <c r="C37" s="523">
        <f>D31</f>
        <v>0.47923200001370875</v>
      </c>
      <c r="D37" s="508" t="s">
        <v>861</v>
      </c>
    </row>
    <row r="38" spans="1:9">
      <c r="A38" s="522"/>
      <c r="C38" s="523"/>
      <c r="D38" s="508"/>
    </row>
    <row r="39" spans="1:9">
      <c r="C39" s="335"/>
    </row>
    <row r="40" spans="1:9">
      <c r="C40" s="524">
        <f>C37/(B10*1*((F10*0.001)^2))</f>
        <v>5.1641379311822055E-2</v>
      </c>
      <c r="D40" s="525" t="s">
        <v>870</v>
      </c>
      <c r="E40" s="526" t="str">
        <f>IF(C40&lt;0.255,"Kh«ng cÇn KT ®iÒu kiÖn h¹n chÕ","CÇn KT ®iÒu kiÖn h¹n chÕ")</f>
        <v>Kh«ng cÇn KT ®iÒu kiÖn h¹n chÕ</v>
      </c>
    </row>
    <row r="41" spans="1:9">
      <c r="C41" s="524"/>
      <c r="D41" s="527"/>
    </row>
    <row r="42" spans="1:9">
      <c r="C42" s="524">
        <f>1-SQRT(1-(2*C40))</f>
        <v>5.3048448242278945E-2</v>
      </c>
      <c r="D42" s="528"/>
    </row>
    <row r="43" spans="1:9">
      <c r="C43" s="524">
        <f>1-(0.5*C42)</f>
        <v>0.97347577587886058</v>
      </c>
      <c r="D43" s="528"/>
    </row>
    <row r="46" spans="1:9">
      <c r="C46" s="1080" t="s">
        <v>842</v>
      </c>
      <c r="D46" s="524">
        <f>10000*C37/(C10*C43*F10*0.001)</f>
        <v>2.1977214271801269</v>
      </c>
      <c r="E46" s="1081" t="s">
        <v>871</v>
      </c>
      <c r="H46" s="1082">
        <f>D46/(F10*0.1)</f>
        <v>0.27471517839751586</v>
      </c>
      <c r="I46" s="1081" t="s">
        <v>872</v>
      </c>
    </row>
    <row r="47" spans="1:9">
      <c r="C47" s="1080"/>
      <c r="D47" s="524"/>
      <c r="E47" s="1081"/>
      <c r="H47" s="1082"/>
      <c r="I47" s="1081"/>
    </row>
    <row r="49" spans="1:9">
      <c r="A49" s="529" t="s">
        <v>873</v>
      </c>
      <c r="D49" s="507">
        <v>10</v>
      </c>
      <c r="E49" s="7" t="s">
        <v>928</v>
      </c>
      <c r="F49" s="507">
        <v>150</v>
      </c>
      <c r="G49" s="511" t="s">
        <v>158</v>
      </c>
      <c r="H49" s="7" t="str">
        <f>"Ø"&amp;D49&amp;"@"&amp;F49</f>
        <v>Ø10@150</v>
      </c>
    </row>
    <row r="50" spans="1:9">
      <c r="C50" s="7" t="s">
        <v>874</v>
      </c>
      <c r="D50" s="530">
        <f>ROUND(1000*(0.25*PI()*D49^2)/100/F49,2)</f>
        <v>5.24</v>
      </c>
      <c r="E50" s="511" t="s">
        <v>875</v>
      </c>
    </row>
    <row r="52" spans="1:9">
      <c r="D52" s="7" t="s">
        <v>876</v>
      </c>
      <c r="E52" s="531">
        <f>D50/(F10*0.1)</f>
        <v>0.65500000000000003</v>
      </c>
      <c r="F52" s="511" t="s">
        <v>872</v>
      </c>
      <c r="G52" s="532" t="s">
        <v>870</v>
      </c>
      <c r="H52" s="533" t="str">
        <f>IF(AND(E52&gt;0.4,E52&lt;0.8),"Hîp Lý","Kh«ng Hîp Lý")</f>
        <v>Hîp Lý</v>
      </c>
    </row>
    <row r="54" spans="1:9">
      <c r="A54" s="506" t="s">
        <v>877</v>
      </c>
      <c r="B54" s="7" t="s">
        <v>878</v>
      </c>
      <c r="E54" s="7" t="s">
        <v>14</v>
      </c>
      <c r="F54" s="7">
        <f>$H$11/F49+1</f>
        <v>41</v>
      </c>
    </row>
    <row r="55" spans="1:9">
      <c r="A55" s="522" t="s">
        <v>879</v>
      </c>
      <c r="C55" s="523">
        <f>D32</f>
        <v>0.21427200001745278</v>
      </c>
      <c r="D55" s="508" t="s">
        <v>861</v>
      </c>
    </row>
    <row r="56" spans="1:9">
      <c r="A56" s="522"/>
      <c r="C56" s="515"/>
      <c r="D56" s="508"/>
    </row>
    <row r="58" spans="1:9">
      <c r="C58" s="524">
        <f>C55/(B10*1*(((F10-(D49+D67)/2)*0.001)^2))</f>
        <v>3.0157916962343805E-2</v>
      </c>
      <c r="D58" s="525" t="s">
        <v>870</v>
      </c>
      <c r="E58" s="526" t="str">
        <f>IF(C58&lt;0.255,"Kh«ng cÇn KT ®iÒu kiÖn h¹n chÕ","CÇn KT ®iÒu kiÖn h¹n chÕ")</f>
        <v>Kh«ng cÇn KT ®iÒu kiÖn h¹n chÕ</v>
      </c>
    </row>
    <row r="59" spans="1:9">
      <c r="C59" s="524"/>
      <c r="D59" s="527"/>
    </row>
    <row r="60" spans="1:9">
      <c r="C60" s="524">
        <f>1-SQRT(1-(2*C58))</f>
        <v>3.062692111070453E-2</v>
      </c>
      <c r="D60" s="528"/>
    </row>
    <row r="61" spans="1:9">
      <c r="C61" s="524">
        <f>1-(0.5*C60)</f>
        <v>0.98468653944464779</v>
      </c>
      <c r="D61" s="528"/>
    </row>
    <row r="64" spans="1:9">
      <c r="C64" s="1080" t="s">
        <v>842</v>
      </c>
      <c r="D64" s="524">
        <f>10000*C55/(C10*C61*F10*0.001)</f>
        <v>0.97144765398015709</v>
      </c>
      <c r="E64" s="1081" t="s">
        <v>880</v>
      </c>
      <c r="H64" s="1082">
        <f>D64/(F10*0.1)</f>
        <v>0.12143095674751964</v>
      </c>
      <c r="I64" s="1081" t="s">
        <v>872</v>
      </c>
    </row>
    <row r="65" spans="1:9">
      <c r="C65" s="1080"/>
      <c r="D65" s="524"/>
      <c r="E65" s="1081"/>
      <c r="H65" s="1082"/>
      <c r="I65" s="1081"/>
    </row>
    <row r="67" spans="1:9">
      <c r="A67" s="529" t="s">
        <v>873</v>
      </c>
      <c r="D67" s="507">
        <v>10</v>
      </c>
      <c r="E67" s="7" t="s">
        <v>928</v>
      </c>
      <c r="F67" s="507">
        <v>150</v>
      </c>
      <c r="G67" s="511" t="s">
        <v>158</v>
      </c>
      <c r="H67" s="7" t="str">
        <f>"Ø"&amp;D67&amp;"@"&amp;F67</f>
        <v>Ø10@150</v>
      </c>
    </row>
    <row r="68" spans="1:9">
      <c r="C68" s="7" t="s">
        <v>874</v>
      </c>
      <c r="D68" s="530">
        <f>ROUND(1000*(0.25*PI()*D67^2)/100/F67,2)</f>
        <v>5.24</v>
      </c>
      <c r="E68" s="511" t="s">
        <v>875</v>
      </c>
    </row>
    <row r="70" spans="1:9">
      <c r="D70" s="7" t="s">
        <v>876</v>
      </c>
      <c r="E70" s="531">
        <f>D68/(F10*0.1)</f>
        <v>0.65500000000000003</v>
      </c>
      <c r="F70" s="511" t="s">
        <v>872</v>
      </c>
      <c r="G70" s="532" t="s">
        <v>870</v>
      </c>
      <c r="H70" s="533" t="str">
        <f>IF(AND(E70&gt;0.4,E70&lt;0.8),"Hîp Lý","Kh«ng Hîp Lý")</f>
        <v>Hîp Lý</v>
      </c>
    </row>
    <row r="72" spans="1:9">
      <c r="A72" s="506" t="s">
        <v>877</v>
      </c>
      <c r="B72" s="7" t="s">
        <v>878</v>
      </c>
      <c r="E72" s="7" t="s">
        <v>14</v>
      </c>
      <c r="F72" s="334">
        <f>$H$12/F67+1</f>
        <v>27.666666667333331</v>
      </c>
    </row>
    <row r="73" spans="1:9">
      <c r="A73" s="522" t="s">
        <v>881</v>
      </c>
      <c r="C73" s="523">
        <f>D33</f>
        <v>1.0690560000353664</v>
      </c>
      <c r="D73" s="508" t="s">
        <v>861</v>
      </c>
    </row>
    <row r="74" spans="1:9">
      <c r="A74" s="522"/>
      <c r="C74" s="515"/>
      <c r="D74" s="508"/>
    </row>
    <row r="76" spans="1:9">
      <c r="C76" s="524">
        <f>C73/(B10*1*((F10*0.001)^2))</f>
        <v>0.11520000000381102</v>
      </c>
      <c r="D76" s="525" t="s">
        <v>870</v>
      </c>
      <c r="E76" s="526" t="str">
        <f>IF(C76&lt;0.255,"Kh«ng cÇn KT ®iÒu kiÖn h¹n chÕ","CÇn KT ®iÒu kiÖn h¹n chÕ")</f>
        <v>Kh«ng cÇn KT ®iÒu kiÖn h¹n chÕ</v>
      </c>
    </row>
    <row r="77" spans="1:9">
      <c r="C77" s="524"/>
      <c r="D77" s="527"/>
    </row>
    <row r="78" spans="1:9">
      <c r="C78" s="524">
        <f>1-SQRT(1-(2*C76))</f>
        <v>0.12273151202589183</v>
      </c>
      <c r="D78" s="528"/>
    </row>
    <row r="79" spans="1:9">
      <c r="C79" s="524">
        <f>1-(0.5*C78)</f>
        <v>0.93863424398705408</v>
      </c>
      <c r="D79" s="528"/>
    </row>
    <row r="82" spans="1:9">
      <c r="C82" s="1080" t="s">
        <v>842</v>
      </c>
      <c r="D82" s="524">
        <f>10000*C73/(C10*C79*F10*0.001)</f>
        <v>5.0845912125012331</v>
      </c>
      <c r="E82" s="1081" t="s">
        <v>882</v>
      </c>
      <c r="H82" s="1082">
        <f>D82/(F10*0.1)</f>
        <v>0.63557390156265414</v>
      </c>
      <c r="I82" s="1081" t="s">
        <v>872</v>
      </c>
    </row>
    <row r="83" spans="1:9">
      <c r="C83" s="1080"/>
      <c r="D83" s="524"/>
      <c r="E83" s="1081"/>
      <c r="H83" s="1082"/>
      <c r="I83" s="1081"/>
    </row>
    <row r="85" spans="1:9">
      <c r="A85" s="529" t="s">
        <v>873</v>
      </c>
      <c r="D85" s="507">
        <v>10</v>
      </c>
      <c r="E85" s="7" t="s">
        <v>928</v>
      </c>
      <c r="F85" s="507">
        <v>150</v>
      </c>
      <c r="G85" s="511" t="s">
        <v>158</v>
      </c>
      <c r="H85" s="7" t="str">
        <f>"Ø"&amp;D85&amp;"@"&amp;F85</f>
        <v>Ø10@150</v>
      </c>
    </row>
    <row r="86" spans="1:9">
      <c r="C86" s="7" t="s">
        <v>874</v>
      </c>
      <c r="D86" s="530">
        <f>ROUND(1000*(0.25*PI()*D85^2)/100/F85,2)</f>
        <v>5.24</v>
      </c>
      <c r="E86" s="511" t="s">
        <v>875</v>
      </c>
    </row>
    <row r="88" spans="1:9">
      <c r="D88" s="7" t="s">
        <v>876</v>
      </c>
      <c r="E88" s="531">
        <f>D86/(F10*0.1)</f>
        <v>0.65500000000000003</v>
      </c>
      <c r="F88" s="511" t="s">
        <v>872</v>
      </c>
      <c r="G88" s="532" t="s">
        <v>870</v>
      </c>
      <c r="H88" s="533" t="str">
        <f>IF(AND(E88&gt;0.4,E88&lt;0.8),"Hîp Lý","Kh«ng Hîp Lý")</f>
        <v>Hîp Lý</v>
      </c>
    </row>
    <row r="90" spans="1:9">
      <c r="A90" s="506" t="s">
        <v>877</v>
      </c>
      <c r="B90" s="7" t="s">
        <v>878</v>
      </c>
      <c r="E90" s="7" t="s">
        <v>14</v>
      </c>
      <c r="F90" s="7">
        <f>$H$11/F85+1</f>
        <v>41</v>
      </c>
    </row>
    <row r="91" spans="1:9">
      <c r="A91" s="522" t="s">
        <v>883</v>
      </c>
      <c r="C91" s="523">
        <f>D34</f>
        <v>0.47462400004124167</v>
      </c>
      <c r="D91" s="508" t="s">
        <v>861</v>
      </c>
    </row>
    <row r="92" spans="1:9">
      <c r="A92" s="522"/>
      <c r="C92" s="523"/>
      <c r="D92" s="508"/>
    </row>
    <row r="93" spans="1:9">
      <c r="C93" s="335"/>
    </row>
    <row r="94" spans="1:9">
      <c r="C94" s="524">
        <f>C91/(B10*1*((F10*0.001)^2))</f>
        <v>5.1144827590651039E-2</v>
      </c>
      <c r="D94" s="525" t="s">
        <v>870</v>
      </c>
      <c r="E94" s="526" t="str">
        <f>IF(C94&lt;0.255,"Kh«ng cÇn KT ®iÒu kiÖn h¹n chÕ","CÇn KT ®iÒu kiÖn h¹n chÕ")</f>
        <v>Kh«ng cÇn KT ®iÒu kiÖn h¹n chÕ</v>
      </c>
    </row>
    <row r="95" spans="1:9">
      <c r="C95" s="524"/>
      <c r="D95" s="527"/>
    </row>
    <row r="96" spans="1:9">
      <c r="C96" s="524">
        <f>1-SQRT(1-(2*C94))</f>
        <v>5.2524224679755815E-2</v>
      </c>
      <c r="D96" s="528"/>
    </row>
    <row r="97" spans="1:9">
      <c r="C97" s="524">
        <f>1-(0.5*C96)</f>
        <v>0.97373788766012215</v>
      </c>
      <c r="D97" s="528"/>
    </row>
    <row r="100" spans="1:9">
      <c r="C100" s="1080" t="s">
        <v>842</v>
      </c>
      <c r="D100" s="524">
        <f>10000*C91/(C10*C97*F10*0.001)</f>
        <v>2.1760035938755964</v>
      </c>
      <c r="E100" s="1081" t="s">
        <v>880</v>
      </c>
      <c r="H100" s="1082">
        <f>D100/(F10*0.1)</f>
        <v>0.27200044923444955</v>
      </c>
      <c r="I100" s="1081" t="s">
        <v>872</v>
      </c>
    </row>
    <row r="101" spans="1:9">
      <c r="C101" s="1080"/>
      <c r="D101" s="524"/>
      <c r="E101" s="1081"/>
      <c r="H101" s="1082"/>
      <c r="I101" s="1081"/>
    </row>
    <row r="103" spans="1:9">
      <c r="A103" s="529" t="s">
        <v>873</v>
      </c>
      <c r="D103" s="507">
        <v>10</v>
      </c>
      <c r="E103" s="7" t="s">
        <v>928</v>
      </c>
      <c r="F103" s="507">
        <v>150</v>
      </c>
      <c r="G103" s="511" t="s">
        <v>158</v>
      </c>
      <c r="H103" s="7" t="str">
        <f>"Ø"&amp;D103&amp;"@"&amp;F103</f>
        <v>Ø10@150</v>
      </c>
    </row>
    <row r="104" spans="1:9">
      <c r="C104" s="7" t="s">
        <v>874</v>
      </c>
      <c r="D104" s="530">
        <f>ROUND(1000*(0.25*PI()*D103^2)/100/F103,2)</f>
        <v>5.24</v>
      </c>
      <c r="E104" s="511" t="s">
        <v>875</v>
      </c>
    </row>
    <row r="106" spans="1:9">
      <c r="D106" s="7" t="s">
        <v>876</v>
      </c>
      <c r="E106" s="531">
        <f>D104/(F10*0.1)</f>
        <v>0.65500000000000003</v>
      </c>
      <c r="F106" s="511" t="s">
        <v>872</v>
      </c>
      <c r="G106" s="532" t="s">
        <v>870</v>
      </c>
      <c r="H106" s="533" t="str">
        <f>IF(AND(E106&gt;0.4,E106&lt;0.8),"Hîp Lý","Kh«ng Hîp Lý")</f>
        <v>Hîp Lý</v>
      </c>
    </row>
    <row r="108" spans="1:9">
      <c r="A108" s="506" t="s">
        <v>877</v>
      </c>
      <c r="B108" s="7" t="s">
        <v>878</v>
      </c>
      <c r="E108" s="7" t="s">
        <v>14</v>
      </c>
      <c r="F108" s="334">
        <f>$H$12/F103+1</f>
        <v>27.666666667333331</v>
      </c>
    </row>
    <row r="109" spans="1:9">
      <c r="A109" s="505" t="s">
        <v>884</v>
      </c>
    </row>
    <row r="110" spans="1:9">
      <c r="A110" s="529" t="s">
        <v>885</v>
      </c>
    </row>
  </sheetData>
  <mergeCells count="20">
    <mergeCell ref="C82:C83"/>
    <mergeCell ref="E82:E83"/>
    <mergeCell ref="H82:H83"/>
    <mergeCell ref="I82:I83"/>
    <mergeCell ref="C100:C101"/>
    <mergeCell ref="E100:E101"/>
    <mergeCell ref="H100:H101"/>
    <mergeCell ref="I100:I101"/>
    <mergeCell ref="I46:I47"/>
    <mergeCell ref="C64:C65"/>
    <mergeCell ref="E64:E65"/>
    <mergeCell ref="H64:H65"/>
    <mergeCell ref="I64:I65"/>
    <mergeCell ref="A1:C1"/>
    <mergeCell ref="D1:G1"/>
    <mergeCell ref="C3:H4"/>
    <mergeCell ref="D5:G5"/>
    <mergeCell ref="C46:C47"/>
    <mergeCell ref="E46:E47"/>
    <mergeCell ref="H46:H47"/>
  </mergeCells>
  <dataValidations disablePrompts="1" count="3">
    <dataValidation type="list" allowBlank="1" showInputMessage="1" showErrorMessage="1" sqref="C20 IY20 SU20 ACQ20 AMM20 AWI20 BGE20 BQA20 BZW20 CJS20 CTO20 DDK20 DNG20 DXC20 EGY20 EQU20 FAQ20 FKM20 FUI20 GEE20 GOA20 GXW20 HHS20 HRO20 IBK20 ILG20 IVC20 JEY20 JOU20 JYQ20 KIM20 KSI20 LCE20 LMA20 LVW20 MFS20 MPO20 MZK20 NJG20 NTC20 OCY20 OMU20 OWQ20 PGM20 PQI20 QAE20 QKA20 QTW20 RDS20 RNO20 RXK20 SHG20 SRC20 TAY20 TKU20 TUQ20 UEM20 UOI20 UYE20 VIA20 VRW20 WBS20 WLO20 WVK20 C65556 IY65556 SU65556 ACQ65556 AMM65556 AWI65556 BGE65556 BQA65556 BZW65556 CJS65556 CTO65556 DDK65556 DNG65556 DXC65556 EGY65556 EQU65556 FAQ65556 FKM65556 FUI65556 GEE65556 GOA65556 GXW65556 HHS65556 HRO65556 IBK65556 ILG65556 IVC65556 JEY65556 JOU65556 JYQ65556 KIM65556 KSI65556 LCE65556 LMA65556 LVW65556 MFS65556 MPO65556 MZK65556 NJG65556 NTC65556 OCY65556 OMU65556 OWQ65556 PGM65556 PQI65556 QAE65556 QKA65556 QTW65556 RDS65556 RNO65556 RXK65556 SHG65556 SRC65556 TAY65556 TKU65556 TUQ65556 UEM65556 UOI65556 UYE65556 VIA65556 VRW65556 WBS65556 WLO65556 WVK65556 C131092 IY131092 SU131092 ACQ131092 AMM131092 AWI131092 BGE131092 BQA131092 BZW131092 CJS131092 CTO131092 DDK131092 DNG131092 DXC131092 EGY131092 EQU131092 FAQ131092 FKM131092 FUI131092 GEE131092 GOA131092 GXW131092 HHS131092 HRO131092 IBK131092 ILG131092 IVC131092 JEY131092 JOU131092 JYQ131092 KIM131092 KSI131092 LCE131092 LMA131092 LVW131092 MFS131092 MPO131092 MZK131092 NJG131092 NTC131092 OCY131092 OMU131092 OWQ131092 PGM131092 PQI131092 QAE131092 QKA131092 QTW131092 RDS131092 RNO131092 RXK131092 SHG131092 SRC131092 TAY131092 TKU131092 TUQ131092 UEM131092 UOI131092 UYE131092 VIA131092 VRW131092 WBS131092 WLO131092 WVK131092 C196628 IY196628 SU196628 ACQ196628 AMM196628 AWI196628 BGE196628 BQA196628 BZW196628 CJS196628 CTO196628 DDK196628 DNG196628 DXC196628 EGY196628 EQU196628 FAQ196628 FKM196628 FUI196628 GEE196628 GOA196628 GXW196628 HHS196628 HRO196628 IBK196628 ILG196628 IVC196628 JEY196628 JOU196628 JYQ196628 KIM196628 KSI196628 LCE196628 LMA196628 LVW196628 MFS196628 MPO196628 MZK196628 NJG196628 NTC196628 OCY196628 OMU196628 OWQ196628 PGM196628 PQI196628 QAE196628 QKA196628 QTW196628 RDS196628 RNO196628 RXK196628 SHG196628 SRC196628 TAY196628 TKU196628 TUQ196628 UEM196628 UOI196628 UYE196628 VIA196628 VRW196628 WBS196628 WLO196628 WVK196628 C262164 IY262164 SU262164 ACQ262164 AMM262164 AWI262164 BGE262164 BQA262164 BZW262164 CJS262164 CTO262164 DDK262164 DNG262164 DXC262164 EGY262164 EQU262164 FAQ262164 FKM262164 FUI262164 GEE262164 GOA262164 GXW262164 HHS262164 HRO262164 IBK262164 ILG262164 IVC262164 JEY262164 JOU262164 JYQ262164 KIM262164 KSI262164 LCE262164 LMA262164 LVW262164 MFS262164 MPO262164 MZK262164 NJG262164 NTC262164 OCY262164 OMU262164 OWQ262164 PGM262164 PQI262164 QAE262164 QKA262164 QTW262164 RDS262164 RNO262164 RXK262164 SHG262164 SRC262164 TAY262164 TKU262164 TUQ262164 UEM262164 UOI262164 UYE262164 VIA262164 VRW262164 WBS262164 WLO262164 WVK262164 C327700 IY327700 SU327700 ACQ327700 AMM327700 AWI327700 BGE327700 BQA327700 BZW327700 CJS327700 CTO327700 DDK327700 DNG327700 DXC327700 EGY327700 EQU327700 FAQ327700 FKM327700 FUI327700 GEE327700 GOA327700 GXW327700 HHS327700 HRO327700 IBK327700 ILG327700 IVC327700 JEY327700 JOU327700 JYQ327700 KIM327700 KSI327700 LCE327700 LMA327700 LVW327700 MFS327700 MPO327700 MZK327700 NJG327700 NTC327700 OCY327700 OMU327700 OWQ327700 PGM327700 PQI327700 QAE327700 QKA327700 QTW327700 RDS327700 RNO327700 RXK327700 SHG327700 SRC327700 TAY327700 TKU327700 TUQ327700 UEM327700 UOI327700 UYE327700 VIA327700 VRW327700 WBS327700 WLO327700 WVK327700 C393236 IY393236 SU393236 ACQ393236 AMM393236 AWI393236 BGE393236 BQA393236 BZW393236 CJS393236 CTO393236 DDK393236 DNG393236 DXC393236 EGY393236 EQU393236 FAQ393236 FKM393236 FUI393236 GEE393236 GOA393236 GXW393236 HHS393236 HRO393236 IBK393236 ILG393236 IVC393236 JEY393236 JOU393236 JYQ393236 KIM393236 KSI393236 LCE393236 LMA393236 LVW393236 MFS393236 MPO393236 MZK393236 NJG393236 NTC393236 OCY393236 OMU393236 OWQ393236 PGM393236 PQI393236 QAE393236 QKA393236 QTW393236 RDS393236 RNO393236 RXK393236 SHG393236 SRC393236 TAY393236 TKU393236 TUQ393236 UEM393236 UOI393236 UYE393236 VIA393236 VRW393236 WBS393236 WLO393236 WVK393236 C458772 IY458772 SU458772 ACQ458772 AMM458772 AWI458772 BGE458772 BQA458772 BZW458772 CJS458772 CTO458772 DDK458772 DNG458772 DXC458772 EGY458772 EQU458772 FAQ458772 FKM458772 FUI458772 GEE458772 GOA458772 GXW458772 HHS458772 HRO458772 IBK458772 ILG458772 IVC458772 JEY458772 JOU458772 JYQ458772 KIM458772 KSI458772 LCE458772 LMA458772 LVW458772 MFS458772 MPO458772 MZK458772 NJG458772 NTC458772 OCY458772 OMU458772 OWQ458772 PGM458772 PQI458772 QAE458772 QKA458772 QTW458772 RDS458772 RNO458772 RXK458772 SHG458772 SRC458772 TAY458772 TKU458772 TUQ458772 UEM458772 UOI458772 UYE458772 VIA458772 VRW458772 WBS458772 WLO458772 WVK458772 C524308 IY524308 SU524308 ACQ524308 AMM524308 AWI524308 BGE524308 BQA524308 BZW524308 CJS524308 CTO524308 DDK524308 DNG524308 DXC524308 EGY524308 EQU524308 FAQ524308 FKM524308 FUI524308 GEE524308 GOA524308 GXW524308 HHS524308 HRO524308 IBK524308 ILG524308 IVC524308 JEY524308 JOU524308 JYQ524308 KIM524308 KSI524308 LCE524308 LMA524308 LVW524308 MFS524308 MPO524308 MZK524308 NJG524308 NTC524308 OCY524308 OMU524308 OWQ524308 PGM524308 PQI524308 QAE524308 QKA524308 QTW524308 RDS524308 RNO524308 RXK524308 SHG524308 SRC524308 TAY524308 TKU524308 TUQ524308 UEM524308 UOI524308 UYE524308 VIA524308 VRW524308 WBS524308 WLO524308 WVK524308 C589844 IY589844 SU589844 ACQ589844 AMM589844 AWI589844 BGE589844 BQA589844 BZW589844 CJS589844 CTO589844 DDK589844 DNG589844 DXC589844 EGY589844 EQU589844 FAQ589844 FKM589844 FUI589844 GEE589844 GOA589844 GXW589844 HHS589844 HRO589844 IBK589844 ILG589844 IVC589844 JEY589844 JOU589844 JYQ589844 KIM589844 KSI589844 LCE589844 LMA589844 LVW589844 MFS589844 MPO589844 MZK589844 NJG589844 NTC589844 OCY589844 OMU589844 OWQ589844 PGM589844 PQI589844 QAE589844 QKA589844 QTW589844 RDS589844 RNO589844 RXK589844 SHG589844 SRC589844 TAY589844 TKU589844 TUQ589844 UEM589844 UOI589844 UYE589844 VIA589844 VRW589844 WBS589844 WLO589844 WVK589844 C655380 IY655380 SU655380 ACQ655380 AMM655380 AWI655380 BGE655380 BQA655380 BZW655380 CJS655380 CTO655380 DDK655380 DNG655380 DXC655380 EGY655380 EQU655380 FAQ655380 FKM655380 FUI655380 GEE655380 GOA655380 GXW655380 HHS655380 HRO655380 IBK655380 ILG655380 IVC655380 JEY655380 JOU655380 JYQ655380 KIM655380 KSI655380 LCE655380 LMA655380 LVW655380 MFS655380 MPO655380 MZK655380 NJG655380 NTC655380 OCY655380 OMU655380 OWQ655380 PGM655380 PQI655380 QAE655380 QKA655380 QTW655380 RDS655380 RNO655380 RXK655380 SHG655380 SRC655380 TAY655380 TKU655380 TUQ655380 UEM655380 UOI655380 UYE655380 VIA655380 VRW655380 WBS655380 WLO655380 WVK655380 C720916 IY720916 SU720916 ACQ720916 AMM720916 AWI720916 BGE720916 BQA720916 BZW720916 CJS720916 CTO720916 DDK720916 DNG720916 DXC720916 EGY720916 EQU720916 FAQ720916 FKM720916 FUI720916 GEE720916 GOA720916 GXW720916 HHS720916 HRO720916 IBK720916 ILG720916 IVC720916 JEY720916 JOU720916 JYQ720916 KIM720916 KSI720916 LCE720916 LMA720916 LVW720916 MFS720916 MPO720916 MZK720916 NJG720916 NTC720916 OCY720916 OMU720916 OWQ720916 PGM720916 PQI720916 QAE720916 QKA720916 QTW720916 RDS720916 RNO720916 RXK720916 SHG720916 SRC720916 TAY720916 TKU720916 TUQ720916 UEM720916 UOI720916 UYE720916 VIA720916 VRW720916 WBS720916 WLO720916 WVK720916 C786452 IY786452 SU786452 ACQ786452 AMM786452 AWI786452 BGE786452 BQA786452 BZW786452 CJS786452 CTO786452 DDK786452 DNG786452 DXC786452 EGY786452 EQU786452 FAQ786452 FKM786452 FUI786452 GEE786452 GOA786452 GXW786452 HHS786452 HRO786452 IBK786452 ILG786452 IVC786452 JEY786452 JOU786452 JYQ786452 KIM786452 KSI786452 LCE786452 LMA786452 LVW786452 MFS786452 MPO786452 MZK786452 NJG786452 NTC786452 OCY786452 OMU786452 OWQ786452 PGM786452 PQI786452 QAE786452 QKA786452 QTW786452 RDS786452 RNO786452 RXK786452 SHG786452 SRC786452 TAY786452 TKU786452 TUQ786452 UEM786452 UOI786452 UYE786452 VIA786452 VRW786452 WBS786452 WLO786452 WVK786452 C851988 IY851988 SU851988 ACQ851988 AMM851988 AWI851988 BGE851988 BQA851988 BZW851988 CJS851988 CTO851988 DDK851988 DNG851988 DXC851988 EGY851988 EQU851988 FAQ851988 FKM851988 FUI851988 GEE851988 GOA851988 GXW851988 HHS851988 HRO851988 IBK851988 ILG851988 IVC851988 JEY851988 JOU851988 JYQ851988 KIM851988 KSI851988 LCE851988 LMA851988 LVW851988 MFS851988 MPO851988 MZK851988 NJG851988 NTC851988 OCY851988 OMU851988 OWQ851988 PGM851988 PQI851988 QAE851988 QKA851988 QTW851988 RDS851988 RNO851988 RXK851988 SHG851988 SRC851988 TAY851988 TKU851988 TUQ851988 UEM851988 UOI851988 UYE851988 VIA851988 VRW851988 WBS851988 WLO851988 WVK851988 C917524 IY917524 SU917524 ACQ917524 AMM917524 AWI917524 BGE917524 BQA917524 BZW917524 CJS917524 CTO917524 DDK917524 DNG917524 DXC917524 EGY917524 EQU917524 FAQ917524 FKM917524 FUI917524 GEE917524 GOA917524 GXW917524 HHS917524 HRO917524 IBK917524 ILG917524 IVC917524 JEY917524 JOU917524 JYQ917524 KIM917524 KSI917524 LCE917524 LMA917524 LVW917524 MFS917524 MPO917524 MZK917524 NJG917524 NTC917524 OCY917524 OMU917524 OWQ917524 PGM917524 PQI917524 QAE917524 QKA917524 QTW917524 RDS917524 RNO917524 RXK917524 SHG917524 SRC917524 TAY917524 TKU917524 TUQ917524 UEM917524 UOI917524 UYE917524 VIA917524 VRW917524 WBS917524 WLO917524 WVK917524 C983060 IY983060 SU983060 ACQ983060 AMM983060 AWI983060 BGE983060 BQA983060 BZW983060 CJS983060 CTO983060 DDK983060 DNG983060 DXC983060 EGY983060 EQU983060 FAQ983060 FKM983060 FUI983060 GEE983060 GOA983060 GXW983060 HHS983060 HRO983060 IBK983060 ILG983060 IVC983060 JEY983060 JOU983060 JYQ983060 KIM983060 KSI983060 LCE983060 LMA983060 LVW983060 MFS983060 MPO983060 MZK983060 NJG983060 NTC983060 OCY983060 OMU983060 OWQ983060 PGM983060 PQI983060 QAE983060 QKA983060 QTW983060 RDS983060 RNO983060 RXK983060 SHG983060 SRC983060 TAY983060 TKU983060 TUQ983060 UEM983060 UOI983060 UYE983060 VIA983060 VRW983060 WBS983060 WLO983060 WVK983060" xr:uid="{78DDE109-E4CF-4BE3-B427-BC08489EBE47}">
      <formula1>"SƠ ĐỒ 1,SƠ ĐỒ 2,SƠ ĐỒ 3,SƠ ĐỒ 4,SƠ ĐỒ 5,SƠ ĐỒ 6,SƠ ĐỒ 7,SƠ ĐỒ 8,SƠ ĐỒ 9,SƠ ĐỒ 10,SƠ ĐỒ 11,"</formula1>
    </dataValidation>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xr:uid="{52B43A3E-5826-4DF8-9CE6-6A4EB7BB5497}">
      <formula1>"AI,AII,AIII1,AIII2,AIV,AV,AVI"</formula1>
    </dataValidation>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xr:uid="{7DB10913-C329-47BF-A8AD-00AE170924B6}">
      <formula1>"B12,5(M150),B15(M200),B20(M250),B22,5(M300),B25(M350),B30(M400),B35(M450),B40(M500),B45(M600),B50(M700),B55(M750),B60(M800)"</formula1>
    </dataValidation>
  </dataValidations>
  <pageMargins left="0.7" right="0.7" top="0.75" bottom="0.75" header="0.3" footer="0.3"/>
  <pageSetup paperSize="9" orientation="portrait" verticalDpi="0" r:id="rId1"/>
  <drawing r:id="rId2"/>
  <legacyDrawing r:id="rId3"/>
  <oleObjects>
    <mc:AlternateContent xmlns:mc="http://schemas.openxmlformats.org/markup-compatibility/2006">
      <mc:Choice Requires="x14">
        <oleObject progId="Equation.DSMT4" shapeId="27649" r:id="rId4">
          <objectPr defaultSize="0" autoPict="0" r:id="rId5">
            <anchor moveWithCells="1">
              <from>
                <xdr:col>0</xdr:col>
                <xdr:colOff>495300</xdr:colOff>
                <xdr:row>38</xdr:row>
                <xdr:rowOff>88900</xdr:rowOff>
              </from>
              <to>
                <xdr:col>1</xdr:col>
                <xdr:colOff>901700</xdr:colOff>
                <xdr:row>43</xdr:row>
                <xdr:rowOff>127000</xdr:rowOff>
              </to>
            </anchor>
          </objectPr>
        </oleObject>
      </mc:Choice>
      <mc:Fallback>
        <oleObject progId="Equation.DSMT4" shapeId="27649" r:id="rId4"/>
      </mc:Fallback>
    </mc:AlternateContent>
    <mc:AlternateContent xmlns:mc="http://schemas.openxmlformats.org/markup-compatibility/2006">
      <mc:Choice Requires="x14">
        <oleObject progId="Equation.DSMT4" shapeId="27650" r:id="rId6">
          <objectPr defaultSize="0" autoPict="0" r:id="rId7">
            <anchor moveWithCells="1">
              <from>
                <xdr:col>1</xdr:col>
                <xdr:colOff>177800</xdr:colOff>
                <xdr:row>44</xdr:row>
                <xdr:rowOff>152400</xdr:rowOff>
              </from>
              <to>
                <xdr:col>2</xdr:col>
                <xdr:colOff>469900</xdr:colOff>
                <xdr:row>48</xdr:row>
                <xdr:rowOff>38100</xdr:rowOff>
              </to>
            </anchor>
          </objectPr>
        </oleObject>
      </mc:Choice>
      <mc:Fallback>
        <oleObject progId="Equation.DSMT4" shapeId="27650" r:id="rId6"/>
      </mc:Fallback>
    </mc:AlternateContent>
    <mc:AlternateContent xmlns:mc="http://schemas.openxmlformats.org/markup-compatibility/2006">
      <mc:Choice Requires="x14">
        <oleObject progId="Equation.DSMT4" shapeId="27651" r:id="rId8">
          <objectPr defaultSize="0" autoPict="0" r:id="rId9">
            <anchor moveWithCells="1">
              <from>
                <xdr:col>2</xdr:col>
                <xdr:colOff>330200</xdr:colOff>
                <xdr:row>47</xdr:row>
                <xdr:rowOff>203200</xdr:rowOff>
              </from>
              <to>
                <xdr:col>2</xdr:col>
                <xdr:colOff>546100</xdr:colOff>
                <xdr:row>49</xdr:row>
                <xdr:rowOff>76200</xdr:rowOff>
              </to>
            </anchor>
          </objectPr>
        </oleObject>
      </mc:Choice>
      <mc:Fallback>
        <oleObject progId="Equation.DSMT4" shapeId="27651" r:id="rId8"/>
      </mc:Fallback>
    </mc:AlternateContent>
    <mc:AlternateContent xmlns:mc="http://schemas.openxmlformats.org/markup-compatibility/2006">
      <mc:Choice Requires="x14">
        <oleObject progId="Equation.DSMT4" shapeId="27652" r:id="rId10">
          <objectPr defaultSize="0" autoPict="0" r:id="rId11">
            <anchor moveWithCells="1">
              <from>
                <xdr:col>0</xdr:col>
                <xdr:colOff>495300</xdr:colOff>
                <xdr:row>56</xdr:row>
                <xdr:rowOff>88900</xdr:rowOff>
              </from>
              <to>
                <xdr:col>1</xdr:col>
                <xdr:colOff>901700</xdr:colOff>
                <xdr:row>61</xdr:row>
                <xdr:rowOff>127000</xdr:rowOff>
              </to>
            </anchor>
          </objectPr>
        </oleObject>
      </mc:Choice>
      <mc:Fallback>
        <oleObject progId="Equation.DSMT4" shapeId="27652" r:id="rId10"/>
      </mc:Fallback>
    </mc:AlternateContent>
    <mc:AlternateContent xmlns:mc="http://schemas.openxmlformats.org/markup-compatibility/2006">
      <mc:Choice Requires="x14">
        <oleObject progId="Equation.DSMT4" shapeId="27653" r:id="rId12">
          <objectPr defaultSize="0" autoPict="0" r:id="rId7">
            <anchor moveWithCells="1">
              <from>
                <xdr:col>1</xdr:col>
                <xdr:colOff>177800</xdr:colOff>
                <xdr:row>62</xdr:row>
                <xdr:rowOff>152400</xdr:rowOff>
              </from>
              <to>
                <xdr:col>2</xdr:col>
                <xdr:colOff>469900</xdr:colOff>
                <xdr:row>66</xdr:row>
                <xdr:rowOff>38100</xdr:rowOff>
              </to>
            </anchor>
          </objectPr>
        </oleObject>
      </mc:Choice>
      <mc:Fallback>
        <oleObject progId="Equation.DSMT4" shapeId="27653" r:id="rId12"/>
      </mc:Fallback>
    </mc:AlternateContent>
    <mc:AlternateContent xmlns:mc="http://schemas.openxmlformats.org/markup-compatibility/2006">
      <mc:Choice Requires="x14">
        <oleObject progId="Equation.DSMT4" shapeId="27654" r:id="rId13">
          <objectPr defaultSize="0" autoPict="0" r:id="rId14">
            <anchor moveWithCells="1">
              <from>
                <xdr:col>0</xdr:col>
                <xdr:colOff>495300</xdr:colOff>
                <xdr:row>74</xdr:row>
                <xdr:rowOff>88900</xdr:rowOff>
              </from>
              <to>
                <xdr:col>1</xdr:col>
                <xdr:colOff>901700</xdr:colOff>
                <xdr:row>79</xdr:row>
                <xdr:rowOff>127000</xdr:rowOff>
              </to>
            </anchor>
          </objectPr>
        </oleObject>
      </mc:Choice>
      <mc:Fallback>
        <oleObject progId="Equation.DSMT4" shapeId="27654" r:id="rId13"/>
      </mc:Fallback>
    </mc:AlternateContent>
    <mc:AlternateContent xmlns:mc="http://schemas.openxmlformats.org/markup-compatibility/2006">
      <mc:Choice Requires="x14">
        <oleObject progId="Equation.DSMT4" shapeId="27655" r:id="rId15">
          <objectPr defaultSize="0" autoPict="0" r:id="rId7">
            <anchor moveWithCells="1">
              <from>
                <xdr:col>1</xdr:col>
                <xdr:colOff>177800</xdr:colOff>
                <xdr:row>80</xdr:row>
                <xdr:rowOff>152400</xdr:rowOff>
              </from>
              <to>
                <xdr:col>2</xdr:col>
                <xdr:colOff>469900</xdr:colOff>
                <xdr:row>84</xdr:row>
                <xdr:rowOff>38100</xdr:rowOff>
              </to>
            </anchor>
          </objectPr>
        </oleObject>
      </mc:Choice>
      <mc:Fallback>
        <oleObject progId="Equation.DSMT4" shapeId="27655" r:id="rId15"/>
      </mc:Fallback>
    </mc:AlternateContent>
    <mc:AlternateContent xmlns:mc="http://schemas.openxmlformats.org/markup-compatibility/2006">
      <mc:Choice Requires="x14">
        <oleObject progId="Equation.DSMT4" shapeId="27656" r:id="rId16">
          <objectPr defaultSize="0" autoPict="0" r:id="rId17">
            <anchor moveWithCells="1">
              <from>
                <xdr:col>0</xdr:col>
                <xdr:colOff>495300</xdr:colOff>
                <xdr:row>92</xdr:row>
                <xdr:rowOff>88900</xdr:rowOff>
              </from>
              <to>
                <xdr:col>1</xdr:col>
                <xdr:colOff>901700</xdr:colOff>
                <xdr:row>97</xdr:row>
                <xdr:rowOff>127000</xdr:rowOff>
              </to>
            </anchor>
          </objectPr>
        </oleObject>
      </mc:Choice>
      <mc:Fallback>
        <oleObject progId="Equation.DSMT4" shapeId="27656" r:id="rId16"/>
      </mc:Fallback>
    </mc:AlternateContent>
    <mc:AlternateContent xmlns:mc="http://schemas.openxmlformats.org/markup-compatibility/2006">
      <mc:Choice Requires="x14">
        <oleObject progId="Equation.DSMT4" shapeId="27657" r:id="rId18">
          <objectPr defaultSize="0" autoPict="0" r:id="rId7">
            <anchor moveWithCells="1">
              <from>
                <xdr:col>1</xdr:col>
                <xdr:colOff>177800</xdr:colOff>
                <xdr:row>98</xdr:row>
                <xdr:rowOff>152400</xdr:rowOff>
              </from>
              <to>
                <xdr:col>2</xdr:col>
                <xdr:colOff>469900</xdr:colOff>
                <xdr:row>102</xdr:row>
                <xdr:rowOff>38100</xdr:rowOff>
              </to>
            </anchor>
          </objectPr>
        </oleObject>
      </mc:Choice>
      <mc:Fallback>
        <oleObject progId="Equation.DSMT4" shapeId="27657" r:id="rId18"/>
      </mc:Fallback>
    </mc:AlternateContent>
    <mc:AlternateContent xmlns:mc="http://schemas.openxmlformats.org/markup-compatibility/2006">
      <mc:Choice Requires="x14">
        <oleObject progId="Equation.DSMT4" shapeId="27658" r:id="rId19">
          <objectPr defaultSize="0" autoPict="0" r:id="rId20">
            <anchor moveWithCells="1">
              <from>
                <xdr:col>2</xdr:col>
                <xdr:colOff>25400</xdr:colOff>
                <xdr:row>50</xdr:row>
                <xdr:rowOff>63500</xdr:rowOff>
              </from>
              <to>
                <xdr:col>3</xdr:col>
                <xdr:colOff>469900</xdr:colOff>
                <xdr:row>53</xdr:row>
                <xdr:rowOff>76200</xdr:rowOff>
              </to>
            </anchor>
          </objectPr>
        </oleObject>
      </mc:Choice>
      <mc:Fallback>
        <oleObject progId="Equation.DSMT4" shapeId="27658" r:id="rId19"/>
      </mc:Fallback>
    </mc:AlternateContent>
    <mc:AlternateContent xmlns:mc="http://schemas.openxmlformats.org/markup-compatibility/2006">
      <mc:Choice Requires="x14">
        <oleObject progId="Equation.DSMT4" shapeId="27659" r:id="rId21">
          <objectPr defaultSize="0" autoPict="0" r:id="rId9">
            <anchor moveWithCells="1">
              <from>
                <xdr:col>2</xdr:col>
                <xdr:colOff>330200</xdr:colOff>
                <xdr:row>65</xdr:row>
                <xdr:rowOff>203200</xdr:rowOff>
              </from>
              <to>
                <xdr:col>2</xdr:col>
                <xdr:colOff>546100</xdr:colOff>
                <xdr:row>67</xdr:row>
                <xdr:rowOff>76200</xdr:rowOff>
              </to>
            </anchor>
          </objectPr>
        </oleObject>
      </mc:Choice>
      <mc:Fallback>
        <oleObject progId="Equation.DSMT4" shapeId="27659" r:id="rId21"/>
      </mc:Fallback>
    </mc:AlternateContent>
    <mc:AlternateContent xmlns:mc="http://schemas.openxmlformats.org/markup-compatibility/2006">
      <mc:Choice Requires="x14">
        <oleObject progId="Equation.DSMT4" shapeId="27660" r:id="rId22">
          <objectPr defaultSize="0" autoPict="0" r:id="rId20">
            <anchor moveWithCells="1">
              <from>
                <xdr:col>2</xdr:col>
                <xdr:colOff>12700</xdr:colOff>
                <xdr:row>68</xdr:row>
                <xdr:rowOff>76200</xdr:rowOff>
              </from>
              <to>
                <xdr:col>3</xdr:col>
                <xdr:colOff>457200</xdr:colOff>
                <xdr:row>71</xdr:row>
                <xdr:rowOff>88900</xdr:rowOff>
              </to>
            </anchor>
          </objectPr>
        </oleObject>
      </mc:Choice>
      <mc:Fallback>
        <oleObject progId="Equation.DSMT4" shapeId="27660" r:id="rId22"/>
      </mc:Fallback>
    </mc:AlternateContent>
    <mc:AlternateContent xmlns:mc="http://schemas.openxmlformats.org/markup-compatibility/2006">
      <mc:Choice Requires="x14">
        <oleObject progId="Equation.DSMT4" shapeId="27661" r:id="rId23">
          <objectPr defaultSize="0" autoPict="0" r:id="rId9">
            <anchor moveWithCells="1">
              <from>
                <xdr:col>2</xdr:col>
                <xdr:colOff>330200</xdr:colOff>
                <xdr:row>83</xdr:row>
                <xdr:rowOff>203200</xdr:rowOff>
              </from>
              <to>
                <xdr:col>2</xdr:col>
                <xdr:colOff>546100</xdr:colOff>
                <xdr:row>85</xdr:row>
                <xdr:rowOff>76200</xdr:rowOff>
              </to>
            </anchor>
          </objectPr>
        </oleObject>
      </mc:Choice>
      <mc:Fallback>
        <oleObject progId="Equation.DSMT4" shapeId="27661" r:id="rId23"/>
      </mc:Fallback>
    </mc:AlternateContent>
    <mc:AlternateContent xmlns:mc="http://schemas.openxmlformats.org/markup-compatibility/2006">
      <mc:Choice Requires="x14">
        <oleObject progId="Equation.DSMT4" shapeId="27662" r:id="rId24">
          <objectPr defaultSize="0" autoPict="0" r:id="rId20">
            <anchor moveWithCells="1">
              <from>
                <xdr:col>2</xdr:col>
                <xdr:colOff>12700</xdr:colOff>
                <xdr:row>86</xdr:row>
                <xdr:rowOff>76200</xdr:rowOff>
              </from>
              <to>
                <xdr:col>3</xdr:col>
                <xdr:colOff>457200</xdr:colOff>
                <xdr:row>89</xdr:row>
                <xdr:rowOff>88900</xdr:rowOff>
              </to>
            </anchor>
          </objectPr>
        </oleObject>
      </mc:Choice>
      <mc:Fallback>
        <oleObject progId="Equation.DSMT4" shapeId="27662" r:id="rId24"/>
      </mc:Fallback>
    </mc:AlternateContent>
    <mc:AlternateContent xmlns:mc="http://schemas.openxmlformats.org/markup-compatibility/2006">
      <mc:Choice Requires="x14">
        <oleObject progId="Equation.DSMT4" shapeId="27663" r:id="rId25">
          <objectPr defaultSize="0" autoPict="0" r:id="rId9">
            <anchor moveWithCells="1">
              <from>
                <xdr:col>2</xdr:col>
                <xdr:colOff>330200</xdr:colOff>
                <xdr:row>101</xdr:row>
                <xdr:rowOff>203200</xdr:rowOff>
              </from>
              <to>
                <xdr:col>2</xdr:col>
                <xdr:colOff>546100</xdr:colOff>
                <xdr:row>103</xdr:row>
                <xdr:rowOff>76200</xdr:rowOff>
              </to>
            </anchor>
          </objectPr>
        </oleObject>
      </mc:Choice>
      <mc:Fallback>
        <oleObject progId="Equation.DSMT4" shapeId="27663" r:id="rId25"/>
      </mc:Fallback>
    </mc:AlternateContent>
    <mc:AlternateContent xmlns:mc="http://schemas.openxmlformats.org/markup-compatibility/2006">
      <mc:Choice Requires="x14">
        <oleObject progId="Equation.DSMT4" shapeId="27664" r:id="rId26">
          <objectPr defaultSize="0" autoPict="0" r:id="rId20">
            <anchor moveWithCells="1">
              <from>
                <xdr:col>2</xdr:col>
                <xdr:colOff>12700</xdr:colOff>
                <xdr:row>104</xdr:row>
                <xdr:rowOff>76200</xdr:rowOff>
              </from>
              <to>
                <xdr:col>3</xdr:col>
                <xdr:colOff>457200</xdr:colOff>
                <xdr:row>107</xdr:row>
                <xdr:rowOff>88900</xdr:rowOff>
              </to>
            </anchor>
          </objectPr>
        </oleObject>
      </mc:Choice>
      <mc:Fallback>
        <oleObject progId="Equation.DSMT4" shapeId="27664" r:id="rId26"/>
      </mc:Fallback>
    </mc:AlternateContent>
    <mc:AlternateContent xmlns:mc="http://schemas.openxmlformats.org/markup-compatibility/2006">
      <mc:Choice Requires="x14">
        <oleObject progId="Equation.DSMT4" shapeId="27665" r:id="rId27">
          <objectPr defaultSize="0" autoPict="0" r:id="rId28">
            <anchor moveWithCells="1">
              <from>
                <xdr:col>5</xdr:col>
                <xdr:colOff>101600</xdr:colOff>
                <xdr:row>44</xdr:row>
                <xdr:rowOff>139700</xdr:rowOff>
              </from>
              <to>
                <xdr:col>6</xdr:col>
                <xdr:colOff>546100</xdr:colOff>
                <xdr:row>47</xdr:row>
                <xdr:rowOff>139700</xdr:rowOff>
              </to>
            </anchor>
          </objectPr>
        </oleObject>
      </mc:Choice>
      <mc:Fallback>
        <oleObject progId="Equation.DSMT4" shapeId="27665" r:id="rId27"/>
      </mc:Fallback>
    </mc:AlternateContent>
    <mc:AlternateContent xmlns:mc="http://schemas.openxmlformats.org/markup-compatibility/2006">
      <mc:Choice Requires="x14">
        <oleObject progId="Equation.DSMT4" shapeId="27666" r:id="rId29">
          <objectPr defaultSize="0" autoPict="0" r:id="rId28">
            <anchor moveWithCells="1">
              <from>
                <xdr:col>5</xdr:col>
                <xdr:colOff>101600</xdr:colOff>
                <xdr:row>62</xdr:row>
                <xdr:rowOff>139700</xdr:rowOff>
              </from>
              <to>
                <xdr:col>6</xdr:col>
                <xdr:colOff>546100</xdr:colOff>
                <xdr:row>65</xdr:row>
                <xdr:rowOff>139700</xdr:rowOff>
              </to>
            </anchor>
          </objectPr>
        </oleObject>
      </mc:Choice>
      <mc:Fallback>
        <oleObject progId="Equation.DSMT4" shapeId="27666" r:id="rId29"/>
      </mc:Fallback>
    </mc:AlternateContent>
    <mc:AlternateContent xmlns:mc="http://schemas.openxmlformats.org/markup-compatibility/2006">
      <mc:Choice Requires="x14">
        <oleObject progId="Equation.DSMT4" shapeId="27667" r:id="rId30">
          <objectPr defaultSize="0" autoPict="0" r:id="rId28">
            <anchor moveWithCells="1">
              <from>
                <xdr:col>5</xdr:col>
                <xdr:colOff>101600</xdr:colOff>
                <xdr:row>80</xdr:row>
                <xdr:rowOff>139700</xdr:rowOff>
              </from>
              <to>
                <xdr:col>6</xdr:col>
                <xdr:colOff>546100</xdr:colOff>
                <xdr:row>83</xdr:row>
                <xdr:rowOff>139700</xdr:rowOff>
              </to>
            </anchor>
          </objectPr>
        </oleObject>
      </mc:Choice>
      <mc:Fallback>
        <oleObject progId="Equation.DSMT4" shapeId="27667" r:id="rId30"/>
      </mc:Fallback>
    </mc:AlternateContent>
    <mc:AlternateContent xmlns:mc="http://schemas.openxmlformats.org/markup-compatibility/2006">
      <mc:Choice Requires="x14">
        <oleObject progId="Equation.DSMT4" shapeId="27668" r:id="rId31">
          <objectPr defaultSize="0" autoPict="0" r:id="rId28">
            <anchor moveWithCells="1">
              <from>
                <xdr:col>5</xdr:col>
                <xdr:colOff>101600</xdr:colOff>
                <xdr:row>98</xdr:row>
                <xdr:rowOff>139700</xdr:rowOff>
              </from>
              <to>
                <xdr:col>6</xdr:col>
                <xdr:colOff>546100</xdr:colOff>
                <xdr:row>101</xdr:row>
                <xdr:rowOff>139700</xdr:rowOff>
              </to>
            </anchor>
          </objectPr>
        </oleObject>
      </mc:Choice>
      <mc:Fallback>
        <oleObject progId="Equation.DSMT4" shapeId="27668" r:id="rId31"/>
      </mc:Fallback>
    </mc:AlternateContent>
  </oleObjec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2E49D-02AD-4DBC-BA09-51057EF34140}">
  <sheetPr codeName="Sheet17"/>
  <dimension ref="A1:AH68"/>
  <sheetViews>
    <sheetView topLeftCell="B1" workbookViewId="0">
      <selection activeCell="AJ39" sqref="AJ39"/>
    </sheetView>
  </sheetViews>
  <sheetFormatPr defaultColWidth="8.83203125" defaultRowHeight="14"/>
  <cols>
    <col min="2" max="2" width="7.08203125" customWidth="1"/>
    <col min="3" max="3" width="6.83203125" customWidth="1"/>
    <col min="4" max="4" width="7.83203125" customWidth="1"/>
    <col min="5" max="5" width="8.4140625" customWidth="1"/>
    <col min="6" max="6" width="4.83203125" customWidth="1"/>
    <col min="7" max="7" width="8.4140625" hidden="1" customWidth="1"/>
    <col min="8" max="8" width="9.08203125" hidden="1" customWidth="1"/>
    <col min="9" max="9" width="7.4140625" customWidth="1"/>
    <col min="10" max="10" width="7" customWidth="1"/>
    <col min="11" max="11" width="7.08203125" customWidth="1"/>
    <col min="12" max="12" width="5.6640625" customWidth="1"/>
    <col min="13" max="13" width="7" customWidth="1"/>
    <col min="14" max="14" width="6" customWidth="1"/>
    <col min="15" max="15" width="6.33203125" customWidth="1"/>
    <col min="16" max="16" width="9.08203125" customWidth="1"/>
    <col min="17" max="17" width="8.4140625" hidden="1" customWidth="1"/>
    <col min="18" max="18" width="9.08203125" hidden="1" customWidth="1"/>
    <col min="19" max="26" width="0" hidden="1" customWidth="1"/>
    <col min="27" max="27" width="13.33203125" style="23" hidden="1" customWidth="1"/>
    <col min="28" max="28" width="10.4140625" style="6" hidden="1" customWidth="1"/>
    <col min="29" max="29" width="8.83203125" style="6"/>
  </cols>
  <sheetData>
    <row r="1" spans="1:29">
      <c r="A1" s="181"/>
      <c r="B1" s="181"/>
      <c r="C1" s="181"/>
      <c r="D1" s="181"/>
      <c r="E1" s="181"/>
      <c r="F1" s="181"/>
      <c r="G1" s="181"/>
      <c r="H1" s="181"/>
      <c r="I1" s="191"/>
      <c r="J1" s="181"/>
      <c r="K1" s="181"/>
      <c r="L1" s="181"/>
      <c r="M1" s="181"/>
      <c r="N1" s="181"/>
      <c r="O1" s="192"/>
      <c r="P1" s="181"/>
      <c r="Q1" s="193"/>
      <c r="R1" s="181"/>
    </row>
    <row r="2" spans="1:29">
      <c r="A2" s="181"/>
      <c r="B2" s="181"/>
      <c r="C2" s="181"/>
      <c r="D2" s="181"/>
      <c r="E2" s="181"/>
      <c r="F2" s="181"/>
      <c r="G2" s="181"/>
      <c r="H2" s="181"/>
      <c r="I2" s="191"/>
      <c r="J2" s="181"/>
      <c r="K2" s="181"/>
      <c r="L2" s="181"/>
      <c r="M2" s="181"/>
      <c r="N2" s="181"/>
      <c r="O2" s="192"/>
      <c r="P2" s="181"/>
      <c r="Q2" s="193"/>
      <c r="R2" s="181"/>
    </row>
    <row r="3" spans="1:29" ht="17.5">
      <c r="A3" s="174"/>
      <c r="B3" s="213"/>
      <c r="C3" s="213"/>
      <c r="D3" s="214" t="s">
        <v>230</v>
      </c>
      <c r="E3" s="213"/>
      <c r="F3" s="213"/>
      <c r="G3" s="213"/>
      <c r="H3" s="213"/>
      <c r="I3" s="215"/>
      <c r="J3" s="213"/>
      <c r="K3" s="213"/>
      <c r="L3" s="213"/>
      <c r="M3" s="216"/>
      <c r="N3" s="213"/>
      <c r="O3" s="216"/>
      <c r="P3" s="216"/>
      <c r="Q3" s="173"/>
      <c r="R3" s="174"/>
    </row>
    <row r="4" spans="1:29" ht="17.5">
      <c r="A4" s="174"/>
      <c r="B4" s="217" t="s">
        <v>231</v>
      </c>
      <c r="C4" s="218" t="s">
        <v>232</v>
      </c>
      <c r="D4" s="219"/>
      <c r="E4" s="220"/>
      <c r="F4" s="221"/>
      <c r="G4" s="221"/>
      <c r="H4" s="221"/>
      <c r="I4" s="222"/>
      <c r="J4" s="221"/>
      <c r="K4" s="223"/>
      <c r="L4" s="221"/>
      <c r="M4" s="223"/>
      <c r="N4" s="221"/>
      <c r="O4" s="216"/>
      <c r="P4" s="216"/>
      <c r="Q4" s="185"/>
      <c r="R4" s="175"/>
    </row>
    <row r="5" spans="1:29" ht="17.5">
      <c r="A5" s="174"/>
      <c r="B5" s="221"/>
      <c r="C5" s="218" t="s">
        <v>233</v>
      </c>
      <c r="D5" s="218"/>
      <c r="E5" s="220"/>
      <c r="F5" s="221"/>
      <c r="G5" s="221"/>
      <c r="H5" s="221"/>
      <c r="I5" s="222"/>
      <c r="J5" s="221"/>
      <c r="K5" s="221"/>
      <c r="L5" s="221"/>
      <c r="M5" s="223"/>
      <c r="N5" s="221"/>
      <c r="O5" s="216"/>
      <c r="P5" s="216"/>
      <c r="Q5" s="185"/>
      <c r="R5" s="175"/>
    </row>
    <row r="6" spans="1:29" ht="17.5">
      <c r="A6" s="174"/>
      <c r="B6" s="223"/>
      <c r="C6" s="224" t="s">
        <v>234</v>
      </c>
      <c r="D6" s="218"/>
      <c r="E6" s="220"/>
      <c r="F6" s="225">
        <f>TH!C21</f>
        <v>15</v>
      </c>
      <c r="G6" s="226" t="s">
        <v>235</v>
      </c>
      <c r="H6" s="227">
        <f>IF(F6=12.5,7.5,IF(F6=15,8.5,IF(F6=20,11.5,IF(F6=25,14.5,"!!!"))))</f>
        <v>8.5</v>
      </c>
      <c r="I6" s="228" t="s">
        <v>236</v>
      </c>
      <c r="J6" s="223"/>
      <c r="K6" s="223"/>
      <c r="L6" s="223"/>
      <c r="M6" s="223"/>
      <c r="N6" s="221"/>
      <c r="O6" s="216"/>
      <c r="P6" s="216"/>
      <c r="Q6" s="185"/>
      <c r="R6" s="175"/>
    </row>
    <row r="7" spans="1:29" ht="15.5">
      <c r="A7" s="174"/>
      <c r="B7" s="223"/>
      <c r="C7" s="218" t="s">
        <v>237</v>
      </c>
      <c r="D7" s="218"/>
      <c r="E7" s="223"/>
      <c r="F7" s="229"/>
      <c r="G7" s="226"/>
      <c r="H7" s="228"/>
      <c r="I7" s="228"/>
      <c r="J7" s="223"/>
      <c r="K7" s="223"/>
      <c r="L7" s="223"/>
      <c r="M7" s="223"/>
      <c r="N7" s="223"/>
      <c r="O7" s="216"/>
      <c r="P7" s="216"/>
      <c r="Q7" s="185"/>
      <c r="R7" s="176"/>
    </row>
    <row r="8" spans="1:29" ht="51" customHeight="1">
      <c r="A8" s="174"/>
      <c r="B8" s="1083" t="s">
        <v>995</v>
      </c>
      <c r="C8" s="1083" t="s">
        <v>238</v>
      </c>
      <c r="D8" s="1083" t="s">
        <v>989</v>
      </c>
      <c r="E8" s="1083" t="s">
        <v>990</v>
      </c>
      <c r="F8" s="1083" t="s">
        <v>991</v>
      </c>
      <c r="G8" s="606" t="s">
        <v>986</v>
      </c>
      <c r="H8" s="606" t="s">
        <v>987</v>
      </c>
      <c r="I8" s="1086" t="s">
        <v>988</v>
      </c>
      <c r="J8" s="1086" t="s">
        <v>245</v>
      </c>
      <c r="K8" s="1083" t="s">
        <v>992</v>
      </c>
      <c r="L8" s="607" t="s">
        <v>248</v>
      </c>
      <c r="M8" s="607" t="s">
        <v>253</v>
      </c>
      <c r="N8" s="1083" t="s">
        <v>994</v>
      </c>
      <c r="O8" s="1084" t="s">
        <v>247</v>
      </c>
      <c r="P8" s="1085" t="s">
        <v>993</v>
      </c>
      <c r="Q8" s="186" t="s">
        <v>249</v>
      </c>
      <c r="R8" s="187" t="s">
        <v>247</v>
      </c>
    </row>
    <row r="9" spans="1:29" ht="31">
      <c r="A9" s="174"/>
      <c r="B9" s="1083"/>
      <c r="C9" s="1083"/>
      <c r="D9" s="1083"/>
      <c r="E9" s="1083"/>
      <c r="F9" s="1083"/>
      <c r="G9" s="605" t="s">
        <v>904</v>
      </c>
      <c r="H9" s="605" t="s">
        <v>904</v>
      </c>
      <c r="I9" s="1087"/>
      <c r="J9" s="1087"/>
      <c r="K9" s="1083"/>
      <c r="L9" s="604" t="s">
        <v>250</v>
      </c>
      <c r="M9" s="605" t="s">
        <v>251</v>
      </c>
      <c r="N9" s="1083"/>
      <c r="O9" s="1084"/>
      <c r="P9" s="1085"/>
      <c r="Q9" s="188" t="s">
        <v>252</v>
      </c>
      <c r="R9" s="180"/>
      <c r="S9" t="s">
        <v>310</v>
      </c>
    </row>
    <row r="10" spans="1:29" ht="15">
      <c r="A10" s="174"/>
      <c r="B10" s="535">
        <v>1</v>
      </c>
      <c r="C10" s="535">
        <v>2</v>
      </c>
      <c r="D10" s="535">
        <v>3</v>
      </c>
      <c r="E10" s="535">
        <v>4</v>
      </c>
      <c r="F10" s="535">
        <v>5</v>
      </c>
      <c r="G10" s="535">
        <v>6</v>
      </c>
      <c r="H10" s="535">
        <v>7</v>
      </c>
      <c r="I10" s="535">
        <v>8</v>
      </c>
      <c r="J10" s="535">
        <v>9</v>
      </c>
      <c r="K10" s="535">
        <v>10</v>
      </c>
      <c r="L10" s="535">
        <v>11</v>
      </c>
      <c r="M10" s="535">
        <v>12</v>
      </c>
      <c r="N10" s="535">
        <v>13</v>
      </c>
      <c r="O10" s="535">
        <v>14</v>
      </c>
      <c r="P10" s="536">
        <v>15</v>
      </c>
      <c r="Q10" s="179">
        <v>12</v>
      </c>
      <c r="R10" s="179">
        <v>13</v>
      </c>
      <c r="V10" t="s">
        <v>949</v>
      </c>
      <c r="W10" t="s">
        <v>950</v>
      </c>
      <c r="Z10" t="s">
        <v>951</v>
      </c>
      <c r="AA10" s="23" t="s">
        <v>952</v>
      </c>
      <c r="AB10" s="6" t="s">
        <v>953</v>
      </c>
    </row>
    <row r="11" spans="1:29" s="201" customFormat="1" ht="15.5">
      <c r="A11" s="200"/>
      <c r="B11" s="202" t="s">
        <v>199</v>
      </c>
      <c r="C11" s="203" t="s">
        <v>444</v>
      </c>
      <c r="D11" s="504">
        <f t="array" ref="D11">VLOOKUP(B11&amp;C11,CHOOSE({1,2},(momensan!$C$12:$C$47)&amp;(momensan!$D$12:$D$47),momensan!$L$12:$L$47),2,0)</f>
        <v>0.13899335999999998</v>
      </c>
      <c r="E11" s="500">
        <f>TH!$I$45/10/100</f>
        <v>0.08</v>
      </c>
      <c r="F11" s="205">
        <v>1</v>
      </c>
      <c r="G11" s="447">
        <f>$H$6*100</f>
        <v>850</v>
      </c>
      <c r="H11" s="204">
        <f t="shared" ref="H11:H46" si="0">Rs_2</f>
        <v>28000</v>
      </c>
      <c r="I11" s="207">
        <f>+D11/(G11*10*F11*E11*E11)*10</f>
        <v>2.5550249999999997E-2</v>
      </c>
      <c r="J11" s="208">
        <f t="shared" ref="J11:J21" si="1">0.5*(1+SQRT(1-2*I11))</f>
        <v>0.98705736315140546</v>
      </c>
      <c r="K11" s="209">
        <f>+D11/(H11*10*J11*E11)*100000</f>
        <v>0.62864236121745176</v>
      </c>
      <c r="L11" s="206">
        <v>10</v>
      </c>
      <c r="M11" s="206">
        <v>200</v>
      </c>
      <c r="N11" s="209">
        <f t="shared" ref="N11:N46" si="2">IF(L11=6,0.283*1000/M11,IF(L11=8,0.503*1000/M11,IF(L11=10,0.785*1000/M11,IF(L11=12,1.131*1000/M11,1.539*1000/M11))))</f>
        <v>3.9249999999999998</v>
      </c>
      <c r="O11" s="210">
        <f>N11/E11/100</f>
        <v>0.49062499999999998</v>
      </c>
      <c r="P11" s="537" t="str">
        <f t="shared" ref="P11:P46" si="3">"Ø"&amp;L11&amp;"a"&amp;M11</f>
        <v>Ø10a200</v>
      </c>
      <c r="Q11" s="189">
        <f>VLOOKUP(P11,'tra thep'!$E$11:$F$62,2,)</f>
        <v>3.93</v>
      </c>
      <c r="R11" s="182">
        <f t="shared" ref="R11:R46" si="4">M11/E11</f>
        <v>2500</v>
      </c>
      <c r="S11" s="208">
        <f>I11/J11</f>
        <v>2.5885273697189192E-2</v>
      </c>
      <c r="U11" s="575" t="s">
        <v>945</v>
      </c>
      <c r="V11" s="201">
        <v>12</v>
      </c>
      <c r="W11" s="201">
        <f>1550+100</f>
        <v>1650</v>
      </c>
      <c r="X11" s="201">
        <v>2</v>
      </c>
      <c r="Y11" s="201">
        <v>8000</v>
      </c>
      <c r="Z11" s="201">
        <f>ROUNDUP(Y11/150+1,0)</f>
        <v>55</v>
      </c>
      <c r="AA11" s="578">
        <f>Z11*W11/1000</f>
        <v>90.75</v>
      </c>
      <c r="AB11" s="577">
        <f>ROUND(AA11*(V11/1000)^2*PI()*7850,2)</f>
        <v>322.27999999999997</v>
      </c>
      <c r="AC11" s="577">
        <f>K11/N11*100</f>
        <v>16.016365890890491</v>
      </c>
    </row>
    <row r="12" spans="1:29" s="201" customFormat="1" ht="15.5">
      <c r="A12" s="200"/>
      <c r="B12" s="211" t="str">
        <f>B11</f>
        <v>S1A</v>
      </c>
      <c r="C12" s="203" t="s">
        <v>445</v>
      </c>
      <c r="D12" s="504">
        <f t="array" ref="D12">VLOOKUP(B12&amp;C12,CHOOSE({1,2},(momensan!$C$12:$C$47)&amp;(momensan!$D$12:$D$47),momensan!$L$12:$L$47),2,0)</f>
        <v>4.1884479999999995E-2</v>
      </c>
      <c r="E12" s="500">
        <f>(TH!$I$45/10-(L12+L11)/2/10)/100</f>
        <v>7.0000000000000007E-2</v>
      </c>
      <c r="F12" s="205">
        <v>1</v>
      </c>
      <c r="G12" s="447">
        <f t="shared" ref="G12:G46" si="5">$H$6*100</f>
        <v>850</v>
      </c>
      <c r="H12" s="204">
        <f t="shared" si="0"/>
        <v>28000</v>
      </c>
      <c r="I12" s="207">
        <f t="shared" ref="I12:I46" si="6">+D12/(G12*10*F12*E12*E12)*10</f>
        <v>1.0056297719087634E-2</v>
      </c>
      <c r="J12" s="208">
        <f t="shared" si="1"/>
        <v>0.99494631137170442</v>
      </c>
      <c r="K12" s="209">
        <f t="shared" ref="K12:K46" si="7">+D12/(H12*10*J12*E12)*100000</f>
        <v>0.21478176670256216</v>
      </c>
      <c r="L12" s="206">
        <v>10</v>
      </c>
      <c r="M12" s="206">
        <v>200</v>
      </c>
      <c r="N12" s="209">
        <f t="shared" si="2"/>
        <v>3.9249999999999998</v>
      </c>
      <c r="O12" s="210">
        <f t="shared" ref="O12:O46" si="8">N12/E12/100</f>
        <v>0.56071428571428561</v>
      </c>
      <c r="P12" s="537" t="str">
        <f t="shared" si="3"/>
        <v>Ø10a200</v>
      </c>
      <c r="Q12" s="189">
        <f>VLOOKUP(P12,'tra thep'!$E$11:$F$62,2,)</f>
        <v>3.93</v>
      </c>
      <c r="R12" s="182">
        <f t="shared" si="4"/>
        <v>2857.1428571428569</v>
      </c>
      <c r="S12" s="208">
        <f t="shared" ref="S12:S46" si="9">I12/J12</f>
        <v>1.0107377256591162E-2</v>
      </c>
      <c r="U12" s="575" t="s">
        <v>946</v>
      </c>
      <c r="V12" s="201">
        <v>12</v>
      </c>
      <c r="W12" s="201">
        <f>1550+800+100</f>
        <v>2450</v>
      </c>
      <c r="X12" s="201">
        <v>2</v>
      </c>
      <c r="Y12" s="201">
        <v>8000</v>
      </c>
      <c r="Z12" s="201">
        <f t="shared" ref="Z12:Z28" si="10">ROUNDUP(Y12/150+1,0)</f>
        <v>55</v>
      </c>
      <c r="AA12" s="578">
        <f t="shared" ref="AA12:AA28" si="11">Z12*W12/1000</f>
        <v>134.75</v>
      </c>
      <c r="AB12" s="577">
        <f t="shared" ref="AB12:AB28" si="12">ROUND(AA12*(V12/1000)^2*PI()*7850,2)</f>
        <v>478.53</v>
      </c>
      <c r="AC12" s="577">
        <f t="shared" ref="AC12:AC46" si="13">K12/N12*100</f>
        <v>5.4721469223582719</v>
      </c>
    </row>
    <row r="13" spans="1:29" s="201" customFormat="1" ht="15.5">
      <c r="A13" s="200"/>
      <c r="B13" s="211" t="str">
        <f>B11</f>
        <v>S1A</v>
      </c>
      <c r="C13" s="203" t="s">
        <v>446</v>
      </c>
      <c r="D13" s="504">
        <f t="array" ref="D13">VLOOKUP(B13&amp;C13,CHOOSE({1,2},(momensan!$C$12:$C$47)&amp;(momensan!$D$12:$D$47),momensan!$L$12:$L$47),2,0)</f>
        <v>0.30108055999999994</v>
      </c>
      <c r="E13" s="500">
        <f>TH!$I$45/10/100</f>
        <v>0.08</v>
      </c>
      <c r="F13" s="205">
        <v>1</v>
      </c>
      <c r="G13" s="447">
        <f t="shared" si="5"/>
        <v>850</v>
      </c>
      <c r="H13" s="204">
        <f t="shared" si="0"/>
        <v>28000</v>
      </c>
      <c r="I13" s="207">
        <f t="shared" si="6"/>
        <v>5.5345691176470577E-2</v>
      </c>
      <c r="J13" s="208">
        <f t="shared" si="1"/>
        <v>0.97151580504980395</v>
      </c>
      <c r="K13" s="209">
        <f t="shared" si="7"/>
        <v>1.3835180404380945</v>
      </c>
      <c r="L13" s="206">
        <v>10</v>
      </c>
      <c r="M13" s="206">
        <v>200</v>
      </c>
      <c r="N13" s="209">
        <f t="shared" si="2"/>
        <v>3.9249999999999998</v>
      </c>
      <c r="O13" s="210">
        <f t="shared" si="8"/>
        <v>0.49062499999999998</v>
      </c>
      <c r="P13" s="537" t="str">
        <f t="shared" si="3"/>
        <v>Ø10a200</v>
      </c>
      <c r="Q13" s="189">
        <f>VLOOKUP(P13,'tra thep'!$E$11:$F$62,2,)</f>
        <v>3.93</v>
      </c>
      <c r="R13" s="182">
        <f t="shared" si="4"/>
        <v>2500</v>
      </c>
      <c r="S13" s="208">
        <f t="shared" si="9"/>
        <v>5.6968389900392123E-2</v>
      </c>
      <c r="U13" s="575" t="s">
        <v>947</v>
      </c>
      <c r="V13" s="201">
        <v>12</v>
      </c>
      <c r="W13" s="201">
        <f>1062+100</f>
        <v>1162</v>
      </c>
      <c r="X13" s="201">
        <v>2</v>
      </c>
      <c r="Y13" s="201">
        <v>12000</v>
      </c>
      <c r="Z13" s="201">
        <f t="shared" si="10"/>
        <v>81</v>
      </c>
      <c r="AA13" s="578">
        <f t="shared" si="11"/>
        <v>94.122</v>
      </c>
      <c r="AB13" s="577">
        <f t="shared" si="12"/>
        <v>334.25</v>
      </c>
      <c r="AC13" s="577">
        <f t="shared" si="13"/>
        <v>35.248867272308146</v>
      </c>
    </row>
    <row r="14" spans="1:29" s="201" customFormat="1" ht="15.5">
      <c r="A14" s="200"/>
      <c r="B14" s="212" t="str">
        <f>B11</f>
        <v>S1A</v>
      </c>
      <c r="C14" s="203" t="s">
        <v>447</v>
      </c>
      <c r="D14" s="504">
        <f t="array" ref="D14">VLOOKUP(B14&amp;C14,CHOOSE({1,2},(momensan!$C$12:$C$47)&amp;(momensan!$D$12:$D$47),momensan!$L$12:$L$47),2,0)</f>
        <v>9.1371279999999999E-2</v>
      </c>
      <c r="E14" s="500">
        <f>TH!$I$45/10/100</f>
        <v>0.08</v>
      </c>
      <c r="F14" s="205">
        <v>1</v>
      </c>
      <c r="G14" s="447">
        <f t="shared" si="5"/>
        <v>850</v>
      </c>
      <c r="H14" s="204">
        <f t="shared" si="0"/>
        <v>28000</v>
      </c>
      <c r="I14" s="207">
        <f t="shared" si="6"/>
        <v>1.6796191176470587E-2</v>
      </c>
      <c r="J14" s="208">
        <f t="shared" si="1"/>
        <v>0.99153016632935631</v>
      </c>
      <c r="K14" s="209">
        <f t="shared" si="7"/>
        <v>0.41139192114554934</v>
      </c>
      <c r="L14" s="206">
        <v>10</v>
      </c>
      <c r="M14" s="206">
        <v>200</v>
      </c>
      <c r="N14" s="209">
        <f t="shared" si="2"/>
        <v>3.9249999999999998</v>
      </c>
      <c r="O14" s="210">
        <f t="shared" si="8"/>
        <v>0.49062499999999998</v>
      </c>
      <c r="P14" s="537" t="str">
        <f t="shared" si="3"/>
        <v>Ø10a200</v>
      </c>
      <c r="Q14" s="189">
        <f>VLOOKUP(P14,'tra thep'!$E$11:$F$62,2,)</f>
        <v>3.93</v>
      </c>
      <c r="R14" s="182">
        <f t="shared" si="4"/>
        <v>2500</v>
      </c>
      <c r="S14" s="208">
        <f t="shared" si="9"/>
        <v>1.6939667341287327E-2</v>
      </c>
      <c r="U14" s="575" t="s">
        <v>948</v>
      </c>
      <c r="V14" s="201">
        <v>12</v>
      </c>
      <c r="W14" s="201">
        <f>3050+1050+100</f>
        <v>4200</v>
      </c>
      <c r="X14" s="201">
        <v>2</v>
      </c>
      <c r="Y14" s="201">
        <v>12000</v>
      </c>
      <c r="Z14" s="201">
        <f>ROUNDUP(Y14/150+1,0)</f>
        <v>81</v>
      </c>
      <c r="AA14" s="578">
        <f>Z14*W14/1000</f>
        <v>340.2</v>
      </c>
      <c r="AB14" s="577">
        <f>ROUND(AA14*(V14/1000)^2*PI()*7850,2)</f>
        <v>1208.1400000000001</v>
      </c>
      <c r="AC14" s="577">
        <f t="shared" si="13"/>
        <v>10.481322831733742</v>
      </c>
    </row>
    <row r="15" spans="1:29" ht="15.5">
      <c r="A15" s="174"/>
      <c r="B15" s="202" t="s">
        <v>202</v>
      </c>
      <c r="C15" s="203" t="s">
        <v>444</v>
      </c>
      <c r="D15" s="504">
        <f t="array" ref="D15">VLOOKUP(B15&amp;C15,CHOOSE({1,2},(momensan!$C$12:$C$47)&amp;(momensan!$D$12:$D$47),momensan!$L$12:$L$47),2,0)</f>
        <v>0.65894399999999986</v>
      </c>
      <c r="E15" s="500">
        <f>TH!$I$45/10/100</f>
        <v>0.08</v>
      </c>
      <c r="F15" s="205">
        <v>1</v>
      </c>
      <c r="G15" s="447">
        <f t="shared" si="5"/>
        <v>850</v>
      </c>
      <c r="H15" s="204">
        <f t="shared" si="0"/>
        <v>28000</v>
      </c>
      <c r="I15" s="207">
        <f t="shared" si="6"/>
        <v>0.12112941176470587</v>
      </c>
      <c r="J15" s="208">
        <f t="shared" si="1"/>
        <v>0.93524165025609285</v>
      </c>
      <c r="K15" s="209">
        <f t="shared" si="7"/>
        <v>3.1454055589897751</v>
      </c>
      <c r="L15" s="206">
        <v>10</v>
      </c>
      <c r="M15" s="206">
        <v>200</v>
      </c>
      <c r="N15" s="209">
        <f t="shared" si="2"/>
        <v>3.9249999999999998</v>
      </c>
      <c r="O15" s="210">
        <f t="shared" si="8"/>
        <v>0.49062499999999998</v>
      </c>
      <c r="P15" s="537" t="str">
        <f t="shared" si="3"/>
        <v>Ø10a200</v>
      </c>
      <c r="Q15" s="189">
        <f>VLOOKUP(P15,'tra thep'!$E$11:$F$62,2,)</f>
        <v>3.93</v>
      </c>
      <c r="R15" s="182">
        <f t="shared" si="4"/>
        <v>2500</v>
      </c>
      <c r="S15" s="208">
        <f t="shared" si="9"/>
        <v>0.12951669948781427</v>
      </c>
      <c r="U15" s="385">
        <v>1</v>
      </c>
      <c r="V15" s="201">
        <v>10</v>
      </c>
      <c r="W15" s="201">
        <f>1550+100</f>
        <v>1650</v>
      </c>
      <c r="X15">
        <f>3*2</f>
        <v>6</v>
      </c>
      <c r="Y15">
        <v>28000</v>
      </c>
      <c r="Z15" s="201">
        <f t="shared" si="10"/>
        <v>188</v>
      </c>
      <c r="AA15" s="578">
        <f t="shared" si="11"/>
        <v>310.2</v>
      </c>
      <c r="AB15" s="577">
        <f t="shared" si="12"/>
        <v>765</v>
      </c>
      <c r="AC15" s="577">
        <f t="shared" si="13"/>
        <v>80.137721248147145</v>
      </c>
    </row>
    <row r="16" spans="1:29" ht="15.5">
      <c r="A16" s="174"/>
      <c r="B16" s="211" t="str">
        <f>B15</f>
        <v>S1B</v>
      </c>
      <c r="C16" s="203" t="s">
        <v>445</v>
      </c>
      <c r="D16" s="504">
        <f t="array" ref="D16">VLOOKUP(B16&amp;C16,CHOOSE({1,2},(momensan!$C$12:$C$47)&amp;(momensan!$D$12:$D$47),momensan!$L$12:$L$47),2,0)</f>
        <v>0.29462399999999994</v>
      </c>
      <c r="E16" s="500">
        <f>(TH!$I$45/10-(L16+L15)/2/10)/100</f>
        <v>7.0000000000000007E-2</v>
      </c>
      <c r="F16" s="205">
        <v>1</v>
      </c>
      <c r="G16" s="447">
        <f t="shared" si="5"/>
        <v>850</v>
      </c>
      <c r="H16" s="204">
        <f t="shared" si="0"/>
        <v>28000</v>
      </c>
      <c r="I16" s="207">
        <f t="shared" si="6"/>
        <v>7.0738055222088814E-2</v>
      </c>
      <c r="J16" s="208">
        <f t="shared" si="1"/>
        <v>0.96328282116754083</v>
      </c>
      <c r="K16" s="209">
        <f t="shared" si="7"/>
        <v>1.5604801003795157</v>
      </c>
      <c r="L16" s="206">
        <v>10</v>
      </c>
      <c r="M16" s="206">
        <v>200</v>
      </c>
      <c r="N16" s="209">
        <f t="shared" si="2"/>
        <v>3.9249999999999998</v>
      </c>
      <c r="O16" s="210">
        <f t="shared" si="8"/>
        <v>0.56071428571428561</v>
      </c>
      <c r="P16" s="537" t="str">
        <f t="shared" si="3"/>
        <v>Ø10a200</v>
      </c>
      <c r="Q16" s="189">
        <f>VLOOKUP(P16,'tra thep'!$E$11:$F$62,2,)</f>
        <v>3.93</v>
      </c>
      <c r="R16" s="182">
        <f t="shared" si="4"/>
        <v>2857.1428571428569</v>
      </c>
      <c r="S16" s="208">
        <f t="shared" si="9"/>
        <v>7.343435766491839E-2</v>
      </c>
      <c r="U16" s="385">
        <v>2</v>
      </c>
      <c r="V16" s="201">
        <v>10</v>
      </c>
      <c r="W16" s="201">
        <f>1550+800+100</f>
        <v>2450</v>
      </c>
      <c r="X16">
        <f>6*2</f>
        <v>12</v>
      </c>
      <c r="Y16">
        <f>4000*6</f>
        <v>24000</v>
      </c>
      <c r="Z16" s="201">
        <f t="shared" si="10"/>
        <v>161</v>
      </c>
      <c r="AA16" s="578">
        <f t="shared" si="11"/>
        <v>394.45</v>
      </c>
      <c r="AB16" s="577">
        <f t="shared" si="12"/>
        <v>972.77</v>
      </c>
      <c r="AC16" s="577">
        <f t="shared" si="13"/>
        <v>39.757454786739252</v>
      </c>
    </row>
    <row r="17" spans="1:34" ht="15.5">
      <c r="A17" s="174"/>
      <c r="B17" s="211" t="str">
        <f>B15</f>
        <v>S1B</v>
      </c>
      <c r="C17" s="203" t="s">
        <v>446</v>
      </c>
      <c r="D17" s="504">
        <f t="array" ref="D17">VLOOKUP(B17&amp;C17,CHOOSE({1,2},(momensan!$C$12:$C$47)&amp;(momensan!$D$12:$D$47),momensan!$L$12:$L$47),2,0)</f>
        <v>1.4699519999999997</v>
      </c>
      <c r="E17" s="500">
        <f>TH!$I$45/10/100</f>
        <v>0.08</v>
      </c>
      <c r="F17" s="205">
        <v>1</v>
      </c>
      <c r="G17" s="447">
        <f t="shared" si="5"/>
        <v>850</v>
      </c>
      <c r="H17" s="204">
        <f t="shared" si="0"/>
        <v>28000</v>
      </c>
      <c r="I17" s="207">
        <f t="shared" si="6"/>
        <v>0.27021176470588226</v>
      </c>
      <c r="J17" s="208">
        <f t="shared" si="1"/>
        <v>0.8389603481929101</v>
      </c>
      <c r="K17" s="209">
        <f t="shared" si="7"/>
        <v>7.8219259449157965</v>
      </c>
      <c r="L17" s="206">
        <v>14</v>
      </c>
      <c r="M17" s="206">
        <v>180</v>
      </c>
      <c r="N17" s="209">
        <f t="shared" si="2"/>
        <v>8.5500000000000007</v>
      </c>
      <c r="O17" s="210">
        <f t="shared" si="8"/>
        <v>1.0687500000000001</v>
      </c>
      <c r="P17" s="537" t="str">
        <f t="shared" si="3"/>
        <v>Ø14a180</v>
      </c>
      <c r="Q17" s="189" t="e">
        <f>VLOOKUP(P17,'tra thep'!$E$11:$F$62,2,)</f>
        <v>#N/A</v>
      </c>
      <c r="R17" s="182">
        <f t="shared" si="4"/>
        <v>2250</v>
      </c>
      <c r="S17" s="208">
        <f t="shared" si="9"/>
        <v>0.32207930361417975</v>
      </c>
      <c r="U17" s="385">
        <v>3</v>
      </c>
      <c r="V17" s="201">
        <v>10</v>
      </c>
      <c r="W17" s="201">
        <f>1062+100</f>
        <v>1162</v>
      </c>
      <c r="X17">
        <f>5*2</f>
        <v>10</v>
      </c>
      <c r="Y17">
        <f>17000+6000*2</f>
        <v>29000</v>
      </c>
      <c r="Z17" s="201">
        <f t="shared" si="10"/>
        <v>195</v>
      </c>
      <c r="AA17" s="578">
        <f t="shared" si="11"/>
        <v>226.59</v>
      </c>
      <c r="AB17" s="577">
        <f t="shared" si="12"/>
        <v>558.79999999999995</v>
      </c>
      <c r="AC17" s="577">
        <f t="shared" si="13"/>
        <v>91.484513975623344</v>
      </c>
    </row>
    <row r="18" spans="1:34" ht="15.5">
      <c r="A18" s="174"/>
      <c r="B18" s="212" t="str">
        <f>B15</f>
        <v>S1B</v>
      </c>
      <c r="C18" s="203" t="s">
        <v>447</v>
      </c>
      <c r="D18" s="504">
        <f t="array" ref="D18">VLOOKUP(B18&amp;C18,CHOOSE({1,2},(momensan!$C$12:$C$47)&amp;(momensan!$D$12:$D$47),momensan!$L$12:$L$47),2,0)</f>
        <v>0.65260799999999997</v>
      </c>
      <c r="E18" s="500">
        <f>TH!$I$45/10/100</f>
        <v>0.08</v>
      </c>
      <c r="F18" s="205">
        <v>1</v>
      </c>
      <c r="G18" s="447">
        <f t="shared" si="5"/>
        <v>850</v>
      </c>
      <c r="H18" s="204">
        <f t="shared" si="0"/>
        <v>28000</v>
      </c>
      <c r="I18" s="207">
        <f t="shared" si="6"/>
        <v>0.11996470588235295</v>
      </c>
      <c r="J18" s="208">
        <f t="shared" si="1"/>
        <v>0.93591013644881382</v>
      </c>
      <c r="K18" s="209">
        <f t="shared" si="7"/>
        <v>3.1129362296290406</v>
      </c>
      <c r="L18" s="206">
        <v>10</v>
      </c>
      <c r="M18" s="206">
        <v>200</v>
      </c>
      <c r="N18" s="209">
        <f t="shared" si="2"/>
        <v>3.9249999999999998</v>
      </c>
      <c r="O18" s="210">
        <f t="shared" si="8"/>
        <v>0.49062499999999998</v>
      </c>
      <c r="P18" s="537" t="str">
        <f t="shared" si="3"/>
        <v>Ø10a200</v>
      </c>
      <c r="Q18" s="189">
        <f>VLOOKUP(P18,'tra thep'!$E$11:$F$62,2,)</f>
        <v>3.93</v>
      </c>
      <c r="R18" s="182">
        <f t="shared" si="4"/>
        <v>2500</v>
      </c>
      <c r="S18" s="208">
        <f t="shared" si="9"/>
        <v>0.12817972710237227</v>
      </c>
      <c r="U18" s="385">
        <v>4</v>
      </c>
      <c r="V18" s="201">
        <v>10</v>
      </c>
      <c r="W18" s="201">
        <f>3050+1050+100</f>
        <v>4200</v>
      </c>
      <c r="X18">
        <v>4</v>
      </c>
      <c r="Y18">
        <v>17000</v>
      </c>
      <c r="Z18" s="201">
        <f t="shared" si="10"/>
        <v>115</v>
      </c>
      <c r="AA18" s="578">
        <f t="shared" si="11"/>
        <v>483</v>
      </c>
      <c r="AB18" s="577">
        <f t="shared" si="12"/>
        <v>1191.1500000000001</v>
      </c>
      <c r="AC18" s="577">
        <f t="shared" si="13"/>
        <v>79.310477188001045</v>
      </c>
    </row>
    <row r="19" spans="1:34" ht="15.5">
      <c r="A19" s="174"/>
      <c r="B19" s="202" t="s">
        <v>103</v>
      </c>
      <c r="C19" s="203" t="s">
        <v>444</v>
      </c>
      <c r="D19" s="504">
        <f t="array" ref="D19">VLOOKUP(B19&amp;C19,CHOOSE({1,2},(momensan!$C$12:$C$47)&amp;(momensan!$D$12:$D$47),momensan!$L$12:$L$47),2,0)</f>
        <v>0.47923199999999994</v>
      </c>
      <c r="E19" s="500">
        <f>TH!$I$45/10/100</f>
        <v>0.08</v>
      </c>
      <c r="F19" s="205">
        <v>1</v>
      </c>
      <c r="G19" s="447">
        <f t="shared" si="5"/>
        <v>850</v>
      </c>
      <c r="H19" s="204">
        <f t="shared" si="0"/>
        <v>28000</v>
      </c>
      <c r="I19" s="207">
        <f t="shared" si="6"/>
        <v>8.8094117647058823E-2</v>
      </c>
      <c r="J19" s="208">
        <f t="shared" si="1"/>
        <v>0.95382038426724569</v>
      </c>
      <c r="K19" s="209">
        <f t="shared" si="7"/>
        <v>2.2430099070194922</v>
      </c>
      <c r="L19" s="206">
        <v>10</v>
      </c>
      <c r="M19" s="206">
        <v>200</v>
      </c>
      <c r="N19" s="209">
        <f t="shared" si="2"/>
        <v>3.9249999999999998</v>
      </c>
      <c r="O19" s="210">
        <f t="shared" si="8"/>
        <v>0.49062499999999998</v>
      </c>
      <c r="P19" s="537" t="str">
        <f t="shared" si="3"/>
        <v>Ø10a200</v>
      </c>
      <c r="Q19" s="189">
        <f>VLOOKUP(P19,'tra thep'!$E$11:$F$62,2,)</f>
        <v>3.93</v>
      </c>
      <c r="R19" s="182">
        <f t="shared" si="4"/>
        <v>2500</v>
      </c>
      <c r="S19" s="208">
        <f t="shared" si="9"/>
        <v>9.2359231465508521E-2</v>
      </c>
      <c r="U19" s="385">
        <v>5</v>
      </c>
      <c r="V19" s="201">
        <v>10</v>
      </c>
      <c r="W19">
        <f>1050+1074+100</f>
        <v>2224</v>
      </c>
      <c r="X19">
        <v>2</v>
      </c>
      <c r="Y19">
        <v>12000</v>
      </c>
      <c r="Z19" s="201">
        <f t="shared" si="10"/>
        <v>81</v>
      </c>
      <c r="AA19" s="578">
        <f t="shared" si="11"/>
        <v>180.14400000000001</v>
      </c>
      <c r="AB19" s="577">
        <f t="shared" si="12"/>
        <v>444.26</v>
      </c>
      <c r="AC19" s="577">
        <f t="shared" si="13"/>
        <v>57.146749223426553</v>
      </c>
    </row>
    <row r="20" spans="1:34" ht="15.5">
      <c r="A20" s="174"/>
      <c r="B20" s="211" t="str">
        <f>B19</f>
        <v>S1</v>
      </c>
      <c r="C20" s="203" t="s">
        <v>445</v>
      </c>
      <c r="D20" s="504">
        <f t="array" ref="D20">VLOOKUP(B20&amp;C20,CHOOSE({1,2},(momensan!$C$12:$C$47)&amp;(momensan!$D$12:$D$47),momensan!$L$12:$L$47),2,0)</f>
        <v>0.21427199999999996</v>
      </c>
      <c r="E20" s="500">
        <f>(TH!$I$45/10-(L20+L19)/2/10)/100</f>
        <v>7.0000000000000007E-2</v>
      </c>
      <c r="F20" s="205">
        <v>1</v>
      </c>
      <c r="G20" s="447">
        <f t="shared" si="5"/>
        <v>850</v>
      </c>
      <c r="H20" s="204">
        <f t="shared" si="0"/>
        <v>28000</v>
      </c>
      <c r="I20" s="207">
        <f>+D20/(G20*10*F20*E20*E20)*10</f>
        <v>5.1445858343337314E-2</v>
      </c>
      <c r="J20" s="208">
        <f t="shared" si="1"/>
        <v>0.97357900167588862</v>
      </c>
      <c r="K20" s="209">
        <f>+D20/(H20*10*J20*E20)*100000</f>
        <v>1.1228924287747326</v>
      </c>
      <c r="L20" s="206">
        <v>10</v>
      </c>
      <c r="M20" s="206">
        <v>200</v>
      </c>
      <c r="N20" s="209">
        <f t="shared" si="2"/>
        <v>3.9249999999999998</v>
      </c>
      <c r="O20" s="210">
        <f t="shared" si="8"/>
        <v>0.56071428571428561</v>
      </c>
      <c r="P20" s="537" t="str">
        <f t="shared" si="3"/>
        <v>Ø10a200</v>
      </c>
      <c r="Q20" s="189">
        <f>VLOOKUP(P20,'tra thep'!$E$11:$F$62,2,)</f>
        <v>3.93</v>
      </c>
      <c r="R20" s="182">
        <f t="shared" si="4"/>
        <v>2857.1428571428569</v>
      </c>
      <c r="S20" s="208">
        <f t="shared" si="9"/>
        <v>5.2841996648222707E-2</v>
      </c>
      <c r="T20">
        <f>TH!B89/M20+1</f>
        <v>31</v>
      </c>
      <c r="U20" s="385">
        <v>6</v>
      </c>
      <c r="V20" s="201">
        <v>10</v>
      </c>
      <c r="W20">
        <f>2008+1074+100</f>
        <v>3182</v>
      </c>
      <c r="X20">
        <v>2</v>
      </c>
      <c r="Y20">
        <v>5400</v>
      </c>
      <c r="Z20" s="201">
        <f t="shared" si="10"/>
        <v>37</v>
      </c>
      <c r="AA20" s="578">
        <f t="shared" si="11"/>
        <v>117.73399999999999</v>
      </c>
      <c r="AB20" s="577">
        <f t="shared" si="12"/>
        <v>290.35000000000002</v>
      </c>
      <c r="AC20" s="577">
        <f t="shared" si="13"/>
        <v>28.608724299993188</v>
      </c>
    </row>
    <row r="21" spans="1:34" ht="15.5">
      <c r="A21" s="174"/>
      <c r="B21" s="211" t="str">
        <f>B19</f>
        <v>S1</v>
      </c>
      <c r="C21" s="203" t="s">
        <v>446</v>
      </c>
      <c r="D21" s="504">
        <f t="array" ref="D21">VLOOKUP(B21&amp;C21,CHOOSE({1,2},(momensan!$C$12:$C$47)&amp;(momensan!$D$12:$D$47),momensan!$L$12:$L$47),2,0)</f>
        <v>1.0690559999999998</v>
      </c>
      <c r="E21" s="500">
        <f>TH!$I$45/10/100</f>
        <v>0.08</v>
      </c>
      <c r="F21" s="205">
        <v>1</v>
      </c>
      <c r="G21" s="447">
        <f t="shared" si="5"/>
        <v>850</v>
      </c>
      <c r="H21" s="204">
        <f t="shared" si="0"/>
        <v>28000</v>
      </c>
      <c r="I21" s="207">
        <f t="shared" si="6"/>
        <v>0.19651764705882352</v>
      </c>
      <c r="J21" s="208">
        <f t="shared" si="1"/>
        <v>0.88953969819594536</v>
      </c>
      <c r="K21" s="209">
        <f t="shared" si="7"/>
        <v>5.3652146590540797</v>
      </c>
      <c r="L21" s="206">
        <v>12</v>
      </c>
      <c r="M21" s="206">
        <v>200</v>
      </c>
      <c r="N21" s="209">
        <f t="shared" si="2"/>
        <v>5.6550000000000002</v>
      </c>
      <c r="O21" s="210">
        <f t="shared" si="8"/>
        <v>0.70687500000000003</v>
      </c>
      <c r="P21" s="537" t="str">
        <f t="shared" si="3"/>
        <v>Ø12a200</v>
      </c>
      <c r="Q21" s="189">
        <f>VLOOKUP(P21,'tra thep'!$E$11:$F$62,2,)</f>
        <v>5.65</v>
      </c>
      <c r="R21" s="182">
        <f t="shared" si="4"/>
        <v>2500</v>
      </c>
      <c r="S21" s="208">
        <f t="shared" si="9"/>
        <v>0.2209206036081092</v>
      </c>
      <c r="U21" s="385">
        <v>7</v>
      </c>
      <c r="V21" s="201">
        <v>10</v>
      </c>
      <c r="W21">
        <v>6800</v>
      </c>
      <c r="X21">
        <v>1</v>
      </c>
      <c r="Y21">
        <v>4000</v>
      </c>
      <c r="Z21" s="201">
        <f t="shared" si="10"/>
        <v>28</v>
      </c>
      <c r="AA21" s="578">
        <f t="shared" si="11"/>
        <v>190.4</v>
      </c>
      <c r="AB21" s="577">
        <f t="shared" si="12"/>
        <v>469.56</v>
      </c>
      <c r="AC21" s="577">
        <f t="shared" si="13"/>
        <v>94.87559078787055</v>
      </c>
    </row>
    <row r="22" spans="1:34" s="635" customFormat="1" ht="15.5">
      <c r="A22" s="619"/>
      <c r="B22" s="620" t="str">
        <f>B19</f>
        <v>S1</v>
      </c>
      <c r="C22" s="621" t="s">
        <v>447</v>
      </c>
      <c r="D22" s="622">
        <f t="array" ref="D22">VLOOKUP(B22&amp;C22,CHOOSE({1,2},(momensan!$C$12:$C$47)&amp;(momensan!$D$12:$D$47),momensan!$L$12:$L$47),2,0)</f>
        <v>0.47462399999999999</v>
      </c>
      <c r="E22" s="623">
        <f>TH!$I$45/10/100</f>
        <v>0.08</v>
      </c>
      <c r="F22" s="624">
        <v>1</v>
      </c>
      <c r="G22" s="625">
        <f t="shared" si="5"/>
        <v>850</v>
      </c>
      <c r="H22" s="626">
        <f t="shared" si="0"/>
        <v>28000</v>
      </c>
      <c r="I22" s="627">
        <f t="shared" si="6"/>
        <v>8.7247058823529414E-2</v>
      </c>
      <c r="J22" s="628">
        <f t="shared" ref="J22:J46" si="14">0.5*(1+SQRT(1-2*I22))</f>
        <v>0.95428677131106876</v>
      </c>
      <c r="K22" s="629">
        <f t="shared" si="7"/>
        <v>2.2203568220338026</v>
      </c>
      <c r="L22" s="630">
        <v>10</v>
      </c>
      <c r="M22" s="206">
        <v>200</v>
      </c>
      <c r="N22" s="629">
        <f t="shared" si="2"/>
        <v>3.9249999999999998</v>
      </c>
      <c r="O22" s="631">
        <f t="shared" si="8"/>
        <v>0.49062499999999998</v>
      </c>
      <c r="P22" s="632" t="str">
        <f t="shared" si="3"/>
        <v>Ø10a200</v>
      </c>
      <c r="Q22" s="633">
        <f>VLOOKUP(P22,'tra thep'!$E$11:$F$62,2,)</f>
        <v>3.93</v>
      </c>
      <c r="R22" s="634">
        <f t="shared" si="4"/>
        <v>2500</v>
      </c>
      <c r="S22" s="628">
        <f t="shared" si="9"/>
        <v>9.1426457377862466E-2</v>
      </c>
      <c r="T22" s="635">
        <f>TH!B89/M22+1</f>
        <v>31</v>
      </c>
      <c r="U22" s="636">
        <v>8</v>
      </c>
      <c r="V22" s="635">
        <v>10</v>
      </c>
      <c r="W22" s="635">
        <f>11700</f>
        <v>11700</v>
      </c>
      <c r="X22" s="635">
        <v>1</v>
      </c>
      <c r="Y22" s="635">
        <v>4000</v>
      </c>
      <c r="Z22" s="635">
        <f t="shared" si="10"/>
        <v>28</v>
      </c>
      <c r="AA22" s="637">
        <f t="shared" si="11"/>
        <v>327.60000000000002</v>
      </c>
      <c r="AB22" s="638">
        <f t="shared" si="12"/>
        <v>807.91</v>
      </c>
      <c r="AC22" s="577">
        <f t="shared" si="13"/>
        <v>56.56960056137077</v>
      </c>
    </row>
    <row r="23" spans="1:34" s="201" customFormat="1" ht="15.5">
      <c r="A23" s="200"/>
      <c r="B23" s="202" t="s">
        <v>101</v>
      </c>
      <c r="C23" s="203" t="s">
        <v>444</v>
      </c>
      <c r="D23" s="504">
        <f t="array" ref="D23">VLOOKUP(B23&amp;C23,CHOOSE({1,2},(momensan!$C$12:$C$47)&amp;(momensan!$D$12:$D$47),momensan!$L$12:$L$47),2,0)</f>
        <v>0.21087360000000002</v>
      </c>
      <c r="E23" s="500">
        <f>TH!$I$45/10/100</f>
        <v>0.08</v>
      </c>
      <c r="F23" s="205">
        <v>1</v>
      </c>
      <c r="G23" s="447">
        <f t="shared" si="5"/>
        <v>850</v>
      </c>
      <c r="H23" s="204">
        <f t="shared" si="0"/>
        <v>28000</v>
      </c>
      <c r="I23" s="207">
        <f t="shared" si="6"/>
        <v>3.8763529411764711E-2</v>
      </c>
      <c r="J23" s="208">
        <f>0.5*(1+SQRT(1-2*I23))</f>
        <v>0.9802272746253774</v>
      </c>
      <c r="K23" s="209">
        <f t="shared" si="7"/>
        <v>0.96038951819595475</v>
      </c>
      <c r="L23" s="206">
        <v>10</v>
      </c>
      <c r="M23" s="206">
        <v>200</v>
      </c>
      <c r="N23" s="209">
        <f t="shared" si="2"/>
        <v>3.9249999999999998</v>
      </c>
      <c r="O23" s="210">
        <f t="shared" si="8"/>
        <v>0.49062499999999998</v>
      </c>
      <c r="P23" s="537" t="str">
        <f t="shared" si="3"/>
        <v>Ø10a200</v>
      </c>
      <c r="Q23" s="189">
        <f>VLOOKUP(P23,'tra thep'!$E$11:$F$62,2,)</f>
        <v>3.93</v>
      </c>
      <c r="R23" s="182">
        <f t="shared" si="4"/>
        <v>2500</v>
      </c>
      <c r="S23" s="208">
        <f t="shared" si="9"/>
        <v>3.9545450749245196E-2</v>
      </c>
      <c r="U23" s="385">
        <v>9</v>
      </c>
      <c r="V23" s="201">
        <v>10</v>
      </c>
      <c r="W23" s="201">
        <f>14000+100</f>
        <v>14100</v>
      </c>
      <c r="X23" s="201">
        <v>2</v>
      </c>
      <c r="Y23" s="201">
        <v>12000</v>
      </c>
      <c r="Z23" s="201">
        <f t="shared" si="10"/>
        <v>81</v>
      </c>
      <c r="AA23" s="578">
        <f t="shared" si="11"/>
        <v>1142.0999999999999</v>
      </c>
      <c r="AB23" s="577">
        <f t="shared" si="12"/>
        <v>2816.59</v>
      </c>
      <c r="AC23" s="577">
        <f t="shared" si="13"/>
        <v>24.468522756584836</v>
      </c>
    </row>
    <row r="24" spans="1:34" s="201" customFormat="1" ht="15.5">
      <c r="A24" s="200"/>
      <c r="B24" s="211" t="str">
        <f>B23</f>
        <v>S2</v>
      </c>
      <c r="C24" s="203" t="s">
        <v>445</v>
      </c>
      <c r="D24" s="504">
        <f t="array" ref="D24">VLOOKUP(B24&amp;C24,CHOOSE({1,2},(momensan!$C$12:$C$47)&amp;(momensan!$D$12:$D$47),momensan!$L$12:$L$47),2,0)</f>
        <v>0.1191456</v>
      </c>
      <c r="E24" s="500">
        <f>(TH!$I$45/10-(L24+L23)/2/10)/100</f>
        <v>7.0000000000000007E-2</v>
      </c>
      <c r="F24" s="205">
        <v>1</v>
      </c>
      <c r="G24" s="447">
        <f t="shared" si="5"/>
        <v>850</v>
      </c>
      <c r="H24" s="204">
        <f t="shared" si="0"/>
        <v>28000</v>
      </c>
      <c r="I24" s="207">
        <f t="shared" si="6"/>
        <v>2.8606386554621846E-2</v>
      </c>
      <c r="J24" s="208">
        <f t="shared" si="14"/>
        <v>0.9854861550267825</v>
      </c>
      <c r="K24" s="209">
        <f t="shared" si="7"/>
        <v>0.61683841136174444</v>
      </c>
      <c r="L24" s="206">
        <v>10</v>
      </c>
      <c r="M24" s="206">
        <v>200</v>
      </c>
      <c r="N24" s="209">
        <f t="shared" si="2"/>
        <v>3.9249999999999998</v>
      </c>
      <c r="O24" s="210">
        <f t="shared" si="8"/>
        <v>0.56071428571428561</v>
      </c>
      <c r="P24" s="537" t="str">
        <f t="shared" si="3"/>
        <v>Ø10a200</v>
      </c>
      <c r="Q24" s="189">
        <f>VLOOKUP(P24,'tra thep'!$E$11:$F$62,2,)</f>
        <v>3.93</v>
      </c>
      <c r="R24" s="182">
        <f t="shared" si="4"/>
        <v>2857.1428571428569</v>
      </c>
      <c r="S24" s="208">
        <f t="shared" si="9"/>
        <v>2.902768994643503E-2</v>
      </c>
      <c r="U24" s="385">
        <v>10</v>
      </c>
      <c r="V24" s="201">
        <v>10</v>
      </c>
      <c r="W24" s="201">
        <f>10000+100</f>
        <v>10100</v>
      </c>
      <c r="X24" s="201">
        <v>4</v>
      </c>
      <c r="Y24" s="201">
        <v>11600</v>
      </c>
      <c r="Z24" s="201">
        <f t="shared" si="10"/>
        <v>79</v>
      </c>
      <c r="AA24" s="578">
        <f t="shared" si="11"/>
        <v>797.9</v>
      </c>
      <c r="AB24" s="577">
        <f t="shared" si="12"/>
        <v>1967.74</v>
      </c>
      <c r="AC24" s="577">
        <f t="shared" si="13"/>
        <v>15.715628314948905</v>
      </c>
    </row>
    <row r="25" spans="1:34" s="201" customFormat="1" ht="15.5">
      <c r="A25" s="200"/>
      <c r="B25" s="211" t="str">
        <f>B23</f>
        <v>S2</v>
      </c>
      <c r="C25" s="203" t="s">
        <v>446</v>
      </c>
      <c r="D25" s="504">
        <f t="array" ref="D25">VLOOKUP(B25&amp;C25,CHOOSE({1,2},(momensan!$C$12:$C$47)&amp;(momensan!$D$12:$D$47),momensan!$L$12:$L$47),2,0)</f>
        <v>0.47819519999999999</v>
      </c>
      <c r="E25" s="500">
        <f>TH!$I$45/10/100</f>
        <v>0.08</v>
      </c>
      <c r="F25" s="205">
        <v>1</v>
      </c>
      <c r="G25" s="447">
        <f t="shared" si="5"/>
        <v>850</v>
      </c>
      <c r="H25" s="204">
        <f t="shared" si="0"/>
        <v>28000</v>
      </c>
      <c r="I25" s="207">
        <f t="shared" si="6"/>
        <v>8.7903529411764714E-2</v>
      </c>
      <c r="J25" s="208">
        <f t="shared" si="14"/>
        <v>0.95392536313155896</v>
      </c>
      <c r="K25" s="209">
        <f t="shared" si="7"/>
        <v>2.237910933609994</v>
      </c>
      <c r="L25" s="206">
        <v>10</v>
      </c>
      <c r="M25" s="206">
        <v>200</v>
      </c>
      <c r="N25" s="209">
        <f t="shared" si="2"/>
        <v>3.9249999999999998</v>
      </c>
      <c r="O25" s="210">
        <f t="shared" si="8"/>
        <v>0.49062499999999998</v>
      </c>
      <c r="P25" s="537" t="str">
        <f t="shared" si="3"/>
        <v>Ø10a200</v>
      </c>
      <c r="Q25" s="189">
        <f>VLOOKUP(P25,'tra thep'!$E$11:$F$62,2,)</f>
        <v>3.93</v>
      </c>
      <c r="R25" s="182">
        <f t="shared" si="4"/>
        <v>2500</v>
      </c>
      <c r="S25" s="208">
        <f t="shared" si="9"/>
        <v>9.2149273736882129E-2</v>
      </c>
      <c r="U25" s="385">
        <v>11</v>
      </c>
      <c r="V25" s="201">
        <v>10</v>
      </c>
      <c r="W25" s="201">
        <v>12100</v>
      </c>
      <c r="X25" s="576">
        <v>2</v>
      </c>
      <c r="Y25" s="576">
        <v>5400</v>
      </c>
      <c r="Z25" s="201">
        <f t="shared" si="10"/>
        <v>37</v>
      </c>
      <c r="AA25" s="578">
        <f t="shared" si="11"/>
        <v>447.7</v>
      </c>
      <c r="AB25" s="577">
        <f t="shared" si="12"/>
        <v>1104.0999999999999</v>
      </c>
      <c r="AC25" s="577">
        <f t="shared" si="13"/>
        <v>57.016839072866091</v>
      </c>
    </row>
    <row r="26" spans="1:34" s="201" customFormat="1" ht="15.5">
      <c r="A26" s="200"/>
      <c r="B26" s="212" t="str">
        <f>B23</f>
        <v>S2</v>
      </c>
      <c r="C26" s="203" t="s">
        <v>447</v>
      </c>
      <c r="D26" s="504">
        <f t="array" ref="D26">VLOOKUP(B26&amp;C26,CHOOSE({1,2},(momensan!$C$12:$C$47)&amp;(momensan!$D$12:$D$47),momensan!$L$12:$L$47),2,0)</f>
        <v>0.27175680000000002</v>
      </c>
      <c r="E26" s="500">
        <f>TH!$I$45/10/100</f>
        <v>0.08</v>
      </c>
      <c r="F26" s="205">
        <v>1</v>
      </c>
      <c r="G26" s="447">
        <f t="shared" si="5"/>
        <v>850</v>
      </c>
      <c r="H26" s="204">
        <f t="shared" si="0"/>
        <v>28000</v>
      </c>
      <c r="I26" s="207">
        <f t="shared" si="6"/>
        <v>4.995529411764707E-2</v>
      </c>
      <c r="J26" s="208">
        <f t="shared" si="14"/>
        <v>0.97436521050892466</v>
      </c>
      <c r="K26" s="209">
        <f t="shared" si="7"/>
        <v>1.2451183467093705</v>
      </c>
      <c r="L26" s="206">
        <v>10</v>
      </c>
      <c r="M26" s="206">
        <v>200</v>
      </c>
      <c r="N26" s="209">
        <f t="shared" si="2"/>
        <v>3.9249999999999998</v>
      </c>
      <c r="O26" s="210">
        <f t="shared" si="8"/>
        <v>0.49062499999999998</v>
      </c>
      <c r="P26" s="537" t="str">
        <f t="shared" si="3"/>
        <v>Ø10a200</v>
      </c>
      <c r="Q26" s="189">
        <f>VLOOKUP(P26,'tra thep'!$E$11:$F$62,2,)</f>
        <v>3.93</v>
      </c>
      <c r="R26" s="182">
        <f t="shared" si="4"/>
        <v>2500</v>
      </c>
      <c r="S26" s="208">
        <f t="shared" si="9"/>
        <v>5.1269578982150558E-2</v>
      </c>
      <c r="U26" s="385">
        <v>12</v>
      </c>
      <c r="V26" s="201">
        <v>10</v>
      </c>
      <c r="W26" s="201">
        <v>6000</v>
      </c>
      <c r="X26" s="576">
        <v>2</v>
      </c>
      <c r="Y26" s="576">
        <v>8000</v>
      </c>
      <c r="Z26" s="201">
        <f t="shared" si="10"/>
        <v>55</v>
      </c>
      <c r="AA26" s="578">
        <f t="shared" si="11"/>
        <v>330</v>
      </c>
      <c r="AB26" s="577">
        <f t="shared" si="12"/>
        <v>813.83</v>
      </c>
      <c r="AC26" s="577">
        <f t="shared" si="13"/>
        <v>31.722760425716444</v>
      </c>
    </row>
    <row r="27" spans="1:34" ht="15.5">
      <c r="A27" s="174"/>
      <c r="B27" s="202" t="s">
        <v>102</v>
      </c>
      <c r="C27" s="203" t="s">
        <v>444</v>
      </c>
      <c r="D27" s="504">
        <f t="array" ref="D27">VLOOKUP(B27&amp;C27,CHOOSE({1,2},(momensan!$C$12:$C$47)&amp;(momensan!$D$12:$D$47),momensan!$L$12:$L$47),2,0)</f>
        <v>0.44814000000000004</v>
      </c>
      <c r="E27" s="500">
        <f>TH!$I$45/10/100</f>
        <v>0.08</v>
      </c>
      <c r="F27" s="205">
        <v>1</v>
      </c>
      <c r="G27" s="447">
        <f t="shared" si="5"/>
        <v>850</v>
      </c>
      <c r="H27" s="204">
        <f t="shared" si="0"/>
        <v>28000</v>
      </c>
      <c r="I27" s="207">
        <f t="shared" si="6"/>
        <v>8.2378676470588247E-2</v>
      </c>
      <c r="J27" s="208">
        <f>0.5*(1+SQRT(1-2*I27))</f>
        <v>0.95695805252200761</v>
      </c>
      <c r="K27" s="209">
        <f t="shared" si="7"/>
        <v>2.0906088775024867</v>
      </c>
      <c r="L27" s="206">
        <v>10</v>
      </c>
      <c r="M27" s="206">
        <v>200</v>
      </c>
      <c r="N27" s="209">
        <f t="shared" si="2"/>
        <v>3.9249999999999998</v>
      </c>
      <c r="O27" s="210">
        <f t="shared" si="8"/>
        <v>0.49062499999999998</v>
      </c>
      <c r="P27" s="537" t="str">
        <f t="shared" si="3"/>
        <v>Ø10a200</v>
      </c>
      <c r="Q27" s="189">
        <f>VLOOKUP(P27,'tra thep'!$E$11:$F$62,2,)</f>
        <v>3.93</v>
      </c>
      <c r="R27" s="182">
        <f t="shared" si="4"/>
        <v>2500</v>
      </c>
      <c r="S27" s="208">
        <f t="shared" si="9"/>
        <v>8.6083894955984758E-2</v>
      </c>
      <c r="U27" s="385">
        <v>13</v>
      </c>
      <c r="V27" s="201">
        <v>10</v>
      </c>
      <c r="W27">
        <v>33200</v>
      </c>
      <c r="X27" s="201">
        <v>2</v>
      </c>
      <c r="Y27" s="201">
        <v>12000</v>
      </c>
      <c r="Z27" s="201">
        <f t="shared" si="10"/>
        <v>81</v>
      </c>
      <c r="AA27" s="578">
        <f t="shared" si="11"/>
        <v>2689.2</v>
      </c>
      <c r="AB27" s="577">
        <f t="shared" si="12"/>
        <v>6631.97</v>
      </c>
      <c r="AC27" s="577">
        <f t="shared" si="13"/>
        <v>53.263920445923233</v>
      </c>
    </row>
    <row r="28" spans="1:34" ht="15.5">
      <c r="A28" s="174"/>
      <c r="B28" s="211" t="str">
        <f>B27</f>
        <v>S3</v>
      </c>
      <c r="C28" s="203" t="s">
        <v>445</v>
      </c>
      <c r="D28" s="504">
        <f t="array" ref="D28">VLOOKUP(B28&amp;C28,CHOOSE({1,2},(momensan!$C$12:$C$47)&amp;(momensan!$D$12:$D$47),momensan!$L$12:$L$47),2,0)</f>
        <v>0.23516680000000001</v>
      </c>
      <c r="E28" s="500">
        <f>(TH!$I$45/10-(L28+L27)/2/10)/100</f>
        <v>7.0000000000000007E-2</v>
      </c>
      <c r="F28" s="205">
        <v>1</v>
      </c>
      <c r="G28" s="447">
        <f t="shared" si="5"/>
        <v>850</v>
      </c>
      <c r="H28" s="204">
        <f t="shared" si="0"/>
        <v>28000</v>
      </c>
      <c r="I28" s="207">
        <f t="shared" si="6"/>
        <v>5.6462617046818722E-2</v>
      </c>
      <c r="J28" s="208">
        <f t="shared" si="14"/>
        <v>0.97092323310343343</v>
      </c>
      <c r="K28" s="209">
        <f t="shared" si="7"/>
        <v>1.2357625931040819</v>
      </c>
      <c r="L28" s="206">
        <v>10</v>
      </c>
      <c r="M28" s="206">
        <v>200</v>
      </c>
      <c r="N28" s="209">
        <f t="shared" si="2"/>
        <v>3.9249999999999998</v>
      </c>
      <c r="O28" s="210">
        <f t="shared" si="8"/>
        <v>0.56071428571428561</v>
      </c>
      <c r="P28" s="537" t="str">
        <f t="shared" si="3"/>
        <v>Ø10a200</v>
      </c>
      <c r="Q28" s="189">
        <f>VLOOKUP(P28,'tra thep'!$E$11:$F$62,2,)</f>
        <v>3.93</v>
      </c>
      <c r="R28" s="182">
        <f t="shared" si="4"/>
        <v>2857.1428571428569</v>
      </c>
      <c r="S28" s="208">
        <f t="shared" si="9"/>
        <v>5.8153533793133268E-2</v>
      </c>
      <c r="U28" s="385">
        <v>14</v>
      </c>
      <c r="V28" s="201">
        <v>10</v>
      </c>
      <c r="W28">
        <v>14500</v>
      </c>
      <c r="X28" s="201">
        <v>2</v>
      </c>
      <c r="Y28" s="201">
        <v>8000</v>
      </c>
      <c r="Z28" s="201">
        <f t="shared" si="10"/>
        <v>55</v>
      </c>
      <c r="AA28" s="578">
        <f t="shared" si="11"/>
        <v>797.5</v>
      </c>
      <c r="AB28" s="577">
        <f t="shared" si="12"/>
        <v>1966.75</v>
      </c>
      <c r="AC28" s="577">
        <f t="shared" si="13"/>
        <v>31.48439727653712</v>
      </c>
    </row>
    <row r="29" spans="1:34" ht="15.5">
      <c r="A29" s="174"/>
      <c r="B29" s="211" t="str">
        <f>B27</f>
        <v>S3</v>
      </c>
      <c r="C29" s="203" t="s">
        <v>446</v>
      </c>
      <c r="D29" s="504">
        <f t="array" ref="D29">VLOOKUP(B29&amp;C29,CHOOSE({1,2},(momensan!$C$12:$C$47)&amp;(momensan!$D$12:$D$47),momensan!$L$12:$L$47),2,0)</f>
        <v>0.8821956000000003</v>
      </c>
      <c r="E29" s="500">
        <f>TH!$I$45/10/100</f>
        <v>0.08</v>
      </c>
      <c r="F29" s="205">
        <v>1</v>
      </c>
      <c r="G29" s="447">
        <f t="shared" si="5"/>
        <v>850</v>
      </c>
      <c r="H29" s="204">
        <f t="shared" si="0"/>
        <v>28000</v>
      </c>
      <c r="I29" s="207">
        <f t="shared" si="6"/>
        <v>0.16216830882352945</v>
      </c>
      <c r="J29" s="208">
        <f t="shared" si="14"/>
        <v>0.91099372937824152</v>
      </c>
      <c r="K29" s="209">
        <f t="shared" si="7"/>
        <v>4.3231617159139804</v>
      </c>
      <c r="L29" s="206">
        <v>12</v>
      </c>
      <c r="M29" s="206">
        <v>200</v>
      </c>
      <c r="N29" s="209">
        <f t="shared" si="2"/>
        <v>5.6550000000000002</v>
      </c>
      <c r="O29" s="210">
        <f t="shared" si="8"/>
        <v>0.70687500000000003</v>
      </c>
      <c r="P29" s="537" t="str">
        <f t="shared" si="3"/>
        <v>Ø12a200</v>
      </c>
      <c r="Q29" s="189">
        <f>VLOOKUP(P29,'tra thep'!$E$11:$F$62,2,)</f>
        <v>5.65</v>
      </c>
      <c r="R29" s="182">
        <f t="shared" si="4"/>
        <v>2500</v>
      </c>
      <c r="S29" s="208">
        <f t="shared" si="9"/>
        <v>0.17801254124351684</v>
      </c>
      <c r="U29" s="385"/>
      <c r="V29" s="201"/>
      <c r="Z29" s="201"/>
      <c r="AB29" s="577">
        <f>SUM(AB11:AB28)</f>
        <v>23143.98</v>
      </c>
      <c r="AC29" s="577">
        <f t="shared" si="13"/>
        <v>76.448483040035015</v>
      </c>
      <c r="AG29">
        <v>338</v>
      </c>
      <c r="AH29">
        <f>+AG29*0.1*2500</f>
        <v>84500.000000000015</v>
      </c>
    </row>
    <row r="30" spans="1:34" ht="15.5">
      <c r="A30" s="174"/>
      <c r="B30" s="212" t="str">
        <f>B27</f>
        <v>S3</v>
      </c>
      <c r="C30" s="203" t="s">
        <v>447</v>
      </c>
      <c r="D30" s="504">
        <f t="array" ref="D30">VLOOKUP(B30&amp;C30,CHOOSE({1,2},(momensan!$C$12:$C$47)&amp;(momensan!$D$12:$D$47),momensan!$L$12:$L$47),2,0)</f>
        <v>0.53093920000000017</v>
      </c>
      <c r="E30" s="500">
        <f>TH!$I$45/10/100</f>
        <v>0.08</v>
      </c>
      <c r="F30" s="205">
        <v>1</v>
      </c>
      <c r="G30" s="447">
        <f t="shared" si="5"/>
        <v>850</v>
      </c>
      <c r="H30" s="204">
        <f t="shared" si="0"/>
        <v>28000</v>
      </c>
      <c r="I30" s="207">
        <f t="shared" si="6"/>
        <v>9.759911764705885E-2</v>
      </c>
      <c r="J30" s="208">
        <f t="shared" si="14"/>
        <v>0.94855372161701057</v>
      </c>
      <c r="K30" s="209">
        <f t="shared" si="7"/>
        <v>2.4988192357452035</v>
      </c>
      <c r="L30" s="206">
        <v>10</v>
      </c>
      <c r="M30" s="206">
        <v>200</v>
      </c>
      <c r="N30" s="209">
        <f t="shared" si="2"/>
        <v>3.9249999999999998</v>
      </c>
      <c r="O30" s="210">
        <f t="shared" si="8"/>
        <v>0.49062499999999998</v>
      </c>
      <c r="P30" s="537" t="str">
        <f t="shared" si="3"/>
        <v>Ø10a200</v>
      </c>
      <c r="Q30" s="189">
        <f>VLOOKUP(P30,'tra thep'!$E$11:$F$62,2,)</f>
        <v>3.93</v>
      </c>
      <c r="R30" s="182">
        <f t="shared" si="4"/>
        <v>2500</v>
      </c>
      <c r="S30" s="208">
        <f t="shared" si="9"/>
        <v>0.10289255676597894</v>
      </c>
      <c r="U30" s="385"/>
      <c r="V30" s="201"/>
      <c r="Z30" s="201"/>
      <c r="AC30" s="577">
        <f t="shared" si="13"/>
        <v>63.664184350196273</v>
      </c>
      <c r="AH30">
        <f>+AB29/AH29</f>
        <v>0.27389325443786977</v>
      </c>
    </row>
    <row r="31" spans="1:34" ht="15.5">
      <c r="A31" s="174"/>
      <c r="B31" s="202" t="s">
        <v>105</v>
      </c>
      <c r="C31" s="203" t="s">
        <v>444</v>
      </c>
      <c r="D31" s="504">
        <f t="array" ref="D31">VLOOKUP(B31&amp;C31,CHOOSE({1,2},(momensan!$C$12:$C$47)&amp;(momensan!$D$12:$D$47),momensan!$L$12:$L$47),2,0)</f>
        <v>0.11980799999999998</v>
      </c>
      <c r="E31" s="500">
        <f>TH!$I$45/10/100</f>
        <v>0.08</v>
      </c>
      <c r="F31" s="205">
        <v>1</v>
      </c>
      <c r="G31" s="447">
        <f t="shared" si="5"/>
        <v>850</v>
      </c>
      <c r="H31" s="204">
        <f t="shared" si="0"/>
        <v>28000</v>
      </c>
      <c r="I31" s="207">
        <f t="shared" si="6"/>
        <v>2.2023529411764706E-2</v>
      </c>
      <c r="J31" s="208">
        <f>0.5*(1+SQRT(1-2*I31))</f>
        <v>0.98886422991881662</v>
      </c>
      <c r="K31" s="209">
        <f t="shared" si="7"/>
        <v>0.54088026108604748</v>
      </c>
      <c r="L31" s="206">
        <v>10</v>
      </c>
      <c r="M31" s="206">
        <v>200</v>
      </c>
      <c r="N31" s="209">
        <f t="shared" si="2"/>
        <v>3.9249999999999998</v>
      </c>
      <c r="O31" s="210">
        <f t="shared" si="8"/>
        <v>0.49062499999999998</v>
      </c>
      <c r="P31" s="537" t="str">
        <f t="shared" si="3"/>
        <v>Ø10a200</v>
      </c>
      <c r="Q31" s="189">
        <f>VLOOKUP(P31,'tra thep'!$E$11:$F$62,2,)</f>
        <v>3.93</v>
      </c>
      <c r="R31" s="182">
        <f t="shared" si="4"/>
        <v>2500</v>
      </c>
      <c r="S31" s="208">
        <f t="shared" si="9"/>
        <v>2.2271540162366661E-2</v>
      </c>
      <c r="U31" s="385"/>
      <c r="V31" s="201"/>
      <c r="Z31" s="201"/>
      <c r="AC31" s="577">
        <f t="shared" si="13"/>
        <v>13.780388817478917</v>
      </c>
    </row>
    <row r="32" spans="1:34" ht="15.5">
      <c r="A32" s="174"/>
      <c r="B32" s="211" t="str">
        <f>B31</f>
        <v>S5</v>
      </c>
      <c r="C32" s="203" t="s">
        <v>445</v>
      </c>
      <c r="D32" s="504">
        <f t="array" ref="D32">VLOOKUP(B32&amp;C32,CHOOSE({1,2},(momensan!$C$12:$C$47)&amp;(momensan!$D$12:$D$47),momensan!$L$12:$L$47),2,0)</f>
        <v>5.3567999999999991E-2</v>
      </c>
      <c r="E32" s="500">
        <f>(TH!$I$45/10-(L32+L31)/2/10)/100</f>
        <v>7.0000000000000007E-2</v>
      </c>
      <c r="F32" s="205">
        <v>1</v>
      </c>
      <c r="G32" s="447">
        <f t="shared" si="5"/>
        <v>850</v>
      </c>
      <c r="H32" s="204">
        <f t="shared" si="0"/>
        <v>28000</v>
      </c>
      <c r="I32" s="207">
        <f t="shared" si="6"/>
        <v>1.2861464585834329E-2</v>
      </c>
      <c r="J32" s="208">
        <f t="shared" si="14"/>
        <v>0.99352737280426795</v>
      </c>
      <c r="K32" s="209">
        <f t="shared" si="7"/>
        <v>0.27508665581861408</v>
      </c>
      <c r="L32" s="206">
        <v>10</v>
      </c>
      <c r="M32" s="206">
        <v>200</v>
      </c>
      <c r="N32" s="209">
        <f t="shared" si="2"/>
        <v>3.9249999999999998</v>
      </c>
      <c r="O32" s="210">
        <f t="shared" si="8"/>
        <v>0.56071428571428561</v>
      </c>
      <c r="P32" s="537" t="str">
        <f t="shared" si="3"/>
        <v>Ø10a200</v>
      </c>
      <c r="Q32" s="189">
        <f>VLOOKUP(P32,'tra thep'!$E$11:$F$62,2,)</f>
        <v>3.93</v>
      </c>
      <c r="R32" s="182">
        <f t="shared" si="4"/>
        <v>2857.1428571428569</v>
      </c>
      <c r="S32" s="208">
        <f t="shared" si="9"/>
        <v>1.2945254391464189E-2</v>
      </c>
      <c r="U32" s="385"/>
      <c r="V32" s="201"/>
      <c r="Z32" s="201"/>
      <c r="AC32" s="577">
        <f t="shared" si="13"/>
        <v>7.0085772183086394</v>
      </c>
    </row>
    <row r="33" spans="1:29" ht="15.5">
      <c r="A33" s="174"/>
      <c r="B33" s="211" t="str">
        <f>B31</f>
        <v>S5</v>
      </c>
      <c r="C33" s="203" t="s">
        <v>446</v>
      </c>
      <c r="D33" s="504">
        <f t="array" ref="D33">VLOOKUP(B33&amp;C33,CHOOSE({1,2},(momensan!$C$12:$C$47)&amp;(momensan!$D$12:$D$47),momensan!$L$12:$L$47),2,0)</f>
        <v>0.26726399999999995</v>
      </c>
      <c r="E33" s="500">
        <f>TH!$I$45/10/100</f>
        <v>0.08</v>
      </c>
      <c r="F33" s="205">
        <v>1</v>
      </c>
      <c r="G33" s="447">
        <f t="shared" si="5"/>
        <v>850</v>
      </c>
      <c r="H33" s="204">
        <f t="shared" si="0"/>
        <v>28000</v>
      </c>
      <c r="I33" s="207">
        <f t="shared" si="6"/>
        <v>4.912941176470588E-2</v>
      </c>
      <c r="J33" s="208">
        <f t="shared" si="14"/>
        <v>0.97480026760486038</v>
      </c>
      <c r="K33" s="209">
        <f t="shared" si="7"/>
        <v>1.2239870020496371</v>
      </c>
      <c r="L33" s="206">
        <v>10</v>
      </c>
      <c r="M33" s="206">
        <v>200</v>
      </c>
      <c r="N33" s="209">
        <f t="shared" si="2"/>
        <v>3.9249999999999998</v>
      </c>
      <c r="O33" s="210">
        <f t="shared" si="8"/>
        <v>0.49062499999999998</v>
      </c>
      <c r="P33" s="537" t="str">
        <f t="shared" si="3"/>
        <v>Ø10a200</v>
      </c>
      <c r="Q33" s="189">
        <f>VLOOKUP(P33,'tra thep'!$E$11:$F$62,2,)</f>
        <v>3.93</v>
      </c>
      <c r="R33" s="182">
        <f t="shared" si="4"/>
        <v>2500</v>
      </c>
      <c r="S33" s="208">
        <f t="shared" si="9"/>
        <v>5.0399464790279173E-2</v>
      </c>
      <c r="U33" s="385"/>
      <c r="V33" s="201"/>
      <c r="Z33" s="201"/>
      <c r="AC33" s="577">
        <f t="shared" si="13"/>
        <v>31.184382217825153</v>
      </c>
    </row>
    <row r="34" spans="1:29" ht="15.5">
      <c r="A34" s="174"/>
      <c r="B34" s="212" t="str">
        <f>B31</f>
        <v>S5</v>
      </c>
      <c r="C34" s="203" t="s">
        <v>447</v>
      </c>
      <c r="D34" s="504">
        <f t="array" ref="D34">VLOOKUP(B34&amp;C34,CHOOSE({1,2},(momensan!$C$12:$C$47)&amp;(momensan!$D$12:$D$47),momensan!$L$12:$L$47),2,0)</f>
        <v>0.118656</v>
      </c>
      <c r="E34" s="500">
        <f>TH!$I$45/10/100</f>
        <v>0.08</v>
      </c>
      <c r="F34" s="205">
        <v>1</v>
      </c>
      <c r="G34" s="447">
        <f t="shared" si="5"/>
        <v>850</v>
      </c>
      <c r="H34" s="204">
        <f t="shared" si="0"/>
        <v>28000</v>
      </c>
      <c r="I34" s="207">
        <f t="shared" si="6"/>
        <v>2.1811764705882353E-2</v>
      </c>
      <c r="J34" s="208">
        <f t="shared" si="14"/>
        <v>0.98897251215897486</v>
      </c>
      <c r="K34" s="209">
        <f t="shared" si="7"/>
        <v>0.53562083799264937</v>
      </c>
      <c r="L34" s="206">
        <v>10</v>
      </c>
      <c r="M34" s="206">
        <v>200</v>
      </c>
      <c r="N34" s="209">
        <f t="shared" si="2"/>
        <v>3.9249999999999998</v>
      </c>
      <c r="O34" s="210">
        <f t="shared" si="8"/>
        <v>0.49062499999999998</v>
      </c>
      <c r="P34" s="537" t="str">
        <f t="shared" si="3"/>
        <v>Ø10a200</v>
      </c>
      <c r="Q34" s="189">
        <f>VLOOKUP(P34,'tra thep'!$E$11:$F$62,2,)</f>
        <v>3.93</v>
      </c>
      <c r="R34" s="182">
        <f t="shared" si="4"/>
        <v>2500</v>
      </c>
      <c r="S34" s="208">
        <f t="shared" si="9"/>
        <v>2.2054975682050268E-2</v>
      </c>
      <c r="U34" s="385"/>
      <c r="V34" s="201"/>
      <c r="Z34" s="201"/>
      <c r="AC34" s="577">
        <f t="shared" si="13"/>
        <v>13.646390776882786</v>
      </c>
    </row>
    <row r="35" spans="1:29" ht="15.5">
      <c r="A35" s="174"/>
      <c r="B35" s="202" t="s">
        <v>108</v>
      </c>
      <c r="C35" s="203" t="s">
        <v>444</v>
      </c>
      <c r="D35" s="504">
        <f t="array" ref="D35">VLOOKUP(B35&amp;C35,CHOOSE({1,2},(momensan!$C$12:$C$47)&amp;(momensan!$D$12:$D$47),momensan!$L$12:$L$47),2,0)</f>
        <v>0.27494399999999997</v>
      </c>
      <c r="E35" s="500">
        <f>TH!$I$45/10/100</f>
        <v>0.08</v>
      </c>
      <c r="F35" s="205">
        <v>1</v>
      </c>
      <c r="G35" s="447">
        <f t="shared" si="5"/>
        <v>850</v>
      </c>
      <c r="H35" s="204">
        <f t="shared" si="0"/>
        <v>28000</v>
      </c>
      <c r="I35" s="207">
        <f t="shared" si="6"/>
        <v>5.0541176470588228E-2</v>
      </c>
      <c r="J35" s="208">
        <f>0.5*(1+SQRT(1-2*I35))</f>
        <v>0.97405633817586057</v>
      </c>
      <c r="K35" s="209">
        <f t="shared" si="7"/>
        <v>1.2601207171724864</v>
      </c>
      <c r="L35" s="206">
        <v>10</v>
      </c>
      <c r="M35" s="206">
        <v>200</v>
      </c>
      <c r="N35" s="209">
        <f t="shared" si="2"/>
        <v>3.9249999999999998</v>
      </c>
      <c r="O35" s="210">
        <f t="shared" si="8"/>
        <v>0.49062499999999998</v>
      </c>
      <c r="P35" s="537" t="str">
        <f t="shared" si="3"/>
        <v>Ø10a200</v>
      </c>
      <c r="Q35" s="189">
        <f>VLOOKUP(P35,'tra thep'!$E$11:$F$62,2,)</f>
        <v>3.93</v>
      </c>
      <c r="R35" s="182">
        <f t="shared" si="4"/>
        <v>2500</v>
      </c>
      <c r="S35" s="208">
        <f t="shared" si="9"/>
        <v>5.1887323648278846E-2</v>
      </c>
      <c r="U35" s="385"/>
      <c r="V35" s="201"/>
      <c r="Z35" s="201"/>
      <c r="AC35" s="577">
        <f t="shared" si="13"/>
        <v>32.104986424776726</v>
      </c>
    </row>
    <row r="36" spans="1:29" ht="15.5">
      <c r="A36" s="174"/>
      <c r="B36" s="211" t="str">
        <f>B35</f>
        <v>S8</v>
      </c>
      <c r="C36" s="203" t="s">
        <v>445</v>
      </c>
      <c r="D36" s="504">
        <f t="array" ref="D36">VLOOKUP(B36&amp;C36,CHOOSE({1,2},(momensan!$C$12:$C$47)&amp;(momensan!$D$12:$D$47),momensan!$L$12:$L$47),2,0)</f>
        <v>0.27494399999999997</v>
      </c>
      <c r="E36" s="500">
        <f>(TH!$I$45/10-(L36+L35)/2/10)/100</f>
        <v>7.0000000000000007E-2</v>
      </c>
      <c r="F36" s="205">
        <v>1</v>
      </c>
      <c r="G36" s="447">
        <f t="shared" si="5"/>
        <v>850</v>
      </c>
      <c r="H36" s="204">
        <f t="shared" si="0"/>
        <v>28000</v>
      </c>
      <c r="I36" s="207">
        <f t="shared" si="6"/>
        <v>6.6012965186074413E-2</v>
      </c>
      <c r="J36" s="208">
        <f t="shared" si="14"/>
        <v>0.96582562983047937</v>
      </c>
      <c r="K36" s="209">
        <f t="shared" si="7"/>
        <v>1.4524107322046269</v>
      </c>
      <c r="L36" s="206">
        <v>10</v>
      </c>
      <c r="M36" s="206">
        <v>200</v>
      </c>
      <c r="N36" s="209">
        <f t="shared" si="2"/>
        <v>3.9249999999999998</v>
      </c>
      <c r="O36" s="210">
        <f t="shared" si="8"/>
        <v>0.56071428571428561</v>
      </c>
      <c r="P36" s="537" t="str">
        <f t="shared" si="3"/>
        <v>Ø10a200</v>
      </c>
      <c r="Q36" s="189">
        <f>VLOOKUP(P36,'tra thep'!$E$11:$F$62,2,)</f>
        <v>3.93</v>
      </c>
      <c r="R36" s="182">
        <f t="shared" si="4"/>
        <v>2857.1428571428569</v>
      </c>
      <c r="S36" s="208">
        <f t="shared" si="9"/>
        <v>6.8348740339041258E-2</v>
      </c>
      <c r="U36" s="385"/>
      <c r="V36" s="201"/>
      <c r="Z36" s="201"/>
      <c r="AC36" s="577">
        <f t="shared" si="13"/>
        <v>37.004095088015973</v>
      </c>
    </row>
    <row r="37" spans="1:29" ht="15.5">
      <c r="A37" s="174"/>
      <c r="B37" s="211" t="str">
        <f>B35</f>
        <v>S8</v>
      </c>
      <c r="C37" s="203" t="s">
        <v>446</v>
      </c>
      <c r="D37" s="504">
        <f t="array" ref="D37">VLOOKUP(B37&amp;C37,CHOOSE({1,2},(momensan!$C$12:$C$47)&amp;(momensan!$D$12:$D$47),momensan!$L$12:$L$47),2,0)</f>
        <v>0.64051199999999997</v>
      </c>
      <c r="E37" s="500">
        <f>TH!$I$45/10/100</f>
        <v>0.08</v>
      </c>
      <c r="F37" s="205">
        <v>1</v>
      </c>
      <c r="G37" s="447">
        <f t="shared" si="5"/>
        <v>850</v>
      </c>
      <c r="H37" s="204">
        <f t="shared" si="0"/>
        <v>28000</v>
      </c>
      <c r="I37" s="207">
        <f t="shared" si="6"/>
        <v>0.11774117647058824</v>
      </c>
      <c r="J37" s="208">
        <f t="shared" si="14"/>
        <v>0.93718349896205577</v>
      </c>
      <c r="K37" s="209">
        <f t="shared" si="7"/>
        <v>3.0510871932715733</v>
      </c>
      <c r="L37" s="206">
        <v>10</v>
      </c>
      <c r="M37" s="206">
        <v>200</v>
      </c>
      <c r="N37" s="209">
        <f t="shared" si="2"/>
        <v>3.9249999999999998</v>
      </c>
      <c r="O37" s="210">
        <f t="shared" si="8"/>
        <v>0.49062499999999998</v>
      </c>
      <c r="P37" s="537" t="str">
        <f t="shared" si="3"/>
        <v>Ø10a200</v>
      </c>
      <c r="Q37" s="189">
        <f>VLOOKUP(P37,'tra thep'!$E$11:$F$62,2,)</f>
        <v>3.93</v>
      </c>
      <c r="R37" s="182">
        <f t="shared" si="4"/>
        <v>2500</v>
      </c>
      <c r="S37" s="208">
        <f t="shared" si="9"/>
        <v>0.12563300207588832</v>
      </c>
      <c r="U37" s="385"/>
      <c r="V37" s="201"/>
      <c r="Z37" s="201"/>
      <c r="AC37" s="577">
        <f t="shared" si="13"/>
        <v>77.734705561059187</v>
      </c>
    </row>
    <row r="38" spans="1:29" ht="15.5">
      <c r="A38" s="174"/>
      <c r="B38" s="212" t="str">
        <f>B35</f>
        <v>S8</v>
      </c>
      <c r="C38" s="203" t="s">
        <v>447</v>
      </c>
      <c r="D38" s="504">
        <f t="array" ref="D38">VLOOKUP(B38&amp;C38,CHOOSE({1,2},(momensan!$C$12:$C$47)&amp;(momensan!$D$12:$D$47),momensan!$L$12:$L$47),2,0)</f>
        <v>0.64051199999999997</v>
      </c>
      <c r="E38" s="500">
        <f>TH!$I$45/10/100</f>
        <v>0.08</v>
      </c>
      <c r="F38" s="205">
        <v>1</v>
      </c>
      <c r="G38" s="447">
        <f t="shared" si="5"/>
        <v>850</v>
      </c>
      <c r="H38" s="204">
        <f t="shared" si="0"/>
        <v>28000</v>
      </c>
      <c r="I38" s="207">
        <f t="shared" si="6"/>
        <v>0.11774117647058824</v>
      </c>
      <c r="J38" s="208">
        <f t="shared" si="14"/>
        <v>0.93718349896205577</v>
      </c>
      <c r="K38" s="209">
        <f t="shared" si="7"/>
        <v>3.0510871932715733</v>
      </c>
      <c r="L38" s="206">
        <v>10</v>
      </c>
      <c r="M38" s="206">
        <v>200</v>
      </c>
      <c r="N38" s="209">
        <f t="shared" si="2"/>
        <v>3.9249999999999998</v>
      </c>
      <c r="O38" s="210">
        <f t="shared" si="8"/>
        <v>0.49062499999999998</v>
      </c>
      <c r="P38" s="537" t="str">
        <f t="shared" si="3"/>
        <v>Ø10a200</v>
      </c>
      <c r="Q38" s="189">
        <f>VLOOKUP(P38,'tra thep'!$E$11:$F$62,2,)</f>
        <v>3.93</v>
      </c>
      <c r="R38" s="182">
        <f t="shared" si="4"/>
        <v>2500</v>
      </c>
      <c r="S38" s="208">
        <f t="shared" si="9"/>
        <v>0.12563300207588832</v>
      </c>
      <c r="U38" s="385"/>
      <c r="V38" s="201"/>
      <c r="Z38" s="201"/>
      <c r="AC38" s="577">
        <f t="shared" si="13"/>
        <v>77.734705561059187</v>
      </c>
    </row>
    <row r="39" spans="1:29" ht="15.5">
      <c r="A39" s="174"/>
      <c r="B39" s="202" t="s">
        <v>110</v>
      </c>
      <c r="C39" s="203" t="s">
        <v>444</v>
      </c>
      <c r="D39" s="504">
        <f t="array" ref="D39">VLOOKUP(B39&amp;C39,CHOOSE({1,2},(momensan!$C$12:$C$47)&amp;(momensan!$D$12:$D$47),momensan!$L$12:$L$47),2,0)</f>
        <v>0.10886400000000002</v>
      </c>
      <c r="E39" s="500">
        <f>TH!$I$45/10/100</f>
        <v>0.08</v>
      </c>
      <c r="F39" s="205">
        <v>1</v>
      </c>
      <c r="G39" s="447">
        <f t="shared" si="5"/>
        <v>850</v>
      </c>
      <c r="H39" s="204">
        <f t="shared" si="0"/>
        <v>28000</v>
      </c>
      <c r="I39" s="207">
        <f t="shared" si="6"/>
        <v>2.0011764705882357E-2</v>
      </c>
      <c r="J39" s="208">
        <f>0.5*(1+SQRT(1-2*I39))</f>
        <v>0.98989194486851773</v>
      </c>
      <c r="K39" s="209">
        <f t="shared" si="7"/>
        <v>0.4909626778148527</v>
      </c>
      <c r="L39" s="206">
        <v>10</v>
      </c>
      <c r="M39" s="206">
        <v>200</v>
      </c>
      <c r="N39" s="209">
        <f t="shared" si="2"/>
        <v>3.9249999999999998</v>
      </c>
      <c r="O39" s="210">
        <f t="shared" si="8"/>
        <v>0.49062499999999998</v>
      </c>
      <c r="P39" s="537" t="str">
        <f t="shared" si="3"/>
        <v>Ø10a200</v>
      </c>
      <c r="Q39" s="189">
        <f>VLOOKUP(P39,'tra thep'!$E$11:$F$62,2,)</f>
        <v>3.93</v>
      </c>
      <c r="R39" s="182">
        <f t="shared" si="4"/>
        <v>2500</v>
      </c>
      <c r="S39" s="208">
        <f t="shared" si="9"/>
        <v>2.0216110262964528E-2</v>
      </c>
      <c r="U39" s="385"/>
      <c r="V39" s="201"/>
      <c r="Z39" s="201"/>
      <c r="AC39" s="577">
        <f t="shared" si="13"/>
        <v>12.508603256429367</v>
      </c>
    </row>
    <row r="40" spans="1:29" ht="15.5">
      <c r="A40" s="174"/>
      <c r="B40" s="211" t="str">
        <f>B39</f>
        <v>S9</v>
      </c>
      <c r="C40" s="203" t="s">
        <v>445</v>
      </c>
      <c r="D40" s="504">
        <f t="array" ref="D40">VLOOKUP(B40&amp;C40,CHOOSE({1,2},(momensan!$C$12:$C$47)&amp;(momensan!$D$12:$D$47),momensan!$L$12:$L$47),2,0)</f>
        <v>5.9616000000000002E-2</v>
      </c>
      <c r="E40" s="500">
        <f>(TH!$I$45/10-(L40+L39)/2/10)/100</f>
        <v>7.0000000000000007E-2</v>
      </c>
      <c r="F40" s="205">
        <v>1</v>
      </c>
      <c r="G40" s="447">
        <f t="shared" si="5"/>
        <v>850</v>
      </c>
      <c r="H40" s="204">
        <f t="shared" si="0"/>
        <v>28000</v>
      </c>
      <c r="I40" s="207">
        <f t="shared" si="6"/>
        <v>1.4313565426170467E-2</v>
      </c>
      <c r="J40" s="208">
        <f t="shared" si="14"/>
        <v>0.99279125122805778</v>
      </c>
      <c r="K40" s="209">
        <f t="shared" si="7"/>
        <v>0.30637182280754399</v>
      </c>
      <c r="L40" s="206">
        <v>10</v>
      </c>
      <c r="M40" s="206">
        <v>200</v>
      </c>
      <c r="N40" s="209">
        <f t="shared" si="2"/>
        <v>3.9249999999999998</v>
      </c>
      <c r="O40" s="210">
        <f t="shared" si="8"/>
        <v>0.56071428571428561</v>
      </c>
      <c r="P40" s="537" t="str">
        <f t="shared" si="3"/>
        <v>Ø10a200</v>
      </c>
      <c r="Q40" s="189">
        <f>VLOOKUP(P40,'tra thep'!$E$11:$F$62,2,)</f>
        <v>3.93</v>
      </c>
      <c r="R40" s="182">
        <f t="shared" si="4"/>
        <v>2857.1428571428569</v>
      </c>
      <c r="S40" s="208">
        <f t="shared" si="9"/>
        <v>1.4417497543884425E-2</v>
      </c>
      <c r="U40" s="385"/>
      <c r="V40" s="201"/>
      <c r="Z40" s="201"/>
      <c r="AC40" s="577">
        <f t="shared" si="13"/>
        <v>7.805651536497936</v>
      </c>
    </row>
    <row r="41" spans="1:29" ht="15.5">
      <c r="A41" s="174"/>
      <c r="B41" s="211" t="str">
        <f>B39</f>
        <v>S9</v>
      </c>
      <c r="C41" s="203" t="s">
        <v>446</v>
      </c>
      <c r="D41" s="504">
        <f t="array" ref="D41">VLOOKUP(B41&amp;C41,CHOOSE({1,2},(momensan!$C$12:$C$47)&amp;(momensan!$D$12:$D$47),momensan!$L$12:$L$47),2,0)</f>
        <v>0.24572159999999998</v>
      </c>
      <c r="E41" s="500">
        <f>TH!$I$45/10/100</f>
        <v>0.08</v>
      </c>
      <c r="F41" s="205">
        <v>1</v>
      </c>
      <c r="G41" s="447">
        <f t="shared" si="5"/>
        <v>850</v>
      </c>
      <c r="H41" s="204">
        <f t="shared" si="0"/>
        <v>28000</v>
      </c>
      <c r="I41" s="207">
        <f t="shared" si="6"/>
        <v>4.5169411764705882E-2</v>
      </c>
      <c r="J41" s="208">
        <f t="shared" si="14"/>
        <v>0.97688079654945958</v>
      </c>
      <c r="K41" s="209">
        <f t="shared" si="7"/>
        <v>1.1229327390262489</v>
      </c>
      <c r="L41" s="206">
        <v>10</v>
      </c>
      <c r="M41" s="206">
        <v>200</v>
      </c>
      <c r="N41" s="209">
        <f t="shared" si="2"/>
        <v>3.9249999999999998</v>
      </c>
      <c r="O41" s="210">
        <f t="shared" si="8"/>
        <v>0.49062499999999998</v>
      </c>
      <c r="P41" s="537" t="str">
        <f t="shared" si="3"/>
        <v>Ø10a200</v>
      </c>
      <c r="Q41" s="189">
        <f>VLOOKUP(P41,'tra thep'!$E$11:$F$62,2,)</f>
        <v>3.93</v>
      </c>
      <c r="R41" s="182">
        <f t="shared" si="4"/>
        <v>2500</v>
      </c>
      <c r="S41" s="208">
        <f t="shared" si="9"/>
        <v>4.6238406901080845E-2</v>
      </c>
      <c r="U41" s="385"/>
      <c r="V41" s="201"/>
      <c r="Z41" s="201"/>
      <c r="AC41" s="577">
        <f t="shared" si="13"/>
        <v>28.609751312770676</v>
      </c>
    </row>
    <row r="42" spans="1:29" ht="15.5">
      <c r="A42" s="174"/>
      <c r="B42" s="212" t="str">
        <f>B39</f>
        <v>S9</v>
      </c>
      <c r="C42" s="203" t="s">
        <v>447</v>
      </c>
      <c r="D42" s="504">
        <f t="array" ref="D42">VLOOKUP(B42&amp;C42,CHOOSE({1,2},(momensan!$C$12:$C$47)&amp;(momensan!$D$12:$D$47),momensan!$L$12:$L$47),2,0)</f>
        <v>0.13582080000000002</v>
      </c>
      <c r="E42" s="500">
        <f>TH!$I$45/10/100</f>
        <v>0.08</v>
      </c>
      <c r="F42" s="205">
        <v>1</v>
      </c>
      <c r="G42" s="447">
        <f t="shared" si="5"/>
        <v>850</v>
      </c>
      <c r="H42" s="204">
        <f t="shared" si="0"/>
        <v>28000</v>
      </c>
      <c r="I42" s="207">
        <f t="shared" si="6"/>
        <v>2.4967058823529419E-2</v>
      </c>
      <c r="J42" s="208">
        <f t="shared" si="14"/>
        <v>0.98735661541445729</v>
      </c>
      <c r="K42" s="209">
        <f t="shared" si="7"/>
        <v>0.61410725129778565</v>
      </c>
      <c r="L42" s="206">
        <v>10</v>
      </c>
      <c r="M42" s="206">
        <v>200</v>
      </c>
      <c r="N42" s="209">
        <f t="shared" si="2"/>
        <v>3.9249999999999998</v>
      </c>
      <c r="O42" s="210">
        <f t="shared" si="8"/>
        <v>0.49062499999999998</v>
      </c>
      <c r="P42" s="537" t="str">
        <f t="shared" si="3"/>
        <v>Ø10a200</v>
      </c>
      <c r="Q42" s="189">
        <f>VLOOKUP(P42,'tra thep'!$E$11:$F$62,2,)</f>
        <v>3.93</v>
      </c>
      <c r="R42" s="182">
        <f t="shared" si="4"/>
        <v>2500</v>
      </c>
      <c r="S42" s="208">
        <f t="shared" si="9"/>
        <v>2.5286769171085296E-2</v>
      </c>
      <c r="U42" s="385"/>
      <c r="V42" s="201"/>
      <c r="Z42" s="201"/>
      <c r="AC42" s="577">
        <f t="shared" si="13"/>
        <v>15.646044619051864</v>
      </c>
    </row>
    <row r="43" spans="1:29" ht="15.5">
      <c r="A43" s="174"/>
      <c r="B43" s="202" t="s">
        <v>109</v>
      </c>
      <c r="C43" s="203" t="s">
        <v>444</v>
      </c>
      <c r="D43" s="504">
        <f t="array" ref="D43">VLOOKUP(B43&amp;C43,CHOOSE({1,2},(momensan!$C$12:$C$47)&amp;(momensan!$D$12:$D$47),momensan!$L$12:$L$47),2,0)</f>
        <v>0.23385600000000004</v>
      </c>
      <c r="E43" s="500">
        <f>TH!$I$45/10/100</f>
        <v>0.08</v>
      </c>
      <c r="F43" s="205">
        <v>1</v>
      </c>
      <c r="G43" s="447">
        <f t="shared" si="5"/>
        <v>850</v>
      </c>
      <c r="H43" s="204">
        <f t="shared" si="0"/>
        <v>28000</v>
      </c>
      <c r="I43" s="207">
        <f t="shared" si="6"/>
        <v>4.2988235294117653E-2</v>
      </c>
      <c r="J43" s="208">
        <f>0.5*(1+SQRT(1-2*I43))</f>
        <v>0.97802288894250777</v>
      </c>
      <c r="K43" s="209">
        <f t="shared" si="7"/>
        <v>1.0674596799353342</v>
      </c>
      <c r="L43" s="206">
        <v>10</v>
      </c>
      <c r="M43" s="206">
        <v>200</v>
      </c>
      <c r="N43" s="209">
        <f t="shared" si="2"/>
        <v>3.9249999999999998</v>
      </c>
      <c r="O43" s="210">
        <f t="shared" si="8"/>
        <v>0.49062499999999998</v>
      </c>
      <c r="P43" s="537" t="str">
        <f t="shared" si="3"/>
        <v>Ø10a200</v>
      </c>
      <c r="Q43" s="189">
        <f>VLOOKUP(P43,'tra thep'!$E$11:$F$62,2,)</f>
        <v>3.93</v>
      </c>
      <c r="R43" s="182">
        <f t="shared" si="4"/>
        <v>2500</v>
      </c>
      <c r="S43" s="208">
        <f t="shared" si="9"/>
        <v>4.3954222114984343E-2</v>
      </c>
      <c r="U43" s="385"/>
      <c r="V43" s="201"/>
      <c r="Z43" s="201"/>
      <c r="AC43" s="577">
        <f t="shared" si="13"/>
        <v>27.196424966505333</v>
      </c>
    </row>
    <row r="44" spans="1:29" ht="15.5">
      <c r="A44" s="174"/>
      <c r="B44" s="211" t="str">
        <f>B43</f>
        <v>S10</v>
      </c>
      <c r="C44" s="203" t="s">
        <v>445</v>
      </c>
      <c r="D44" s="504">
        <f t="array" ref="D44">VLOOKUP(B44&amp;C44,CHOOSE({1,2},(momensan!$C$12:$C$47)&amp;(momensan!$D$12:$D$47),momensan!$L$12:$L$47),2,0)</f>
        <v>0.12271872000000002</v>
      </c>
      <c r="E44" s="500">
        <f>(TH!$I$45/10-(L44+L43)/2/10)/100</f>
        <v>7.0000000000000007E-2</v>
      </c>
      <c r="F44" s="205">
        <v>1</v>
      </c>
      <c r="G44" s="447">
        <f t="shared" si="5"/>
        <v>850</v>
      </c>
      <c r="H44" s="204">
        <f t="shared" si="0"/>
        <v>28000</v>
      </c>
      <c r="I44" s="207">
        <f t="shared" si="6"/>
        <v>2.9464278511404561E-2</v>
      </c>
      <c r="J44" s="208">
        <f t="shared" si="14"/>
        <v>0.98504418432169427</v>
      </c>
      <c r="K44" s="209">
        <f t="shared" si="7"/>
        <v>0.63562216632799384</v>
      </c>
      <c r="L44" s="206">
        <v>10</v>
      </c>
      <c r="M44" s="206">
        <v>200</v>
      </c>
      <c r="N44" s="209">
        <f t="shared" si="2"/>
        <v>3.9249999999999998</v>
      </c>
      <c r="O44" s="210">
        <f t="shared" si="8"/>
        <v>0.56071428571428561</v>
      </c>
      <c r="P44" s="537" t="str">
        <f t="shared" si="3"/>
        <v>Ø10a200</v>
      </c>
      <c r="Q44" s="189">
        <f>VLOOKUP(P44,'tra thep'!$E$11:$F$62,2,)</f>
        <v>3.93</v>
      </c>
      <c r="R44" s="182">
        <f t="shared" si="4"/>
        <v>2857.1428571428569</v>
      </c>
      <c r="S44" s="208">
        <f t="shared" si="9"/>
        <v>2.9911631356611471E-2</v>
      </c>
      <c r="AC44" s="577">
        <f t="shared" si="13"/>
        <v>16.194195320458444</v>
      </c>
    </row>
    <row r="45" spans="1:29" ht="15.5">
      <c r="A45" s="174"/>
      <c r="B45" s="211" t="str">
        <f>B43</f>
        <v>S10</v>
      </c>
      <c r="C45" s="203" t="s">
        <v>446</v>
      </c>
      <c r="D45" s="504">
        <f t="array" ref="D45">VLOOKUP(B45&amp;C45,CHOOSE({1,2},(momensan!$C$12:$C$47)&amp;(momensan!$D$12:$D$47),momensan!$L$12:$L$47),2,0)</f>
        <v>0.4603622400000002</v>
      </c>
      <c r="E45" s="500">
        <f>TH!$I$45/10/100</f>
        <v>0.08</v>
      </c>
      <c r="F45" s="205">
        <v>1</v>
      </c>
      <c r="G45" s="447">
        <f t="shared" si="5"/>
        <v>850</v>
      </c>
      <c r="H45" s="204">
        <f t="shared" si="0"/>
        <v>28000</v>
      </c>
      <c r="I45" s="207">
        <f t="shared" si="6"/>
        <v>8.4625411764705921E-2</v>
      </c>
      <c r="J45" s="208">
        <f t="shared" si="14"/>
        <v>0.9557272145896567</v>
      </c>
      <c r="K45" s="209">
        <f t="shared" si="7"/>
        <v>2.1503924342166725</v>
      </c>
      <c r="L45" s="206">
        <v>10</v>
      </c>
      <c r="M45" s="206">
        <v>200</v>
      </c>
      <c r="N45" s="209">
        <f t="shared" si="2"/>
        <v>3.9249999999999998</v>
      </c>
      <c r="O45" s="210">
        <f t="shared" si="8"/>
        <v>0.49062499999999998</v>
      </c>
      <c r="P45" s="537" t="str">
        <f t="shared" si="3"/>
        <v>Ø10a200</v>
      </c>
      <c r="Q45" s="189">
        <f>VLOOKUP(P45,'tra thep'!$E$11:$F$62,2,)</f>
        <v>3.93</v>
      </c>
      <c r="R45" s="182">
        <f t="shared" si="4"/>
        <v>2500</v>
      </c>
      <c r="S45" s="208">
        <f t="shared" si="9"/>
        <v>8.8545570820686537E-2</v>
      </c>
      <c r="AC45" s="577">
        <f t="shared" si="13"/>
        <v>54.78706838768592</v>
      </c>
    </row>
    <row r="46" spans="1:29" ht="15.5">
      <c r="A46" s="174"/>
      <c r="B46" s="212" t="str">
        <f>B43</f>
        <v>S10</v>
      </c>
      <c r="C46" s="203" t="s">
        <v>447</v>
      </c>
      <c r="D46" s="504">
        <f t="array" ref="D46">VLOOKUP(B46&amp;C46,CHOOSE({1,2},(momensan!$C$12:$C$47)&amp;(momensan!$D$12:$D$47),momensan!$L$12:$L$47),2,0)</f>
        <v>0.27706368000000009</v>
      </c>
      <c r="E46" s="500">
        <f>TH!$I$45/10/100</f>
        <v>0.08</v>
      </c>
      <c r="F46" s="205">
        <v>1</v>
      </c>
      <c r="G46" s="447">
        <f t="shared" si="5"/>
        <v>850</v>
      </c>
      <c r="H46" s="204">
        <f t="shared" si="0"/>
        <v>28000</v>
      </c>
      <c r="I46" s="207">
        <f t="shared" si="6"/>
        <v>5.0930823529411785E-2</v>
      </c>
      <c r="J46" s="208">
        <f t="shared" si="14"/>
        <v>0.97385080799265722</v>
      </c>
      <c r="K46" s="209">
        <f t="shared" si="7"/>
        <v>1.27010361178522</v>
      </c>
      <c r="L46" s="206">
        <v>10</v>
      </c>
      <c r="M46" s="206">
        <v>200</v>
      </c>
      <c r="N46" s="209">
        <f t="shared" si="2"/>
        <v>3.9249999999999998</v>
      </c>
      <c r="O46" s="210">
        <f t="shared" si="8"/>
        <v>0.49062499999999998</v>
      </c>
      <c r="P46" s="537" t="str">
        <f t="shared" si="3"/>
        <v>Ø10a200</v>
      </c>
      <c r="Q46" s="189">
        <f>VLOOKUP(P46,'tra thep'!$E$11:$F$62,2,)</f>
        <v>3.93</v>
      </c>
      <c r="R46" s="182">
        <f t="shared" si="4"/>
        <v>2500</v>
      </c>
      <c r="S46" s="208">
        <f t="shared" si="9"/>
        <v>5.2298384014685541E-2</v>
      </c>
      <c r="AC46" s="577">
        <f t="shared" si="13"/>
        <v>32.359327688795418</v>
      </c>
    </row>
    <row r="47" spans="1:29">
      <c r="A47" s="174"/>
      <c r="B47" s="175"/>
      <c r="C47" s="175"/>
      <c r="D47" s="175"/>
      <c r="E47" s="175"/>
      <c r="F47" s="175"/>
      <c r="G47" s="175"/>
      <c r="H47" s="175"/>
      <c r="I47" s="178"/>
      <c r="J47" s="175"/>
      <c r="K47" s="175"/>
      <c r="L47" s="175"/>
      <c r="M47" s="175"/>
      <c r="N47" s="175"/>
      <c r="O47" s="176"/>
      <c r="P47" s="175"/>
      <c r="Q47" s="190"/>
      <c r="R47" s="175"/>
    </row>
    <row r="48" spans="1:29">
      <c r="A48" s="174"/>
      <c r="B48" s="175"/>
      <c r="C48" s="175"/>
      <c r="D48" s="175"/>
      <c r="E48" s="175"/>
      <c r="F48" s="175"/>
      <c r="G48" s="175"/>
      <c r="H48" s="175"/>
      <c r="I48" s="178"/>
      <c r="J48" s="175"/>
      <c r="K48" s="175"/>
      <c r="L48" s="175"/>
      <c r="M48" s="175"/>
      <c r="N48" s="175"/>
      <c r="O48" s="176"/>
      <c r="P48" s="175"/>
      <c r="Q48" s="190"/>
      <c r="R48" s="175"/>
    </row>
    <row r="49" spans="1:18">
      <c r="A49" s="174"/>
      <c r="B49" s="175"/>
      <c r="C49" s="175"/>
      <c r="D49" s="175"/>
      <c r="E49" s="175"/>
      <c r="F49" s="175"/>
      <c r="G49" s="175"/>
      <c r="H49" s="175"/>
      <c r="I49" s="178"/>
      <c r="J49" s="175"/>
      <c r="K49" s="175"/>
      <c r="L49" s="175"/>
      <c r="M49" s="175"/>
      <c r="N49" s="175"/>
      <c r="O49" s="176"/>
      <c r="P49" s="175"/>
      <c r="Q49" s="190"/>
      <c r="R49" s="175"/>
    </row>
    <row r="50" spans="1:18">
      <c r="A50" s="174"/>
      <c r="B50" s="175"/>
      <c r="C50" s="175"/>
      <c r="D50" s="175"/>
      <c r="E50" s="175"/>
      <c r="F50" s="175"/>
      <c r="G50" s="175"/>
      <c r="H50" s="175"/>
      <c r="I50" s="178"/>
      <c r="J50" s="175"/>
      <c r="K50" s="175"/>
      <c r="L50" s="175"/>
      <c r="M50" s="175"/>
      <c r="N50" s="175"/>
      <c r="O50" s="176"/>
      <c r="P50" s="175"/>
      <c r="Q50" s="190"/>
      <c r="R50" s="175"/>
    </row>
    <row r="51" spans="1:18">
      <c r="A51" s="174"/>
      <c r="B51" s="175"/>
      <c r="C51" s="175"/>
      <c r="D51" s="175"/>
      <c r="E51" s="175"/>
      <c r="F51" s="175"/>
      <c r="G51" s="175"/>
      <c r="H51" s="175"/>
      <c r="I51" s="178"/>
      <c r="J51" s="175"/>
      <c r="K51" s="175"/>
      <c r="L51" s="175"/>
      <c r="M51" s="175"/>
      <c r="N51" s="175"/>
      <c r="O51" s="176"/>
      <c r="P51" s="175"/>
      <c r="Q51" s="190"/>
      <c r="R51" s="175"/>
    </row>
    <row r="52" spans="1:18">
      <c r="A52" s="174"/>
      <c r="B52" s="175"/>
      <c r="C52" s="175"/>
      <c r="D52" s="175"/>
      <c r="E52" s="175"/>
      <c r="F52" s="175"/>
      <c r="G52" s="175"/>
      <c r="H52" s="175"/>
      <c r="I52" s="178"/>
      <c r="J52" s="175"/>
      <c r="K52" s="175"/>
      <c r="L52" s="175"/>
      <c r="M52" s="175"/>
      <c r="N52" s="175"/>
      <c r="O52" s="176"/>
      <c r="P52" s="175"/>
      <c r="Q52" s="190"/>
      <c r="R52" s="175"/>
    </row>
    <row r="53" spans="1:18">
      <c r="A53" s="174"/>
      <c r="B53" s="175"/>
      <c r="C53" s="175"/>
      <c r="D53" s="175"/>
      <c r="E53" s="175"/>
      <c r="F53" s="175"/>
      <c r="G53" s="175"/>
      <c r="H53" s="175"/>
      <c r="I53" s="178"/>
      <c r="J53" s="175"/>
      <c r="K53" s="175"/>
      <c r="L53" s="175"/>
      <c r="M53" s="175"/>
      <c r="N53" s="175"/>
      <c r="O53" s="176"/>
      <c r="P53" s="175"/>
      <c r="Q53" s="190"/>
      <c r="R53" s="175"/>
    </row>
    <row r="54" spans="1:18">
      <c r="A54" s="174"/>
      <c r="B54" s="174"/>
      <c r="C54" s="174"/>
      <c r="D54" s="174"/>
      <c r="E54" s="174"/>
      <c r="F54" s="174"/>
      <c r="G54" s="174"/>
      <c r="H54" s="174"/>
      <c r="I54" s="177"/>
      <c r="J54" s="174"/>
      <c r="K54" s="174"/>
      <c r="L54" s="174"/>
      <c r="M54" s="174"/>
      <c r="N54" s="174"/>
      <c r="O54" s="173"/>
      <c r="P54" s="174"/>
      <c r="Q54" s="184"/>
      <c r="R54" s="174"/>
    </row>
    <row r="55" spans="1:18">
      <c r="A55" s="174"/>
      <c r="B55" s="174"/>
      <c r="C55" s="174"/>
      <c r="D55" s="174"/>
      <c r="E55" s="174"/>
      <c r="F55" s="174"/>
      <c r="G55" s="174"/>
      <c r="H55" s="174"/>
      <c r="I55" s="177"/>
      <c r="J55" s="174"/>
      <c r="K55" s="174"/>
      <c r="L55" s="174"/>
      <c r="M55" s="174"/>
      <c r="N55" s="174"/>
      <c r="O55" s="173"/>
      <c r="P55" s="174"/>
      <c r="Q55" s="184"/>
      <c r="R55" s="174"/>
    </row>
    <row r="56" spans="1:18">
      <c r="A56" s="174"/>
      <c r="B56" s="174"/>
      <c r="C56" s="174"/>
      <c r="D56" s="174"/>
      <c r="E56" s="174"/>
      <c r="F56" s="174"/>
      <c r="G56" s="174"/>
      <c r="H56" s="174"/>
      <c r="I56" s="177"/>
      <c r="J56" s="174"/>
      <c r="K56" s="174"/>
      <c r="L56" s="174"/>
      <c r="M56" s="174"/>
      <c r="N56" s="174"/>
      <c r="O56" s="173"/>
      <c r="P56" s="174"/>
      <c r="Q56" s="184"/>
      <c r="R56" s="174"/>
    </row>
    <row r="57" spans="1:18">
      <c r="A57" s="174"/>
      <c r="B57" s="174"/>
      <c r="C57" s="174"/>
      <c r="D57" s="174"/>
      <c r="E57" s="174"/>
      <c r="F57" s="174"/>
      <c r="G57" s="174"/>
      <c r="H57" s="174"/>
      <c r="I57" s="177"/>
      <c r="J57" s="174"/>
      <c r="K57" s="174"/>
      <c r="L57" s="174"/>
      <c r="M57" s="174"/>
      <c r="N57" s="174"/>
      <c r="O57" s="173"/>
      <c r="P57" s="174"/>
      <c r="Q57" s="184"/>
      <c r="R57" s="174"/>
    </row>
    <row r="58" spans="1:18">
      <c r="A58" s="174"/>
      <c r="B58" s="174"/>
      <c r="C58" s="174"/>
      <c r="D58" s="174"/>
      <c r="E58" s="174"/>
      <c r="F58" s="174"/>
      <c r="G58" s="174"/>
      <c r="H58" s="174"/>
      <c r="I58" s="177"/>
      <c r="J58" s="174"/>
      <c r="K58" s="174"/>
      <c r="L58" s="174"/>
      <c r="M58" s="174"/>
      <c r="N58" s="174"/>
      <c r="O58" s="173"/>
      <c r="P58" s="174"/>
      <c r="Q58" s="184"/>
      <c r="R58" s="174"/>
    </row>
    <row r="59" spans="1:18">
      <c r="A59" s="174"/>
      <c r="B59" s="174"/>
      <c r="C59" s="174"/>
      <c r="D59" s="174"/>
      <c r="E59" s="174"/>
      <c r="F59" s="174"/>
      <c r="G59" s="174"/>
      <c r="H59" s="174"/>
      <c r="I59" s="177"/>
      <c r="J59" s="174"/>
      <c r="K59" s="174"/>
      <c r="L59" s="174"/>
      <c r="M59" s="174"/>
      <c r="N59" s="174"/>
      <c r="O59" s="173"/>
      <c r="P59" s="174"/>
      <c r="Q59" s="184"/>
      <c r="R59" s="174"/>
    </row>
    <row r="60" spans="1:18">
      <c r="A60" s="174"/>
      <c r="B60" s="174"/>
      <c r="C60" s="174"/>
      <c r="D60" s="174"/>
      <c r="E60" s="174"/>
      <c r="F60" s="174"/>
      <c r="G60" s="174"/>
      <c r="H60" s="174"/>
      <c r="I60" s="177"/>
      <c r="J60" s="174"/>
      <c r="K60" s="174"/>
      <c r="L60" s="174"/>
      <c r="M60" s="174"/>
      <c r="N60" s="174"/>
      <c r="O60" s="173"/>
      <c r="P60" s="174"/>
      <c r="Q60" s="184"/>
      <c r="R60" s="174"/>
    </row>
    <row r="61" spans="1:18">
      <c r="A61" s="174"/>
      <c r="B61" s="174"/>
      <c r="C61" s="174"/>
      <c r="D61" s="174"/>
      <c r="E61" s="174"/>
      <c r="F61" s="174"/>
      <c r="G61" s="174"/>
      <c r="H61" s="174"/>
      <c r="I61" s="177"/>
      <c r="J61" s="174"/>
      <c r="K61" s="174"/>
      <c r="L61" s="174"/>
      <c r="M61" s="174"/>
      <c r="N61" s="174"/>
      <c r="O61" s="173"/>
      <c r="P61" s="174"/>
      <c r="Q61" s="184"/>
      <c r="R61" s="174"/>
    </row>
    <row r="62" spans="1:18">
      <c r="A62" s="174"/>
      <c r="B62" s="174"/>
      <c r="C62" s="174"/>
      <c r="D62" s="174"/>
      <c r="E62" s="174"/>
      <c r="F62" s="174"/>
      <c r="G62" s="174"/>
      <c r="H62" s="174"/>
      <c r="I62" s="177"/>
      <c r="J62" s="174"/>
      <c r="K62" s="174"/>
      <c r="L62" s="174"/>
      <c r="M62" s="174"/>
      <c r="N62" s="174"/>
      <c r="O62" s="173"/>
      <c r="P62" s="174"/>
      <c r="Q62" s="184"/>
      <c r="R62" s="174"/>
    </row>
    <row r="63" spans="1:18">
      <c r="A63" s="174"/>
      <c r="B63" s="174"/>
      <c r="C63" s="174"/>
      <c r="D63" s="174"/>
      <c r="E63" s="174"/>
      <c r="F63" s="174"/>
      <c r="G63" s="174"/>
      <c r="H63" s="174"/>
      <c r="I63" s="177"/>
      <c r="J63" s="174"/>
      <c r="K63" s="174"/>
      <c r="L63" s="174"/>
      <c r="M63" s="174"/>
      <c r="N63" s="174"/>
      <c r="O63" s="173"/>
      <c r="P63" s="174"/>
      <c r="Q63" s="184"/>
      <c r="R63" s="174"/>
    </row>
    <row r="64" spans="1:18">
      <c r="A64" s="174"/>
      <c r="B64" s="174"/>
      <c r="C64" s="174"/>
      <c r="D64" s="174"/>
      <c r="E64" s="174"/>
      <c r="F64" s="174"/>
      <c r="G64" s="174"/>
      <c r="H64" s="174"/>
      <c r="I64" s="177"/>
      <c r="J64" s="174"/>
      <c r="K64" s="174"/>
      <c r="L64" s="174"/>
      <c r="M64" s="174"/>
      <c r="N64" s="174"/>
      <c r="O64" s="173"/>
      <c r="P64" s="174"/>
      <c r="Q64" s="184"/>
      <c r="R64" s="174"/>
    </row>
    <row r="65" spans="1:18">
      <c r="A65" s="174"/>
      <c r="B65" s="174"/>
      <c r="C65" s="174"/>
      <c r="D65" s="174"/>
      <c r="E65" s="174"/>
      <c r="F65" s="174"/>
      <c r="G65" s="174"/>
      <c r="H65" s="174"/>
      <c r="I65" s="177"/>
      <c r="J65" s="174"/>
      <c r="K65" s="174"/>
      <c r="L65" s="174"/>
      <c r="M65" s="174"/>
      <c r="N65" s="174"/>
      <c r="O65" s="173"/>
      <c r="P65" s="174"/>
      <c r="Q65" s="184"/>
      <c r="R65" s="174"/>
    </row>
    <row r="66" spans="1:18">
      <c r="A66" s="174"/>
      <c r="B66" s="174"/>
      <c r="C66" s="174"/>
      <c r="D66" s="174"/>
      <c r="E66" s="174"/>
      <c r="F66" s="174"/>
      <c r="G66" s="174"/>
      <c r="H66" s="174"/>
      <c r="I66" s="177"/>
      <c r="J66" s="174"/>
      <c r="K66" s="174"/>
      <c r="L66" s="174"/>
      <c r="M66" s="174"/>
      <c r="N66" s="174"/>
      <c r="O66" s="173"/>
      <c r="P66" s="174"/>
      <c r="Q66" s="184"/>
      <c r="R66" s="174"/>
    </row>
    <row r="67" spans="1:18">
      <c r="A67" s="174"/>
      <c r="B67" s="174"/>
      <c r="C67" s="174"/>
      <c r="D67" s="174"/>
      <c r="E67" s="174"/>
      <c r="F67" s="174"/>
      <c r="G67" s="174"/>
      <c r="H67" s="174"/>
      <c r="I67" s="177"/>
      <c r="J67" s="174"/>
      <c r="K67" s="174"/>
      <c r="L67" s="174"/>
      <c r="M67" s="174"/>
      <c r="N67" s="174"/>
      <c r="O67" s="173"/>
      <c r="P67" s="174"/>
      <c r="Q67" s="184"/>
      <c r="R67" s="174"/>
    </row>
    <row r="68" spans="1:18">
      <c r="A68" s="174"/>
      <c r="B68" s="174"/>
      <c r="C68" s="174"/>
      <c r="D68" s="174"/>
      <c r="E68" s="174"/>
      <c r="F68" s="174"/>
      <c r="G68" s="174"/>
      <c r="H68" s="174"/>
      <c r="I68" s="177"/>
      <c r="J68" s="174"/>
      <c r="K68" s="174"/>
      <c r="L68" s="174"/>
      <c r="M68" s="174"/>
      <c r="N68" s="174"/>
      <c r="O68" s="173"/>
      <c r="P68" s="174"/>
      <c r="Q68" s="184"/>
      <c r="R68" s="174"/>
    </row>
  </sheetData>
  <mergeCells count="11">
    <mergeCell ref="B8:B9"/>
    <mergeCell ref="C8:C9"/>
    <mergeCell ref="D8:D9"/>
    <mergeCell ref="E8:E9"/>
    <mergeCell ref="F8:F9"/>
    <mergeCell ref="N8:N9"/>
    <mergeCell ref="O8:O9"/>
    <mergeCell ref="P8:P9"/>
    <mergeCell ref="I8:I9"/>
    <mergeCell ref="J8:J9"/>
    <mergeCell ref="K8:K9"/>
  </mergeCells>
  <phoneticPr fontId="47" type="noConversion"/>
  <conditionalFormatting sqref="N11:N46">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AB6F7-E797-4E29-AC94-500E0AF055C0}">
  <sheetPr codeName="Sheet18"/>
  <dimension ref="A1:R99"/>
  <sheetViews>
    <sheetView topLeftCell="A88" workbookViewId="0">
      <selection sqref="A1:O99"/>
    </sheetView>
  </sheetViews>
  <sheetFormatPr defaultColWidth="8.83203125" defaultRowHeight="14"/>
  <cols>
    <col min="2" max="2" width="9.08203125" customWidth="1"/>
    <col min="7" max="7" width="9.08203125" style="201"/>
  </cols>
  <sheetData>
    <row r="1" spans="1:18" ht="15.5">
      <c r="A1" s="1088" t="s">
        <v>649</v>
      </c>
      <c r="B1" s="1088" t="s">
        <v>954</v>
      </c>
      <c r="C1" s="1088" t="s">
        <v>955</v>
      </c>
      <c r="D1" s="579" t="s">
        <v>241</v>
      </c>
      <c r="E1" s="579" t="s">
        <v>956</v>
      </c>
      <c r="F1" s="579" t="s">
        <v>957</v>
      </c>
      <c r="G1" s="592" t="s">
        <v>958</v>
      </c>
      <c r="H1" s="579" t="s">
        <v>959</v>
      </c>
      <c r="I1" s="579" t="s">
        <v>961</v>
      </c>
      <c r="J1" s="579" t="s">
        <v>962</v>
      </c>
      <c r="K1" s="579" t="s">
        <v>964</v>
      </c>
      <c r="L1" s="1091" t="s">
        <v>966</v>
      </c>
      <c r="M1" s="583" t="s">
        <v>967</v>
      </c>
      <c r="N1" s="585" t="s">
        <v>969</v>
      </c>
      <c r="O1" s="583" t="s">
        <v>970</v>
      </c>
    </row>
    <row r="2" spans="1:18">
      <c r="A2" s="1089"/>
      <c r="B2" s="1089"/>
      <c r="C2" s="1089"/>
      <c r="D2" s="580" t="s">
        <v>58</v>
      </c>
      <c r="E2" s="580" t="s">
        <v>58</v>
      </c>
      <c r="F2" s="580" t="s">
        <v>58</v>
      </c>
      <c r="G2" s="593" t="s">
        <v>58</v>
      </c>
      <c r="H2" s="580" t="s">
        <v>960</v>
      </c>
      <c r="I2" s="580" t="s">
        <v>960</v>
      </c>
      <c r="J2" s="580" t="s">
        <v>628</v>
      </c>
      <c r="K2" s="580" t="s">
        <v>965</v>
      </c>
      <c r="L2" s="1092"/>
      <c r="M2" s="584" t="s">
        <v>968</v>
      </c>
      <c r="N2" s="584" t="s">
        <v>698</v>
      </c>
      <c r="O2" s="584" t="s">
        <v>968</v>
      </c>
    </row>
    <row r="3" spans="1:18" ht="14.5" thickBot="1">
      <c r="A3" s="1090"/>
      <c r="B3" s="1090"/>
      <c r="C3" s="1090"/>
      <c r="D3" s="581"/>
      <c r="E3" s="581"/>
      <c r="F3" s="581"/>
      <c r="G3" s="594"/>
      <c r="H3" s="581"/>
      <c r="I3" s="581"/>
      <c r="J3" s="582" t="s">
        <v>963</v>
      </c>
      <c r="K3" s="581"/>
      <c r="L3" s="1093"/>
      <c r="M3" s="581"/>
      <c r="N3" s="581"/>
      <c r="O3" s="581"/>
    </row>
    <row r="4" spans="1:18" ht="15" thickTop="1" thickBot="1">
      <c r="A4" s="586" t="s">
        <v>971</v>
      </c>
      <c r="B4" s="587" t="s">
        <v>972</v>
      </c>
      <c r="C4" s="588">
        <v>149</v>
      </c>
      <c r="D4" s="588">
        <v>0.2</v>
      </c>
      <c r="E4" s="588">
        <v>0.2</v>
      </c>
      <c r="F4" s="588">
        <v>2.7</v>
      </c>
      <c r="G4" s="595">
        <v>0</v>
      </c>
      <c r="H4" s="589">
        <v>0.84</v>
      </c>
      <c r="I4" s="589">
        <v>0.63</v>
      </c>
      <c r="J4" s="589">
        <v>-15.49</v>
      </c>
      <c r="K4" s="590">
        <v>3.2</v>
      </c>
      <c r="L4" s="591" t="s">
        <v>973</v>
      </c>
      <c r="M4" s="590">
        <f>ROUND(Q4*(R4/2)^2*PI()/100,1)</f>
        <v>10.199999999999999</v>
      </c>
      <c r="N4" s="589">
        <v>3.4</v>
      </c>
      <c r="O4" s="589">
        <f>M4-K4</f>
        <v>6.9999999999999991</v>
      </c>
      <c r="P4" t="str">
        <f>IF(O4&lt;0,"THIEU THEP","")</f>
        <v/>
      </c>
      <c r="Q4">
        <v>4</v>
      </c>
      <c r="R4">
        <v>18</v>
      </c>
    </row>
    <row r="5" spans="1:18" ht="14.5" thickBot="1">
      <c r="A5" s="586" t="s">
        <v>971</v>
      </c>
      <c r="B5" s="587" t="s">
        <v>972</v>
      </c>
      <c r="C5" s="588">
        <v>149</v>
      </c>
      <c r="D5" s="588">
        <v>0.2</v>
      </c>
      <c r="E5" s="588">
        <v>0.2</v>
      </c>
      <c r="F5" s="588">
        <v>2.7</v>
      </c>
      <c r="G5" s="595">
        <v>2.7</v>
      </c>
      <c r="H5" s="589">
        <v>0.63</v>
      </c>
      <c r="I5" s="589">
        <v>0.36</v>
      </c>
      <c r="J5" s="589">
        <v>-15.49</v>
      </c>
      <c r="K5" s="590">
        <v>0.6</v>
      </c>
      <c r="L5" s="591" t="s">
        <v>973</v>
      </c>
      <c r="M5" s="590">
        <f t="shared" ref="M5:M67" si="0">ROUND(Q5*(R5/2)^2*PI()/100,1)</f>
        <v>10.199999999999999</v>
      </c>
      <c r="N5" s="589">
        <v>3.4</v>
      </c>
      <c r="O5" s="589">
        <f t="shared" ref="O5:O67" si="1">M5-K5</f>
        <v>9.6</v>
      </c>
      <c r="P5" t="str">
        <f t="shared" ref="P5:P68" si="2">IF(O5&lt;0,"THIEU THEP","")</f>
        <v/>
      </c>
      <c r="Q5">
        <v>4</v>
      </c>
      <c r="R5">
        <v>18</v>
      </c>
    </row>
    <row r="6" spans="1:18" ht="14.5" thickBot="1">
      <c r="A6" s="586" t="s">
        <v>971</v>
      </c>
      <c r="B6" s="587" t="s">
        <v>972</v>
      </c>
      <c r="C6" s="588">
        <v>149</v>
      </c>
      <c r="D6" s="588">
        <v>0.2</v>
      </c>
      <c r="E6" s="588">
        <v>0.2</v>
      </c>
      <c r="F6" s="588">
        <v>2.7</v>
      </c>
      <c r="G6" s="595">
        <v>0</v>
      </c>
      <c r="H6" s="589">
        <v>-0.69</v>
      </c>
      <c r="I6" s="589">
        <v>-0.67</v>
      </c>
      <c r="J6" s="589">
        <v>-28.07</v>
      </c>
      <c r="K6" s="590">
        <v>0.6</v>
      </c>
      <c r="L6" s="591" t="s">
        <v>973</v>
      </c>
      <c r="M6" s="590">
        <f t="shared" si="0"/>
        <v>10.199999999999999</v>
      </c>
      <c r="N6" s="589">
        <v>3.4</v>
      </c>
      <c r="O6" s="589">
        <f t="shared" si="1"/>
        <v>9.6</v>
      </c>
      <c r="P6" t="str">
        <f t="shared" si="2"/>
        <v/>
      </c>
      <c r="Q6">
        <v>4</v>
      </c>
      <c r="R6">
        <v>18</v>
      </c>
    </row>
    <row r="7" spans="1:18" ht="14.5" thickBot="1">
      <c r="A7" s="586" t="s">
        <v>971</v>
      </c>
      <c r="B7" s="587" t="s">
        <v>972</v>
      </c>
      <c r="C7" s="588">
        <v>149</v>
      </c>
      <c r="D7" s="588">
        <v>0.2</v>
      </c>
      <c r="E7" s="588">
        <v>0.2</v>
      </c>
      <c r="F7" s="588">
        <v>2.7</v>
      </c>
      <c r="G7" s="595">
        <v>2.7</v>
      </c>
      <c r="H7" s="589">
        <v>-0.8</v>
      </c>
      <c r="I7" s="589">
        <v>-0.2</v>
      </c>
      <c r="J7" s="589">
        <v>-28.07</v>
      </c>
      <c r="K7" s="590">
        <v>0.6</v>
      </c>
      <c r="L7" s="591" t="s">
        <v>973</v>
      </c>
      <c r="M7" s="590">
        <f t="shared" si="0"/>
        <v>10.199999999999999</v>
      </c>
      <c r="N7" s="589">
        <v>3.4</v>
      </c>
      <c r="O7" s="589">
        <f t="shared" si="1"/>
        <v>9.6</v>
      </c>
      <c r="P7" t="str">
        <f t="shared" si="2"/>
        <v/>
      </c>
      <c r="Q7">
        <v>4</v>
      </c>
      <c r="R7">
        <v>18</v>
      </c>
    </row>
    <row r="8" spans="1:18" ht="14.5" thickBot="1">
      <c r="A8" s="586" t="s">
        <v>974</v>
      </c>
      <c r="B8" s="587" t="s">
        <v>972</v>
      </c>
      <c r="C8" s="588">
        <v>150</v>
      </c>
      <c r="D8" s="588">
        <v>0.2</v>
      </c>
      <c r="E8" s="588">
        <v>0.2</v>
      </c>
      <c r="F8" s="588">
        <v>3.6</v>
      </c>
      <c r="G8" s="595">
        <v>0</v>
      </c>
      <c r="H8" s="589">
        <v>1.1499999999999999</v>
      </c>
      <c r="I8" s="589">
        <v>0.88</v>
      </c>
      <c r="J8" s="589">
        <v>-7.45</v>
      </c>
      <c r="K8" s="590">
        <v>13.3</v>
      </c>
      <c r="L8" s="591" t="s">
        <v>973</v>
      </c>
      <c r="M8" s="590">
        <f t="shared" si="0"/>
        <v>15.2</v>
      </c>
      <c r="N8" s="589">
        <v>3.4</v>
      </c>
      <c r="O8" s="589">
        <f t="shared" si="1"/>
        <v>1.8999999999999986</v>
      </c>
      <c r="P8" t="str">
        <f t="shared" si="2"/>
        <v/>
      </c>
      <c r="Q8">
        <v>4</v>
      </c>
      <c r="R8">
        <v>22</v>
      </c>
    </row>
    <row r="9" spans="1:18" ht="14.5" thickBot="1">
      <c r="A9" s="586" t="s">
        <v>974</v>
      </c>
      <c r="B9" s="587" t="s">
        <v>972</v>
      </c>
      <c r="C9" s="588">
        <v>150</v>
      </c>
      <c r="D9" s="588">
        <v>0.2</v>
      </c>
      <c r="E9" s="588">
        <v>0.2</v>
      </c>
      <c r="F9" s="588">
        <v>3.6</v>
      </c>
      <c r="G9" s="595">
        <v>3.6</v>
      </c>
      <c r="H9" s="589">
        <v>0.97</v>
      </c>
      <c r="I9" s="589">
        <v>0.49</v>
      </c>
      <c r="J9" s="589">
        <v>-7.45</v>
      </c>
      <c r="K9" s="590">
        <v>8.1</v>
      </c>
      <c r="L9" s="591" t="s">
        <v>973</v>
      </c>
      <c r="M9" s="590">
        <f t="shared" si="0"/>
        <v>10.199999999999999</v>
      </c>
      <c r="N9" s="589">
        <v>3.4</v>
      </c>
      <c r="O9" s="589">
        <f t="shared" si="1"/>
        <v>2.0999999999999996</v>
      </c>
      <c r="P9" t="str">
        <f t="shared" si="2"/>
        <v/>
      </c>
      <c r="Q9">
        <v>4</v>
      </c>
      <c r="R9">
        <v>18</v>
      </c>
    </row>
    <row r="10" spans="1:18" ht="14.5" thickBot="1">
      <c r="A10" s="586" t="s">
        <v>974</v>
      </c>
      <c r="B10" s="587" t="s">
        <v>972</v>
      </c>
      <c r="C10" s="588">
        <v>150</v>
      </c>
      <c r="D10" s="588">
        <v>0.2</v>
      </c>
      <c r="E10" s="588">
        <v>0.2</v>
      </c>
      <c r="F10" s="588">
        <v>3.6</v>
      </c>
      <c r="G10" s="595">
        <v>0</v>
      </c>
      <c r="H10" s="589">
        <v>-0.96</v>
      </c>
      <c r="I10" s="589">
        <v>-0.95</v>
      </c>
      <c r="J10" s="589">
        <v>-15.45</v>
      </c>
      <c r="K10" s="590">
        <v>8.6999999999999993</v>
      </c>
      <c r="L10" s="591" t="s">
        <v>973</v>
      </c>
      <c r="M10" s="590">
        <f t="shared" si="0"/>
        <v>10.199999999999999</v>
      </c>
      <c r="N10" s="589">
        <v>3.4</v>
      </c>
      <c r="O10" s="589">
        <f t="shared" si="1"/>
        <v>1.5</v>
      </c>
      <c r="P10" t="str">
        <f t="shared" si="2"/>
        <v/>
      </c>
      <c r="Q10">
        <v>4</v>
      </c>
      <c r="R10">
        <v>18</v>
      </c>
    </row>
    <row r="11" spans="1:18" ht="14.5" thickBot="1">
      <c r="A11" s="586" t="s">
        <v>974</v>
      </c>
      <c r="B11" s="587" t="s">
        <v>972</v>
      </c>
      <c r="C11" s="588">
        <v>150</v>
      </c>
      <c r="D11" s="588">
        <v>0.2</v>
      </c>
      <c r="E11" s="588">
        <v>0.2</v>
      </c>
      <c r="F11" s="588">
        <v>3.6</v>
      </c>
      <c r="G11" s="595">
        <v>3.6</v>
      </c>
      <c r="H11" s="589">
        <v>-1.1599999999999999</v>
      </c>
      <c r="I11" s="589">
        <v>-0.24</v>
      </c>
      <c r="J11" s="589">
        <v>-15.45</v>
      </c>
      <c r="K11" s="590">
        <v>4.5999999999999996</v>
      </c>
      <c r="L11" s="591" t="s">
        <v>973</v>
      </c>
      <c r="M11" s="590">
        <f t="shared" si="0"/>
        <v>10.199999999999999</v>
      </c>
      <c r="N11" s="589">
        <v>3.4</v>
      </c>
      <c r="O11" s="589">
        <f t="shared" si="1"/>
        <v>5.6</v>
      </c>
      <c r="P11" t="str">
        <f t="shared" si="2"/>
        <v/>
      </c>
      <c r="Q11">
        <v>4</v>
      </c>
      <c r="R11">
        <v>18</v>
      </c>
    </row>
    <row r="12" spans="1:18" ht="14.5" thickBot="1">
      <c r="A12" s="586" t="s">
        <v>975</v>
      </c>
      <c r="B12" s="587" t="s">
        <v>972</v>
      </c>
      <c r="C12" s="588">
        <v>151</v>
      </c>
      <c r="D12" s="588">
        <v>0.2</v>
      </c>
      <c r="E12" s="588">
        <v>0.2</v>
      </c>
      <c r="F12" s="588">
        <v>3.6</v>
      </c>
      <c r="G12" s="595">
        <v>0</v>
      </c>
      <c r="H12" s="589">
        <v>0.42</v>
      </c>
      <c r="I12" s="589">
        <v>0.5</v>
      </c>
      <c r="J12" s="589">
        <v>0.85</v>
      </c>
      <c r="K12" s="590">
        <v>7.5</v>
      </c>
      <c r="L12" s="591" t="s">
        <v>973</v>
      </c>
      <c r="M12" s="590">
        <f t="shared" si="0"/>
        <v>10.199999999999999</v>
      </c>
      <c r="N12" s="589">
        <v>3.4</v>
      </c>
      <c r="O12" s="589">
        <f t="shared" si="1"/>
        <v>2.6999999999999993</v>
      </c>
      <c r="P12" t="str">
        <f t="shared" si="2"/>
        <v/>
      </c>
      <c r="Q12">
        <v>4</v>
      </c>
      <c r="R12">
        <v>18</v>
      </c>
    </row>
    <row r="13" spans="1:18" ht="14.5" thickBot="1">
      <c r="A13" s="586" t="s">
        <v>975</v>
      </c>
      <c r="B13" s="587" t="s">
        <v>972</v>
      </c>
      <c r="C13" s="588">
        <v>151</v>
      </c>
      <c r="D13" s="588">
        <v>0.2</v>
      </c>
      <c r="E13" s="588">
        <v>0.2</v>
      </c>
      <c r="F13" s="588">
        <v>3.6</v>
      </c>
      <c r="G13" s="595">
        <v>3.6</v>
      </c>
      <c r="H13" s="589">
        <v>0.32</v>
      </c>
      <c r="I13" s="589">
        <v>0.16</v>
      </c>
      <c r="J13" s="589">
        <v>0.85</v>
      </c>
      <c r="K13" s="590">
        <v>3.6</v>
      </c>
      <c r="L13" s="591" t="s">
        <v>973</v>
      </c>
      <c r="M13" s="590">
        <f t="shared" si="0"/>
        <v>10.199999999999999</v>
      </c>
      <c r="N13" s="589">
        <v>3.4</v>
      </c>
      <c r="O13" s="589">
        <f t="shared" si="1"/>
        <v>6.6</v>
      </c>
      <c r="P13" t="str">
        <f t="shared" si="2"/>
        <v/>
      </c>
      <c r="Q13">
        <v>4</v>
      </c>
      <c r="R13">
        <v>18</v>
      </c>
    </row>
    <row r="14" spans="1:18" ht="14.5" thickBot="1">
      <c r="A14" s="586" t="s">
        <v>975</v>
      </c>
      <c r="B14" s="587" t="s">
        <v>972</v>
      </c>
      <c r="C14" s="588">
        <v>151</v>
      </c>
      <c r="D14" s="588">
        <v>0.2</v>
      </c>
      <c r="E14" s="588">
        <v>0.2</v>
      </c>
      <c r="F14" s="588">
        <v>3.6</v>
      </c>
      <c r="G14" s="596">
        <v>0</v>
      </c>
      <c r="H14" s="589">
        <v>-0.3</v>
      </c>
      <c r="I14" s="589">
        <v>-0.53</v>
      </c>
      <c r="J14" s="589">
        <v>-2.77</v>
      </c>
      <c r="K14" s="590">
        <v>5.2</v>
      </c>
      <c r="L14" s="591" t="s">
        <v>973</v>
      </c>
      <c r="M14" s="590">
        <f t="shared" si="0"/>
        <v>10.199999999999999</v>
      </c>
      <c r="N14" s="589">
        <v>3.4</v>
      </c>
      <c r="O14" s="589">
        <f t="shared" si="1"/>
        <v>4.9999999999999991</v>
      </c>
      <c r="P14" t="str">
        <f t="shared" si="2"/>
        <v/>
      </c>
      <c r="Q14">
        <v>4</v>
      </c>
      <c r="R14">
        <v>18</v>
      </c>
    </row>
    <row r="15" spans="1:18" ht="14.5" thickBot="1">
      <c r="A15" s="586" t="s">
        <v>975</v>
      </c>
      <c r="B15" s="587" t="s">
        <v>972</v>
      </c>
      <c r="C15" s="588">
        <v>151</v>
      </c>
      <c r="D15" s="588">
        <v>0.2</v>
      </c>
      <c r="E15" s="588">
        <v>0.2</v>
      </c>
      <c r="F15" s="588">
        <v>3.6</v>
      </c>
      <c r="G15" s="596">
        <v>3.6</v>
      </c>
      <c r="H15" s="589">
        <v>-0.43</v>
      </c>
      <c r="I15" s="589">
        <v>0.02</v>
      </c>
      <c r="J15" s="589">
        <v>-2.77</v>
      </c>
      <c r="K15" s="590">
        <v>1.8</v>
      </c>
      <c r="L15" s="591" t="s">
        <v>973</v>
      </c>
      <c r="M15" s="590">
        <f t="shared" si="0"/>
        <v>10.199999999999999</v>
      </c>
      <c r="N15" s="589">
        <v>3.4</v>
      </c>
      <c r="O15" s="589">
        <f t="shared" si="1"/>
        <v>8.3999999999999986</v>
      </c>
      <c r="P15" t="str">
        <f t="shared" si="2"/>
        <v/>
      </c>
      <c r="Q15">
        <v>4</v>
      </c>
      <c r="R15">
        <v>18</v>
      </c>
    </row>
    <row r="16" spans="1:18" ht="14.5" thickBot="1">
      <c r="A16" s="586" t="s">
        <v>971</v>
      </c>
      <c r="B16" s="587" t="s">
        <v>664</v>
      </c>
      <c r="C16" s="588">
        <v>152</v>
      </c>
      <c r="D16" s="588">
        <v>0.2</v>
      </c>
      <c r="E16" s="588">
        <v>0.2</v>
      </c>
      <c r="F16" s="588">
        <v>2.7</v>
      </c>
      <c r="G16" s="596">
        <v>0</v>
      </c>
      <c r="H16" s="589">
        <v>0.86</v>
      </c>
      <c r="I16" s="589">
        <v>0.65</v>
      </c>
      <c r="J16" s="589">
        <v>-17.22</v>
      </c>
      <c r="K16" s="590">
        <v>2.9</v>
      </c>
      <c r="L16" s="591" t="s">
        <v>973</v>
      </c>
      <c r="M16" s="590">
        <f t="shared" si="0"/>
        <v>10.199999999999999</v>
      </c>
      <c r="N16" s="589">
        <v>3.4</v>
      </c>
      <c r="O16" s="589">
        <f t="shared" si="1"/>
        <v>7.2999999999999989</v>
      </c>
      <c r="P16" t="str">
        <f t="shared" si="2"/>
        <v/>
      </c>
      <c r="Q16">
        <v>4</v>
      </c>
      <c r="R16">
        <v>18</v>
      </c>
    </row>
    <row r="17" spans="1:18" ht="14.5" thickBot="1">
      <c r="A17" s="586" t="s">
        <v>971</v>
      </c>
      <c r="B17" s="587" t="s">
        <v>664</v>
      </c>
      <c r="C17" s="588">
        <v>152</v>
      </c>
      <c r="D17" s="588">
        <v>0.2</v>
      </c>
      <c r="E17" s="588">
        <v>0.2</v>
      </c>
      <c r="F17" s="588">
        <v>2.7</v>
      </c>
      <c r="G17" s="596">
        <v>2.7</v>
      </c>
      <c r="H17" s="589">
        <v>0.53</v>
      </c>
      <c r="I17" s="589">
        <v>0.6</v>
      </c>
      <c r="J17" s="589">
        <v>-17.22</v>
      </c>
      <c r="K17" s="590">
        <v>0.6</v>
      </c>
      <c r="L17" s="591" t="s">
        <v>973</v>
      </c>
      <c r="M17" s="590">
        <f t="shared" si="0"/>
        <v>10.199999999999999</v>
      </c>
      <c r="N17" s="589">
        <v>3.4</v>
      </c>
      <c r="O17" s="589">
        <f t="shared" si="1"/>
        <v>9.6</v>
      </c>
      <c r="P17" t="str">
        <f t="shared" si="2"/>
        <v/>
      </c>
      <c r="Q17">
        <v>4</v>
      </c>
      <c r="R17">
        <v>18</v>
      </c>
    </row>
    <row r="18" spans="1:18" ht="14.5" thickBot="1">
      <c r="A18" s="586" t="s">
        <v>971</v>
      </c>
      <c r="B18" s="587" t="s">
        <v>664</v>
      </c>
      <c r="C18" s="588">
        <v>152</v>
      </c>
      <c r="D18" s="588">
        <v>0.2</v>
      </c>
      <c r="E18" s="588">
        <v>0.2</v>
      </c>
      <c r="F18" s="588">
        <v>2.7</v>
      </c>
      <c r="G18" s="596">
        <v>0</v>
      </c>
      <c r="H18" s="589">
        <v>-0.63</v>
      </c>
      <c r="I18" s="589">
        <v>-0.64</v>
      </c>
      <c r="J18" s="589">
        <v>-36.75</v>
      </c>
      <c r="K18" s="590">
        <v>0.6</v>
      </c>
      <c r="L18" s="591" t="s">
        <v>973</v>
      </c>
      <c r="M18" s="590">
        <f t="shared" si="0"/>
        <v>10.199999999999999</v>
      </c>
      <c r="N18" s="589">
        <v>3.4</v>
      </c>
      <c r="O18" s="589">
        <f t="shared" si="1"/>
        <v>9.6</v>
      </c>
      <c r="P18" t="str">
        <f t="shared" si="2"/>
        <v/>
      </c>
      <c r="Q18">
        <v>4</v>
      </c>
      <c r="R18">
        <v>18</v>
      </c>
    </row>
    <row r="19" spans="1:18" ht="14.5" thickBot="1">
      <c r="A19" s="586" t="s">
        <v>971</v>
      </c>
      <c r="B19" s="587" t="s">
        <v>664</v>
      </c>
      <c r="C19" s="588">
        <v>152</v>
      </c>
      <c r="D19" s="588">
        <v>0.2</v>
      </c>
      <c r="E19" s="588">
        <v>0.2</v>
      </c>
      <c r="F19" s="588">
        <v>2.7</v>
      </c>
      <c r="G19" s="596">
        <v>2.7</v>
      </c>
      <c r="H19" s="589">
        <v>-0.87</v>
      </c>
      <c r="I19" s="589">
        <v>-0.62</v>
      </c>
      <c r="J19" s="589">
        <v>-36.75</v>
      </c>
      <c r="K19" s="590">
        <v>2.5</v>
      </c>
      <c r="L19" s="591" t="s">
        <v>973</v>
      </c>
      <c r="M19" s="590">
        <f t="shared" si="0"/>
        <v>10.199999999999999</v>
      </c>
      <c r="N19" s="589">
        <v>3.4</v>
      </c>
      <c r="O19" s="589">
        <f t="shared" si="1"/>
        <v>7.6999999999999993</v>
      </c>
      <c r="P19" t="str">
        <f t="shared" si="2"/>
        <v/>
      </c>
      <c r="Q19">
        <v>4</v>
      </c>
      <c r="R19">
        <v>18</v>
      </c>
    </row>
    <row r="20" spans="1:18" ht="14.5" thickBot="1">
      <c r="A20" s="586" t="s">
        <v>974</v>
      </c>
      <c r="B20" s="587" t="s">
        <v>664</v>
      </c>
      <c r="C20" s="588">
        <v>153</v>
      </c>
      <c r="D20" s="588">
        <v>0.2</v>
      </c>
      <c r="E20" s="588">
        <v>0.2</v>
      </c>
      <c r="F20" s="588">
        <v>3.6</v>
      </c>
      <c r="G20" s="596">
        <v>0</v>
      </c>
      <c r="H20" s="589">
        <v>1.26</v>
      </c>
      <c r="I20" s="589">
        <v>0.86</v>
      </c>
      <c r="J20" s="589">
        <v>-7.77</v>
      </c>
      <c r="K20" s="590">
        <v>14</v>
      </c>
      <c r="L20" s="591" t="s">
        <v>973</v>
      </c>
      <c r="M20" s="590">
        <f t="shared" si="0"/>
        <v>15.2</v>
      </c>
      <c r="N20" s="589">
        <v>3.4</v>
      </c>
      <c r="O20" s="589">
        <f t="shared" si="1"/>
        <v>1.1999999999999993</v>
      </c>
      <c r="P20" t="str">
        <f t="shared" si="2"/>
        <v/>
      </c>
      <c r="Q20">
        <v>4</v>
      </c>
      <c r="R20">
        <v>22</v>
      </c>
    </row>
    <row r="21" spans="1:18" ht="14.5" thickBot="1">
      <c r="A21" s="586" t="s">
        <v>974</v>
      </c>
      <c r="B21" s="587" t="s">
        <v>664</v>
      </c>
      <c r="C21" s="588">
        <v>153</v>
      </c>
      <c r="D21" s="588">
        <v>0.2</v>
      </c>
      <c r="E21" s="588">
        <v>0.2</v>
      </c>
      <c r="F21" s="588">
        <v>3.6</v>
      </c>
      <c r="G21" s="596">
        <v>3.6</v>
      </c>
      <c r="H21" s="589">
        <v>0.89</v>
      </c>
      <c r="I21" s="589">
        <v>0.83</v>
      </c>
      <c r="J21" s="589">
        <v>-7.77</v>
      </c>
      <c r="K21" s="590">
        <v>10.1</v>
      </c>
      <c r="L21" s="591" t="s">
        <v>973</v>
      </c>
      <c r="M21" s="590">
        <f t="shared" si="0"/>
        <v>10.199999999999999</v>
      </c>
      <c r="N21" s="589">
        <v>3.4</v>
      </c>
      <c r="O21" s="589">
        <f t="shared" si="1"/>
        <v>9.9999999999999645E-2</v>
      </c>
      <c r="P21" t="str">
        <f t="shared" si="2"/>
        <v/>
      </c>
      <c r="Q21">
        <v>4</v>
      </c>
      <c r="R21">
        <v>18</v>
      </c>
    </row>
    <row r="22" spans="1:18" ht="14.5" thickBot="1">
      <c r="A22" s="586" t="s">
        <v>974</v>
      </c>
      <c r="B22" s="587" t="s">
        <v>664</v>
      </c>
      <c r="C22" s="588">
        <v>153</v>
      </c>
      <c r="D22" s="588">
        <v>0.2</v>
      </c>
      <c r="E22" s="588">
        <v>0.2</v>
      </c>
      <c r="F22" s="588">
        <v>3.6</v>
      </c>
      <c r="G22" s="596">
        <v>0</v>
      </c>
      <c r="H22" s="589">
        <v>-0.88</v>
      </c>
      <c r="I22" s="589">
        <v>-0.83</v>
      </c>
      <c r="J22" s="589">
        <v>-22.74</v>
      </c>
      <c r="K22" s="590">
        <v>5.4</v>
      </c>
      <c r="L22" s="591" t="s">
        <v>973</v>
      </c>
      <c r="M22" s="590">
        <f t="shared" si="0"/>
        <v>10.199999999999999</v>
      </c>
      <c r="N22" s="589">
        <v>3.4</v>
      </c>
      <c r="O22" s="589">
        <f t="shared" si="1"/>
        <v>4.7999999999999989</v>
      </c>
      <c r="P22" t="str">
        <f t="shared" si="2"/>
        <v/>
      </c>
      <c r="Q22">
        <v>4</v>
      </c>
      <c r="R22">
        <v>18</v>
      </c>
    </row>
    <row r="23" spans="1:18" ht="14.5" thickBot="1">
      <c r="A23" s="586" t="s">
        <v>974</v>
      </c>
      <c r="B23" s="587" t="s">
        <v>664</v>
      </c>
      <c r="C23" s="588">
        <v>153</v>
      </c>
      <c r="D23" s="588">
        <v>0.2</v>
      </c>
      <c r="E23" s="588">
        <v>0.2</v>
      </c>
      <c r="F23" s="588">
        <v>3.6</v>
      </c>
      <c r="G23" s="596">
        <v>3.6</v>
      </c>
      <c r="H23" s="589">
        <v>-1.26</v>
      </c>
      <c r="I23" s="589">
        <v>-0.87</v>
      </c>
      <c r="J23" s="589">
        <v>-22.74</v>
      </c>
      <c r="K23" s="590">
        <v>10.3</v>
      </c>
      <c r="L23" s="591" t="s">
        <v>973</v>
      </c>
      <c r="M23" s="590">
        <f t="shared" si="0"/>
        <v>15.2</v>
      </c>
      <c r="N23" s="589">
        <v>3.4</v>
      </c>
      <c r="O23" s="589">
        <f t="shared" si="1"/>
        <v>4.8999999999999986</v>
      </c>
      <c r="P23" t="str">
        <f t="shared" si="2"/>
        <v/>
      </c>
      <c r="Q23">
        <v>4</v>
      </c>
      <c r="R23">
        <v>22</v>
      </c>
    </row>
    <row r="24" spans="1:18" ht="14.5" thickBot="1">
      <c r="A24" s="586" t="s">
        <v>975</v>
      </c>
      <c r="B24" s="587" t="s">
        <v>664</v>
      </c>
      <c r="C24" s="588">
        <v>154</v>
      </c>
      <c r="D24" s="588">
        <v>0.2</v>
      </c>
      <c r="E24" s="588">
        <v>0.2</v>
      </c>
      <c r="F24" s="588">
        <v>3.6</v>
      </c>
      <c r="G24" s="596">
        <v>0</v>
      </c>
      <c r="H24" s="589">
        <v>0.47</v>
      </c>
      <c r="I24" s="589">
        <v>0.37</v>
      </c>
      <c r="J24" s="589">
        <v>1.67</v>
      </c>
      <c r="K24" s="590">
        <v>6.1</v>
      </c>
      <c r="L24" s="591" t="s">
        <v>973</v>
      </c>
      <c r="M24" s="590">
        <f t="shared" si="0"/>
        <v>10.199999999999999</v>
      </c>
      <c r="N24" s="589">
        <v>3.4</v>
      </c>
      <c r="O24" s="589">
        <f t="shared" si="1"/>
        <v>4.0999999999999996</v>
      </c>
      <c r="P24" t="str">
        <f t="shared" si="2"/>
        <v/>
      </c>
      <c r="Q24">
        <v>4</v>
      </c>
      <c r="R24">
        <v>18</v>
      </c>
    </row>
    <row r="25" spans="1:18" ht="14.5" thickBot="1">
      <c r="A25" s="586" t="s">
        <v>975</v>
      </c>
      <c r="B25" s="587" t="s">
        <v>664</v>
      </c>
      <c r="C25" s="588">
        <v>154</v>
      </c>
      <c r="D25" s="588">
        <v>0.2</v>
      </c>
      <c r="E25" s="588">
        <v>0.2</v>
      </c>
      <c r="F25" s="588">
        <v>3.6</v>
      </c>
      <c r="G25" s="596">
        <v>3.6</v>
      </c>
      <c r="H25" s="589">
        <v>0.35</v>
      </c>
      <c r="I25" s="589">
        <v>0.3</v>
      </c>
      <c r="J25" s="589">
        <v>1.67</v>
      </c>
      <c r="K25" s="590">
        <v>4.4000000000000004</v>
      </c>
      <c r="L25" s="591" t="s">
        <v>973</v>
      </c>
      <c r="M25" s="590">
        <f t="shared" si="0"/>
        <v>10.199999999999999</v>
      </c>
      <c r="N25" s="589">
        <v>3.4</v>
      </c>
      <c r="O25" s="589">
        <f t="shared" si="1"/>
        <v>5.7999999999999989</v>
      </c>
      <c r="P25" t="str">
        <f t="shared" si="2"/>
        <v/>
      </c>
      <c r="Q25">
        <v>4</v>
      </c>
      <c r="R25">
        <v>18</v>
      </c>
    </row>
    <row r="26" spans="1:18" ht="14.5" thickBot="1">
      <c r="A26" s="586" t="s">
        <v>975</v>
      </c>
      <c r="B26" s="587" t="s">
        <v>664</v>
      </c>
      <c r="C26" s="588">
        <v>154</v>
      </c>
      <c r="D26" s="588">
        <v>0.2</v>
      </c>
      <c r="E26" s="588">
        <v>0.2</v>
      </c>
      <c r="F26" s="589">
        <v>3.6</v>
      </c>
      <c r="G26" s="596">
        <v>0</v>
      </c>
      <c r="H26" s="589">
        <v>-0.26</v>
      </c>
      <c r="I26" s="589">
        <v>-0.28000000000000003</v>
      </c>
      <c r="J26" s="589">
        <v>-9.09</v>
      </c>
      <c r="K26" s="590">
        <v>0.6</v>
      </c>
      <c r="L26" s="591" t="s">
        <v>973</v>
      </c>
      <c r="M26" s="590">
        <f t="shared" si="0"/>
        <v>10.199999999999999</v>
      </c>
      <c r="N26" s="589">
        <v>3.4</v>
      </c>
      <c r="O26" s="589">
        <f t="shared" si="1"/>
        <v>9.6</v>
      </c>
      <c r="P26" t="str">
        <f t="shared" si="2"/>
        <v/>
      </c>
      <c r="Q26">
        <v>4</v>
      </c>
      <c r="R26">
        <v>18</v>
      </c>
    </row>
    <row r="27" spans="1:18" ht="14.5" thickBot="1">
      <c r="A27" s="586" t="s">
        <v>975</v>
      </c>
      <c r="B27" s="587" t="s">
        <v>664</v>
      </c>
      <c r="C27" s="588">
        <v>154</v>
      </c>
      <c r="D27" s="588">
        <v>0.2</v>
      </c>
      <c r="E27" s="588">
        <v>0.2</v>
      </c>
      <c r="F27" s="589">
        <v>3.6</v>
      </c>
      <c r="G27" s="596">
        <v>3.6</v>
      </c>
      <c r="H27" s="589">
        <v>-0.44</v>
      </c>
      <c r="I27" s="589">
        <v>-0.38</v>
      </c>
      <c r="J27" s="589">
        <v>-9.09</v>
      </c>
      <c r="K27" s="590">
        <v>1</v>
      </c>
      <c r="L27" s="591" t="s">
        <v>973</v>
      </c>
      <c r="M27" s="590">
        <f t="shared" si="0"/>
        <v>10.199999999999999</v>
      </c>
      <c r="N27" s="589">
        <v>3.4</v>
      </c>
      <c r="O27" s="589">
        <f t="shared" si="1"/>
        <v>9.1999999999999993</v>
      </c>
      <c r="P27" t="str">
        <f t="shared" si="2"/>
        <v/>
      </c>
      <c r="Q27">
        <v>4</v>
      </c>
      <c r="R27">
        <v>18</v>
      </c>
    </row>
    <row r="28" spans="1:18" ht="14.5" thickBot="1">
      <c r="A28" s="586" t="s">
        <v>971</v>
      </c>
      <c r="B28" s="587" t="s">
        <v>976</v>
      </c>
      <c r="C28" s="588">
        <v>155</v>
      </c>
      <c r="D28" s="588">
        <v>0.2</v>
      </c>
      <c r="E28" s="588">
        <v>0.2</v>
      </c>
      <c r="F28" s="589">
        <v>2.7</v>
      </c>
      <c r="G28" s="596">
        <v>0</v>
      </c>
      <c r="H28" s="589">
        <v>0.84</v>
      </c>
      <c r="I28" s="589">
        <v>0.53</v>
      </c>
      <c r="J28" s="589">
        <v>-15.15</v>
      </c>
      <c r="K28" s="590">
        <v>2.6</v>
      </c>
      <c r="L28" s="591" t="s">
        <v>973</v>
      </c>
      <c r="M28" s="590">
        <f t="shared" si="0"/>
        <v>10.199999999999999</v>
      </c>
      <c r="N28" s="589">
        <v>3.4</v>
      </c>
      <c r="O28" s="589">
        <f t="shared" si="1"/>
        <v>7.6</v>
      </c>
      <c r="P28" t="str">
        <f t="shared" si="2"/>
        <v/>
      </c>
      <c r="Q28">
        <v>4</v>
      </c>
      <c r="R28">
        <v>18</v>
      </c>
    </row>
    <row r="29" spans="1:18" ht="14.5" thickBot="1">
      <c r="A29" s="586" t="s">
        <v>971</v>
      </c>
      <c r="B29" s="587" t="s">
        <v>976</v>
      </c>
      <c r="C29" s="588">
        <v>155</v>
      </c>
      <c r="D29" s="588">
        <v>0.2</v>
      </c>
      <c r="E29" s="588">
        <v>0.2</v>
      </c>
      <c r="F29" s="589">
        <v>2.7</v>
      </c>
      <c r="G29" s="596">
        <v>2.7</v>
      </c>
      <c r="H29" s="589">
        <v>0.39</v>
      </c>
      <c r="I29" s="589">
        <v>0.82</v>
      </c>
      <c r="J29" s="589">
        <v>-15.15</v>
      </c>
      <c r="K29" s="590">
        <v>1.3</v>
      </c>
      <c r="L29" s="591" t="s">
        <v>973</v>
      </c>
      <c r="M29" s="590">
        <f t="shared" si="0"/>
        <v>10.199999999999999</v>
      </c>
      <c r="N29" s="589">
        <v>3.4</v>
      </c>
      <c r="O29" s="589">
        <f t="shared" si="1"/>
        <v>8.8999999999999986</v>
      </c>
      <c r="P29" t="str">
        <f t="shared" si="2"/>
        <v/>
      </c>
      <c r="Q29">
        <v>4</v>
      </c>
      <c r="R29">
        <v>18</v>
      </c>
    </row>
    <row r="30" spans="1:18" ht="14.5" thickBot="1">
      <c r="A30" s="586" t="s">
        <v>971</v>
      </c>
      <c r="B30" s="587" t="s">
        <v>976</v>
      </c>
      <c r="C30" s="588">
        <v>155</v>
      </c>
      <c r="D30" s="588">
        <v>0.2</v>
      </c>
      <c r="E30" s="588">
        <v>0.2</v>
      </c>
      <c r="F30" s="589">
        <v>2.7</v>
      </c>
      <c r="G30" s="595">
        <v>0</v>
      </c>
      <c r="H30" s="588">
        <v>-0.69</v>
      </c>
      <c r="I30" s="588">
        <v>-0.75</v>
      </c>
      <c r="J30" s="589">
        <v>-23.87</v>
      </c>
      <c r="K30" s="590">
        <v>0.6</v>
      </c>
      <c r="L30" s="591" t="s">
        <v>973</v>
      </c>
      <c r="M30" s="590">
        <f t="shared" si="0"/>
        <v>10.199999999999999</v>
      </c>
      <c r="N30" s="589">
        <v>3.4</v>
      </c>
      <c r="O30" s="589">
        <f t="shared" si="1"/>
        <v>9.6</v>
      </c>
      <c r="P30" t="str">
        <f t="shared" si="2"/>
        <v/>
      </c>
      <c r="Q30">
        <v>4</v>
      </c>
      <c r="R30">
        <v>18</v>
      </c>
    </row>
    <row r="31" spans="1:18" ht="14.5" thickBot="1">
      <c r="A31" s="586" t="s">
        <v>971</v>
      </c>
      <c r="B31" s="587" t="s">
        <v>976</v>
      </c>
      <c r="C31" s="588">
        <v>155</v>
      </c>
      <c r="D31" s="588">
        <v>0.2</v>
      </c>
      <c r="E31" s="588">
        <v>0.2</v>
      </c>
      <c r="F31" s="589">
        <v>2.7</v>
      </c>
      <c r="G31" s="595">
        <v>2.7</v>
      </c>
      <c r="H31" s="588">
        <v>-0.5</v>
      </c>
      <c r="I31" s="588">
        <v>-0.37</v>
      </c>
      <c r="J31" s="589">
        <v>-23.87</v>
      </c>
      <c r="K31" s="590">
        <v>0.6</v>
      </c>
      <c r="L31" s="591" t="s">
        <v>973</v>
      </c>
      <c r="M31" s="590">
        <f t="shared" si="0"/>
        <v>10.199999999999999</v>
      </c>
      <c r="N31" s="589">
        <v>3.4</v>
      </c>
      <c r="O31" s="589">
        <f t="shared" si="1"/>
        <v>9.6</v>
      </c>
      <c r="P31" t="str">
        <f t="shared" si="2"/>
        <v/>
      </c>
      <c r="Q31">
        <v>4</v>
      </c>
      <c r="R31">
        <v>18</v>
      </c>
    </row>
    <row r="32" spans="1:18" ht="14.5" thickBot="1">
      <c r="A32" s="586" t="s">
        <v>974</v>
      </c>
      <c r="B32" s="587" t="s">
        <v>976</v>
      </c>
      <c r="C32" s="588">
        <v>156</v>
      </c>
      <c r="D32" s="588">
        <v>0.2</v>
      </c>
      <c r="E32" s="588">
        <v>0.2</v>
      </c>
      <c r="F32" s="589">
        <v>3.6</v>
      </c>
      <c r="G32" s="595">
        <v>0</v>
      </c>
      <c r="H32" s="588">
        <v>1.29</v>
      </c>
      <c r="I32" s="588">
        <v>0.56000000000000005</v>
      </c>
      <c r="J32" s="589">
        <v>-7.29</v>
      </c>
      <c r="K32" s="590">
        <v>12</v>
      </c>
      <c r="L32" s="591" t="s">
        <v>973</v>
      </c>
      <c r="M32" s="590">
        <f t="shared" si="0"/>
        <v>12.6</v>
      </c>
      <c r="N32" s="589">
        <v>3.4</v>
      </c>
      <c r="O32" s="589">
        <f t="shared" si="1"/>
        <v>0.59999999999999964</v>
      </c>
      <c r="P32" t="str">
        <f t="shared" si="2"/>
        <v/>
      </c>
      <c r="Q32">
        <v>4</v>
      </c>
      <c r="R32">
        <v>20</v>
      </c>
    </row>
    <row r="33" spans="1:18" ht="14.5" thickBot="1">
      <c r="A33" s="586" t="s">
        <v>974</v>
      </c>
      <c r="B33" s="587" t="s">
        <v>976</v>
      </c>
      <c r="C33" s="588">
        <v>156</v>
      </c>
      <c r="D33" s="588">
        <v>0.2</v>
      </c>
      <c r="E33" s="588">
        <v>0.2</v>
      </c>
      <c r="F33" s="589">
        <v>3.6</v>
      </c>
      <c r="G33" s="595">
        <v>3.6</v>
      </c>
      <c r="H33" s="588">
        <v>0.65</v>
      </c>
      <c r="I33" s="588">
        <v>1.1100000000000001</v>
      </c>
      <c r="J33" s="589">
        <v>-7.29</v>
      </c>
      <c r="K33" s="590">
        <v>10.9</v>
      </c>
      <c r="L33" s="591" t="s">
        <v>973</v>
      </c>
      <c r="M33" s="590">
        <f t="shared" si="0"/>
        <v>12.6</v>
      </c>
      <c r="N33" s="589">
        <v>3.4</v>
      </c>
      <c r="O33" s="589">
        <f t="shared" si="1"/>
        <v>1.6999999999999993</v>
      </c>
      <c r="P33" t="str">
        <f t="shared" si="2"/>
        <v/>
      </c>
      <c r="Q33">
        <v>4</v>
      </c>
      <c r="R33">
        <v>20</v>
      </c>
    </row>
    <row r="34" spans="1:18" ht="14.5" thickBot="1">
      <c r="A34" s="586" t="s">
        <v>974</v>
      </c>
      <c r="B34" s="587" t="s">
        <v>976</v>
      </c>
      <c r="C34" s="588">
        <v>156</v>
      </c>
      <c r="D34" s="588">
        <v>0.2</v>
      </c>
      <c r="E34" s="588">
        <v>0.2</v>
      </c>
      <c r="F34" s="589">
        <v>3.6</v>
      </c>
      <c r="G34" s="595">
        <v>0</v>
      </c>
      <c r="H34" s="588">
        <v>-1.1200000000000001</v>
      </c>
      <c r="I34" s="588">
        <v>-1.1000000000000001</v>
      </c>
      <c r="J34" s="589">
        <v>-12.24</v>
      </c>
      <c r="K34" s="590">
        <v>12.7</v>
      </c>
      <c r="L34" s="591" t="s">
        <v>973</v>
      </c>
      <c r="M34" s="590">
        <f t="shared" si="0"/>
        <v>15.2</v>
      </c>
      <c r="N34" s="589">
        <v>3.4</v>
      </c>
      <c r="O34" s="589">
        <f t="shared" si="1"/>
        <v>2.5</v>
      </c>
      <c r="P34" t="str">
        <f t="shared" si="2"/>
        <v/>
      </c>
      <c r="Q34">
        <v>4</v>
      </c>
      <c r="R34">
        <v>22</v>
      </c>
    </row>
    <row r="35" spans="1:18" ht="14.5" thickBot="1">
      <c r="A35" s="586" t="s">
        <v>974</v>
      </c>
      <c r="B35" s="587" t="s">
        <v>976</v>
      </c>
      <c r="C35" s="588">
        <v>156</v>
      </c>
      <c r="D35" s="588">
        <v>0.2</v>
      </c>
      <c r="E35" s="588">
        <v>0.2</v>
      </c>
      <c r="F35" s="589">
        <v>3.6</v>
      </c>
      <c r="G35" s="595">
        <v>3.6</v>
      </c>
      <c r="H35" s="588">
        <v>-0.72</v>
      </c>
      <c r="I35" s="588">
        <v>-0.55000000000000004</v>
      </c>
      <c r="J35" s="589">
        <v>-12.24</v>
      </c>
      <c r="K35" s="590">
        <v>3.7</v>
      </c>
      <c r="L35" s="591" t="s">
        <v>973</v>
      </c>
      <c r="M35" s="590">
        <f t="shared" si="0"/>
        <v>10.199999999999999</v>
      </c>
      <c r="N35" s="589">
        <v>3.4</v>
      </c>
      <c r="O35" s="589">
        <f t="shared" si="1"/>
        <v>6.4999999999999991</v>
      </c>
      <c r="P35" t="str">
        <f t="shared" si="2"/>
        <v/>
      </c>
      <c r="Q35">
        <v>4</v>
      </c>
      <c r="R35">
        <v>18</v>
      </c>
    </row>
    <row r="36" spans="1:18" ht="14.5" thickBot="1">
      <c r="A36" s="586" t="s">
        <v>975</v>
      </c>
      <c r="B36" s="587" t="s">
        <v>976</v>
      </c>
      <c r="C36" s="588">
        <v>157</v>
      </c>
      <c r="D36" s="588">
        <v>0.2</v>
      </c>
      <c r="E36" s="588">
        <v>0.2</v>
      </c>
      <c r="F36" s="589">
        <v>3.6</v>
      </c>
      <c r="G36" s="595">
        <v>0</v>
      </c>
      <c r="H36" s="588">
        <v>0.65</v>
      </c>
      <c r="I36" s="588">
        <v>0.12</v>
      </c>
      <c r="J36" s="589">
        <v>0.34</v>
      </c>
      <c r="K36" s="590">
        <v>6.6</v>
      </c>
      <c r="L36" s="591" t="s">
        <v>973</v>
      </c>
      <c r="M36" s="590">
        <f t="shared" si="0"/>
        <v>10.199999999999999</v>
      </c>
      <c r="N36" s="589">
        <v>3.4</v>
      </c>
      <c r="O36" s="589">
        <f t="shared" si="1"/>
        <v>3.5999999999999996</v>
      </c>
      <c r="P36" t="str">
        <f t="shared" si="2"/>
        <v/>
      </c>
      <c r="Q36">
        <v>4</v>
      </c>
      <c r="R36">
        <v>18</v>
      </c>
    </row>
    <row r="37" spans="1:18" ht="14.5" thickBot="1">
      <c r="A37" s="586" t="s">
        <v>975</v>
      </c>
      <c r="B37" s="587" t="s">
        <v>976</v>
      </c>
      <c r="C37" s="588">
        <v>157</v>
      </c>
      <c r="D37" s="588">
        <v>0.2</v>
      </c>
      <c r="E37" s="588">
        <v>0.2</v>
      </c>
      <c r="F37" s="589">
        <v>3.6</v>
      </c>
      <c r="G37" s="595">
        <v>3.6</v>
      </c>
      <c r="H37" s="588">
        <v>0.26</v>
      </c>
      <c r="I37" s="588">
        <v>0.38</v>
      </c>
      <c r="J37" s="589">
        <v>0.34</v>
      </c>
      <c r="K37" s="590">
        <v>5.4</v>
      </c>
      <c r="L37" s="591" t="s">
        <v>973</v>
      </c>
      <c r="M37" s="590">
        <f t="shared" si="0"/>
        <v>10.199999999999999</v>
      </c>
      <c r="N37" s="589">
        <v>3.4</v>
      </c>
      <c r="O37" s="589">
        <f t="shared" si="1"/>
        <v>4.7999999999999989</v>
      </c>
      <c r="P37" t="str">
        <f t="shared" si="2"/>
        <v/>
      </c>
      <c r="Q37">
        <v>4</v>
      </c>
      <c r="R37">
        <v>18</v>
      </c>
    </row>
    <row r="38" spans="1:18" ht="14.5" thickBot="1">
      <c r="A38" s="586" t="s">
        <v>975</v>
      </c>
      <c r="B38" s="587" t="s">
        <v>976</v>
      </c>
      <c r="C38" s="588">
        <v>157</v>
      </c>
      <c r="D38" s="588">
        <v>0.2</v>
      </c>
      <c r="E38" s="588">
        <v>0.2</v>
      </c>
      <c r="F38" s="589">
        <v>3.6</v>
      </c>
      <c r="G38" s="595">
        <v>0</v>
      </c>
      <c r="H38" s="588">
        <v>-0.22</v>
      </c>
      <c r="I38" s="588">
        <v>-0.46</v>
      </c>
      <c r="J38" s="589">
        <v>-0.48</v>
      </c>
      <c r="K38" s="590">
        <v>5.7</v>
      </c>
      <c r="L38" s="591" t="s">
        <v>973</v>
      </c>
      <c r="M38" s="590">
        <f t="shared" si="0"/>
        <v>10.199999999999999</v>
      </c>
      <c r="N38" s="589">
        <v>3.4</v>
      </c>
      <c r="O38" s="589">
        <f t="shared" si="1"/>
        <v>4.4999999999999991</v>
      </c>
      <c r="P38" t="str">
        <f t="shared" si="2"/>
        <v/>
      </c>
      <c r="Q38">
        <v>4</v>
      </c>
      <c r="R38">
        <v>18</v>
      </c>
    </row>
    <row r="39" spans="1:18" ht="14.5" thickBot="1">
      <c r="A39" s="586" t="s">
        <v>975</v>
      </c>
      <c r="B39" s="587" t="s">
        <v>976</v>
      </c>
      <c r="C39" s="588">
        <v>157</v>
      </c>
      <c r="D39" s="588">
        <v>0.2</v>
      </c>
      <c r="E39" s="588">
        <v>0.2</v>
      </c>
      <c r="F39" s="589">
        <v>3.6</v>
      </c>
      <c r="G39" s="595">
        <v>3.6</v>
      </c>
      <c r="H39" s="588">
        <v>-0.09</v>
      </c>
      <c r="I39" s="588">
        <v>-0.27</v>
      </c>
      <c r="J39" s="589">
        <v>-0.48</v>
      </c>
      <c r="K39" s="590">
        <v>2.8</v>
      </c>
      <c r="L39" s="591" t="s">
        <v>973</v>
      </c>
      <c r="M39" s="590">
        <f t="shared" si="0"/>
        <v>10.199999999999999</v>
      </c>
      <c r="N39" s="589">
        <v>3.4</v>
      </c>
      <c r="O39" s="589">
        <f t="shared" si="1"/>
        <v>7.3999999999999995</v>
      </c>
      <c r="P39" t="str">
        <f t="shared" si="2"/>
        <v/>
      </c>
      <c r="Q39">
        <v>4</v>
      </c>
      <c r="R39">
        <v>18</v>
      </c>
    </row>
    <row r="40" spans="1:18" ht="14.5" thickBot="1">
      <c r="A40" s="586" t="s">
        <v>971</v>
      </c>
      <c r="B40" s="587" t="s">
        <v>977</v>
      </c>
      <c r="C40" s="588">
        <v>158</v>
      </c>
      <c r="D40" s="588">
        <v>0.2</v>
      </c>
      <c r="E40" s="588">
        <v>0.2</v>
      </c>
      <c r="F40" s="589">
        <v>2.7</v>
      </c>
      <c r="G40" s="595">
        <v>0</v>
      </c>
      <c r="H40" s="588">
        <v>1.1200000000000001</v>
      </c>
      <c r="I40" s="588">
        <v>0.71</v>
      </c>
      <c r="J40" s="589">
        <v>-17.97</v>
      </c>
      <c r="K40" s="590">
        <v>5.8</v>
      </c>
      <c r="L40" s="591" t="s">
        <v>973</v>
      </c>
      <c r="M40" s="590">
        <f t="shared" si="0"/>
        <v>10.199999999999999</v>
      </c>
      <c r="N40" s="589">
        <v>3.4</v>
      </c>
      <c r="O40" s="589">
        <f t="shared" si="1"/>
        <v>4.3999999999999995</v>
      </c>
      <c r="P40" t="str">
        <f t="shared" si="2"/>
        <v/>
      </c>
      <c r="Q40">
        <v>4</v>
      </c>
      <c r="R40">
        <v>18</v>
      </c>
    </row>
    <row r="41" spans="1:18" ht="14.5" thickBot="1">
      <c r="A41" s="586" t="s">
        <v>971</v>
      </c>
      <c r="B41" s="587" t="s">
        <v>977</v>
      </c>
      <c r="C41" s="588">
        <v>158</v>
      </c>
      <c r="D41" s="588">
        <v>0.2</v>
      </c>
      <c r="E41" s="588">
        <v>0.2</v>
      </c>
      <c r="F41" s="589">
        <v>2.7</v>
      </c>
      <c r="G41" s="595">
        <v>2.7</v>
      </c>
      <c r="H41" s="588">
        <v>0.97</v>
      </c>
      <c r="I41" s="588">
        <v>0.32</v>
      </c>
      <c r="J41" s="589">
        <v>-17.97</v>
      </c>
      <c r="K41" s="590">
        <v>1.3</v>
      </c>
      <c r="L41" s="591" t="s">
        <v>973</v>
      </c>
      <c r="M41" s="590">
        <f t="shared" si="0"/>
        <v>10.199999999999999</v>
      </c>
      <c r="N41" s="589">
        <v>3.4</v>
      </c>
      <c r="O41" s="589">
        <f t="shared" si="1"/>
        <v>8.8999999999999986</v>
      </c>
      <c r="P41" t="str">
        <f t="shared" si="2"/>
        <v/>
      </c>
      <c r="Q41">
        <v>4</v>
      </c>
      <c r="R41">
        <v>18</v>
      </c>
    </row>
    <row r="42" spans="1:18" ht="14.5" thickBot="1">
      <c r="A42" s="586" t="s">
        <v>971</v>
      </c>
      <c r="B42" s="587" t="s">
        <v>977</v>
      </c>
      <c r="C42" s="588">
        <v>158</v>
      </c>
      <c r="D42" s="588">
        <v>0.2</v>
      </c>
      <c r="E42" s="588">
        <v>0.2</v>
      </c>
      <c r="F42" s="589">
        <v>2.7</v>
      </c>
      <c r="G42" s="595">
        <v>0</v>
      </c>
      <c r="H42" s="588">
        <v>-0.97</v>
      </c>
      <c r="I42" s="588">
        <v>-0.5</v>
      </c>
      <c r="J42" s="589">
        <v>-34.03</v>
      </c>
      <c r="K42" s="590">
        <v>3.4</v>
      </c>
      <c r="L42" s="591" t="s">
        <v>973</v>
      </c>
      <c r="M42" s="590">
        <f t="shared" si="0"/>
        <v>10.199999999999999</v>
      </c>
      <c r="N42" s="589">
        <v>3.4</v>
      </c>
      <c r="O42" s="589">
        <f t="shared" si="1"/>
        <v>6.7999999999999989</v>
      </c>
      <c r="P42" t="str">
        <f t="shared" si="2"/>
        <v/>
      </c>
      <c r="Q42">
        <v>4</v>
      </c>
      <c r="R42">
        <v>18</v>
      </c>
    </row>
    <row r="43" spans="1:18" ht="14.5" thickBot="1">
      <c r="A43" s="586" t="s">
        <v>971</v>
      </c>
      <c r="B43" s="587" t="s">
        <v>977</v>
      </c>
      <c r="C43" s="588">
        <v>158</v>
      </c>
      <c r="D43" s="588">
        <v>0.2</v>
      </c>
      <c r="E43" s="588">
        <v>0.2</v>
      </c>
      <c r="F43" s="589">
        <v>2.7</v>
      </c>
      <c r="G43" s="595">
        <v>2.7</v>
      </c>
      <c r="H43" s="588">
        <v>-1.08</v>
      </c>
      <c r="I43" s="588">
        <v>-0.77</v>
      </c>
      <c r="J43" s="589">
        <v>-34.03</v>
      </c>
      <c r="K43" s="590">
        <v>6</v>
      </c>
      <c r="L43" s="591" t="s">
        <v>973</v>
      </c>
      <c r="M43" s="590">
        <f t="shared" si="0"/>
        <v>10.199999999999999</v>
      </c>
      <c r="N43" s="589">
        <v>3.4</v>
      </c>
      <c r="O43" s="589">
        <f t="shared" si="1"/>
        <v>4.1999999999999993</v>
      </c>
      <c r="P43" t="str">
        <f t="shared" si="2"/>
        <v/>
      </c>
      <c r="Q43">
        <v>4</v>
      </c>
      <c r="R43">
        <v>18</v>
      </c>
    </row>
    <row r="44" spans="1:18" ht="14.5" thickBot="1">
      <c r="A44" s="586" t="s">
        <v>974</v>
      </c>
      <c r="B44" s="587" t="s">
        <v>977</v>
      </c>
      <c r="C44" s="588">
        <v>159</v>
      </c>
      <c r="D44" s="588">
        <v>0.2</v>
      </c>
      <c r="E44" s="588">
        <v>0.2</v>
      </c>
      <c r="F44" s="588">
        <v>3.6</v>
      </c>
      <c r="G44" s="596">
        <v>0</v>
      </c>
      <c r="H44" s="589">
        <v>-0.88</v>
      </c>
      <c r="I44" s="589">
        <v>-0.83</v>
      </c>
      <c r="J44" s="589">
        <v>-22.74</v>
      </c>
      <c r="K44" s="590">
        <v>5.4</v>
      </c>
      <c r="L44" s="591" t="s">
        <v>973</v>
      </c>
      <c r="M44" s="590">
        <f t="shared" si="0"/>
        <v>10.199999999999999</v>
      </c>
      <c r="N44" s="589">
        <v>3.4</v>
      </c>
      <c r="O44" s="589">
        <f t="shared" si="1"/>
        <v>4.7999999999999989</v>
      </c>
      <c r="P44" t="str">
        <f t="shared" si="2"/>
        <v/>
      </c>
      <c r="Q44">
        <v>4</v>
      </c>
      <c r="R44">
        <v>18</v>
      </c>
    </row>
    <row r="45" spans="1:18" ht="14.5" thickBot="1">
      <c r="A45" s="586" t="s">
        <v>974</v>
      </c>
      <c r="B45" s="587" t="s">
        <v>977</v>
      </c>
      <c r="C45" s="588">
        <v>159</v>
      </c>
      <c r="D45" s="588">
        <v>0.2</v>
      </c>
      <c r="E45" s="588">
        <v>0.2</v>
      </c>
      <c r="F45" s="588">
        <v>3.6</v>
      </c>
      <c r="G45" s="595">
        <v>3.6</v>
      </c>
      <c r="H45" s="588">
        <v>0.9</v>
      </c>
      <c r="I45" s="589">
        <v>0.53</v>
      </c>
      <c r="J45" s="589">
        <v>-10.199999999999999</v>
      </c>
      <c r="K45" s="590">
        <v>6.3</v>
      </c>
      <c r="L45" s="591" t="s">
        <v>973</v>
      </c>
      <c r="M45" s="590">
        <f t="shared" si="0"/>
        <v>10.199999999999999</v>
      </c>
      <c r="N45" s="589">
        <v>3.4</v>
      </c>
      <c r="O45" s="589">
        <f t="shared" si="1"/>
        <v>3.8999999999999995</v>
      </c>
      <c r="P45" t="str">
        <f t="shared" si="2"/>
        <v/>
      </c>
      <c r="Q45">
        <v>4</v>
      </c>
      <c r="R45">
        <v>18</v>
      </c>
    </row>
    <row r="46" spans="1:18" ht="14.5" thickBot="1">
      <c r="A46" s="586" t="s">
        <v>974</v>
      </c>
      <c r="B46" s="587" t="s">
        <v>977</v>
      </c>
      <c r="C46" s="588">
        <v>159</v>
      </c>
      <c r="D46" s="588">
        <v>0.2</v>
      </c>
      <c r="E46" s="588">
        <v>0.2</v>
      </c>
      <c r="F46" s="588">
        <v>3.6</v>
      </c>
      <c r="G46" s="595">
        <v>0</v>
      </c>
      <c r="H46" s="588">
        <v>-1.59</v>
      </c>
      <c r="I46" s="589">
        <v>-0.53</v>
      </c>
      <c r="J46" s="589">
        <v>-17.7</v>
      </c>
      <c r="K46" s="590">
        <v>11.6</v>
      </c>
      <c r="L46" s="591" t="s">
        <v>973</v>
      </c>
      <c r="M46" s="590">
        <f t="shared" si="0"/>
        <v>12.6</v>
      </c>
      <c r="N46" s="589">
        <v>3.4</v>
      </c>
      <c r="O46" s="589">
        <f t="shared" si="1"/>
        <v>1</v>
      </c>
      <c r="P46" t="str">
        <f t="shared" si="2"/>
        <v/>
      </c>
      <c r="Q46">
        <v>4</v>
      </c>
      <c r="R46">
        <v>20</v>
      </c>
    </row>
    <row r="47" spans="1:18" ht="14.5" thickBot="1">
      <c r="A47" s="586" t="s">
        <v>974</v>
      </c>
      <c r="B47" s="587" t="s">
        <v>977</v>
      </c>
      <c r="C47" s="588">
        <v>159</v>
      </c>
      <c r="D47" s="588">
        <v>0.2</v>
      </c>
      <c r="E47" s="588">
        <v>0.2</v>
      </c>
      <c r="F47" s="588">
        <v>3.6</v>
      </c>
      <c r="G47" s="595">
        <v>3.6</v>
      </c>
      <c r="H47" s="588">
        <v>-1.23</v>
      </c>
      <c r="I47" s="589">
        <v>-1.0900000000000001</v>
      </c>
      <c r="J47" s="589">
        <v>-17.7</v>
      </c>
      <c r="K47" s="590">
        <v>12.3</v>
      </c>
      <c r="L47" s="591" t="s">
        <v>973</v>
      </c>
      <c r="M47" s="590">
        <f t="shared" si="0"/>
        <v>12.6</v>
      </c>
      <c r="N47" s="589">
        <v>3.4</v>
      </c>
      <c r="O47" s="589">
        <f t="shared" si="1"/>
        <v>0.29999999999999893</v>
      </c>
      <c r="P47" t="str">
        <f t="shared" si="2"/>
        <v/>
      </c>
      <c r="Q47">
        <v>4</v>
      </c>
      <c r="R47">
        <v>20</v>
      </c>
    </row>
    <row r="48" spans="1:18" ht="14.5" thickBot="1">
      <c r="A48" s="586" t="s">
        <v>975</v>
      </c>
      <c r="B48" s="587" t="s">
        <v>977</v>
      </c>
      <c r="C48" s="588">
        <v>160</v>
      </c>
      <c r="D48" s="588">
        <v>0.2</v>
      </c>
      <c r="E48" s="588">
        <v>0.2</v>
      </c>
      <c r="F48" s="588">
        <v>3.6</v>
      </c>
      <c r="G48" s="595">
        <v>0</v>
      </c>
      <c r="H48" s="588">
        <v>0.95</v>
      </c>
      <c r="I48" s="589">
        <v>0.47</v>
      </c>
      <c r="J48" s="589">
        <v>1.17</v>
      </c>
      <c r="K48" s="590">
        <v>11.8</v>
      </c>
      <c r="L48" s="591" t="s">
        <v>973</v>
      </c>
      <c r="M48" s="590">
        <f t="shared" si="0"/>
        <v>12.6</v>
      </c>
      <c r="N48" s="589">
        <v>3.4</v>
      </c>
      <c r="O48" s="589">
        <f t="shared" si="1"/>
        <v>0.79999999999999893</v>
      </c>
      <c r="P48" t="str">
        <f t="shared" si="2"/>
        <v/>
      </c>
      <c r="Q48">
        <v>4</v>
      </c>
      <c r="R48">
        <v>20</v>
      </c>
    </row>
    <row r="49" spans="1:18" ht="14.5" thickBot="1">
      <c r="A49" s="586" t="s">
        <v>975</v>
      </c>
      <c r="B49" s="587" t="s">
        <v>977</v>
      </c>
      <c r="C49" s="588">
        <v>160</v>
      </c>
      <c r="D49" s="588">
        <v>0.2</v>
      </c>
      <c r="E49" s="588">
        <v>0.2</v>
      </c>
      <c r="F49" s="588">
        <v>3.6</v>
      </c>
      <c r="G49" s="595">
        <v>3.6</v>
      </c>
      <c r="H49" s="588">
        <v>0.2</v>
      </c>
      <c r="I49" s="589">
        <v>0.21</v>
      </c>
      <c r="J49" s="589">
        <v>1.17</v>
      </c>
      <c r="K49" s="590">
        <v>2.7</v>
      </c>
      <c r="L49" s="591" t="s">
        <v>973</v>
      </c>
      <c r="M49" s="590">
        <f t="shared" si="0"/>
        <v>10.199999999999999</v>
      </c>
      <c r="N49" s="589">
        <v>3.4</v>
      </c>
      <c r="O49" s="589">
        <f t="shared" si="1"/>
        <v>7.4999999999999991</v>
      </c>
      <c r="P49" t="str">
        <f t="shared" si="2"/>
        <v/>
      </c>
      <c r="Q49">
        <v>4</v>
      </c>
      <c r="R49">
        <v>18</v>
      </c>
    </row>
    <row r="50" spans="1:18" ht="14.5" thickBot="1">
      <c r="A50" s="586" t="s">
        <v>975</v>
      </c>
      <c r="B50" s="587" t="s">
        <v>977</v>
      </c>
      <c r="C50" s="588">
        <v>160</v>
      </c>
      <c r="D50" s="588">
        <v>0.2</v>
      </c>
      <c r="E50" s="588">
        <v>0.2</v>
      </c>
      <c r="F50" s="588">
        <v>3.6</v>
      </c>
      <c r="G50" s="595">
        <v>0</v>
      </c>
      <c r="H50" s="588">
        <v>-0.17</v>
      </c>
      <c r="I50" s="589">
        <v>-0.08</v>
      </c>
      <c r="J50" s="589">
        <v>0.52</v>
      </c>
      <c r="K50" s="590">
        <v>1.8</v>
      </c>
      <c r="L50" s="591" t="s">
        <v>973</v>
      </c>
      <c r="M50" s="590">
        <f t="shared" si="0"/>
        <v>10.199999999999999</v>
      </c>
      <c r="N50" s="589">
        <v>3.4</v>
      </c>
      <c r="O50" s="589">
        <f t="shared" si="1"/>
        <v>8.3999999999999986</v>
      </c>
      <c r="P50" t="str">
        <f t="shared" si="2"/>
        <v/>
      </c>
      <c r="Q50">
        <v>4</v>
      </c>
      <c r="R50">
        <v>18</v>
      </c>
    </row>
    <row r="51" spans="1:18" ht="14.5" thickBot="1">
      <c r="A51" s="586" t="s">
        <v>975</v>
      </c>
      <c r="B51" s="587" t="s">
        <v>977</v>
      </c>
      <c r="C51" s="588">
        <v>160</v>
      </c>
      <c r="D51" s="588">
        <v>0.2</v>
      </c>
      <c r="E51" s="588">
        <v>0.2</v>
      </c>
      <c r="F51" s="588">
        <v>3.6</v>
      </c>
      <c r="G51" s="595">
        <v>3.6</v>
      </c>
      <c r="H51" s="588">
        <v>-0.25</v>
      </c>
      <c r="I51" s="589">
        <v>-0.36</v>
      </c>
      <c r="J51" s="589">
        <v>0.52</v>
      </c>
      <c r="K51" s="590">
        <v>5</v>
      </c>
      <c r="L51" s="591" t="s">
        <v>973</v>
      </c>
      <c r="M51" s="590">
        <f t="shared" si="0"/>
        <v>10.199999999999999</v>
      </c>
      <c r="N51" s="589">
        <v>3.4</v>
      </c>
      <c r="O51" s="589">
        <f t="shared" si="1"/>
        <v>5.1999999999999993</v>
      </c>
      <c r="P51" t="str">
        <f t="shared" si="2"/>
        <v/>
      </c>
      <c r="Q51">
        <v>4</v>
      </c>
      <c r="R51">
        <v>18</v>
      </c>
    </row>
    <row r="52" spans="1:18" ht="14.5" thickBot="1">
      <c r="A52" s="586" t="s">
        <v>971</v>
      </c>
      <c r="B52" s="587" t="s">
        <v>978</v>
      </c>
      <c r="C52" s="588">
        <v>161</v>
      </c>
      <c r="D52" s="588">
        <v>0.2</v>
      </c>
      <c r="E52" s="588">
        <v>0.2</v>
      </c>
      <c r="F52" s="588">
        <v>2.7</v>
      </c>
      <c r="G52" s="595">
        <v>0</v>
      </c>
      <c r="H52" s="588">
        <v>1.1200000000000001</v>
      </c>
      <c r="I52" s="589">
        <v>0.5</v>
      </c>
      <c r="J52" s="589">
        <v>-18.05</v>
      </c>
      <c r="K52" s="590">
        <v>4.2</v>
      </c>
      <c r="L52" s="591" t="s">
        <v>973</v>
      </c>
      <c r="M52" s="590">
        <f t="shared" si="0"/>
        <v>10.199999999999999</v>
      </c>
      <c r="N52" s="589">
        <v>3.4</v>
      </c>
      <c r="O52" s="589">
        <f t="shared" si="1"/>
        <v>5.9999999999999991</v>
      </c>
      <c r="P52" t="str">
        <f t="shared" si="2"/>
        <v/>
      </c>
      <c r="Q52">
        <v>4</v>
      </c>
      <c r="R52">
        <v>18</v>
      </c>
    </row>
    <row r="53" spans="1:18" ht="14.5" thickBot="1">
      <c r="A53" s="586" t="s">
        <v>971</v>
      </c>
      <c r="B53" s="587" t="s">
        <v>978</v>
      </c>
      <c r="C53" s="588">
        <v>161</v>
      </c>
      <c r="D53" s="588">
        <v>0.2</v>
      </c>
      <c r="E53" s="588">
        <v>0.2</v>
      </c>
      <c r="F53" s="588">
        <v>2.7</v>
      </c>
      <c r="G53" s="595">
        <v>2.7</v>
      </c>
      <c r="H53" s="588">
        <v>0.97</v>
      </c>
      <c r="I53" s="589">
        <v>0.77</v>
      </c>
      <c r="J53" s="589">
        <v>-18.05</v>
      </c>
      <c r="K53" s="590">
        <v>4.7</v>
      </c>
      <c r="L53" s="591" t="s">
        <v>973</v>
      </c>
      <c r="M53" s="590">
        <f t="shared" si="0"/>
        <v>10.199999999999999</v>
      </c>
      <c r="N53" s="589">
        <v>3.4</v>
      </c>
      <c r="O53" s="589">
        <f t="shared" si="1"/>
        <v>5.4999999999999991</v>
      </c>
      <c r="P53" t="str">
        <f t="shared" si="2"/>
        <v/>
      </c>
      <c r="Q53">
        <v>4</v>
      </c>
      <c r="R53">
        <v>18</v>
      </c>
    </row>
    <row r="54" spans="1:18" ht="14.5" thickBot="1">
      <c r="A54" s="586" t="s">
        <v>971</v>
      </c>
      <c r="B54" s="587" t="s">
        <v>978</v>
      </c>
      <c r="C54" s="588">
        <v>161</v>
      </c>
      <c r="D54" s="588">
        <v>0.2</v>
      </c>
      <c r="E54" s="588">
        <v>0.2</v>
      </c>
      <c r="F54" s="588">
        <v>2.7</v>
      </c>
      <c r="G54" s="595">
        <v>0</v>
      </c>
      <c r="H54" s="588">
        <v>-0.97</v>
      </c>
      <c r="I54" s="589">
        <v>-0.71</v>
      </c>
      <c r="J54" s="589">
        <v>-34.090000000000003</v>
      </c>
      <c r="K54" s="590">
        <v>6.1</v>
      </c>
      <c r="L54" s="591" t="s">
        <v>973</v>
      </c>
      <c r="M54" s="590">
        <f t="shared" si="0"/>
        <v>10.199999999999999</v>
      </c>
      <c r="N54" s="589">
        <v>3.4</v>
      </c>
      <c r="O54" s="589">
        <f t="shared" si="1"/>
        <v>4.0999999999999996</v>
      </c>
      <c r="P54" t="str">
        <f t="shared" si="2"/>
        <v/>
      </c>
      <c r="Q54">
        <v>4</v>
      </c>
      <c r="R54">
        <v>18</v>
      </c>
    </row>
    <row r="55" spans="1:18" ht="14.5" thickBot="1">
      <c r="A55" s="586" t="s">
        <v>971</v>
      </c>
      <c r="B55" s="587" t="s">
        <v>978</v>
      </c>
      <c r="C55" s="588">
        <v>161</v>
      </c>
      <c r="D55" s="588">
        <v>0.2</v>
      </c>
      <c r="E55" s="588">
        <v>0.2</v>
      </c>
      <c r="F55" s="588">
        <v>2.7</v>
      </c>
      <c r="G55" s="595">
        <v>2.7</v>
      </c>
      <c r="H55" s="588">
        <v>-1.08</v>
      </c>
      <c r="I55" s="589">
        <v>-0.32</v>
      </c>
      <c r="J55" s="589">
        <v>-34.090000000000003</v>
      </c>
      <c r="K55" s="590">
        <v>3.7</v>
      </c>
      <c r="L55" s="591" t="s">
        <v>973</v>
      </c>
      <c r="M55" s="590">
        <f t="shared" si="0"/>
        <v>10.199999999999999</v>
      </c>
      <c r="N55" s="589">
        <v>3.4</v>
      </c>
      <c r="O55" s="589">
        <f t="shared" si="1"/>
        <v>6.4999999999999991</v>
      </c>
      <c r="P55" t="str">
        <f t="shared" si="2"/>
        <v/>
      </c>
      <c r="Q55">
        <v>4</v>
      </c>
      <c r="R55">
        <v>18</v>
      </c>
    </row>
    <row r="56" spans="1:18" ht="14.5" thickBot="1">
      <c r="A56" s="586" t="s">
        <v>974</v>
      </c>
      <c r="B56" s="587" t="s">
        <v>978</v>
      </c>
      <c r="C56" s="588">
        <v>162</v>
      </c>
      <c r="D56" s="588">
        <v>0.2</v>
      </c>
      <c r="E56" s="588">
        <v>0.2</v>
      </c>
      <c r="F56" s="588">
        <v>3.6</v>
      </c>
      <c r="G56" s="595">
        <v>0</v>
      </c>
      <c r="H56" s="588">
        <v>1.29</v>
      </c>
      <c r="I56" s="588">
        <v>0.56000000000000005</v>
      </c>
      <c r="J56" s="589">
        <v>-7.29</v>
      </c>
      <c r="K56" s="590">
        <v>12</v>
      </c>
      <c r="L56" s="591" t="s">
        <v>973</v>
      </c>
      <c r="M56" s="590">
        <f t="shared" ref="M56" si="3">ROUND(Q56*(R56/2)^2*PI()/100,1)</f>
        <v>12.6</v>
      </c>
      <c r="N56" s="589">
        <v>3.4</v>
      </c>
      <c r="O56" s="589">
        <f t="shared" ref="O56" si="4">M56-K56</f>
        <v>0.59999999999999964</v>
      </c>
      <c r="P56" t="str">
        <f t="shared" si="2"/>
        <v/>
      </c>
      <c r="Q56">
        <v>4</v>
      </c>
      <c r="R56">
        <v>20</v>
      </c>
    </row>
    <row r="57" spans="1:18" ht="14.5" thickBot="1">
      <c r="A57" s="586" t="s">
        <v>974</v>
      </c>
      <c r="B57" s="587" t="s">
        <v>978</v>
      </c>
      <c r="C57" s="588">
        <v>162</v>
      </c>
      <c r="D57" s="588">
        <v>0.2</v>
      </c>
      <c r="E57" s="588">
        <v>0.2</v>
      </c>
      <c r="F57" s="588">
        <v>3.6</v>
      </c>
      <c r="G57" s="595">
        <v>3.6</v>
      </c>
      <c r="H57" s="588">
        <v>0.9</v>
      </c>
      <c r="I57" s="589">
        <v>1.0900000000000001</v>
      </c>
      <c r="J57" s="589">
        <v>-10.27</v>
      </c>
      <c r="K57" s="590">
        <v>11.5</v>
      </c>
      <c r="L57" s="591" t="s">
        <v>973</v>
      </c>
      <c r="M57" s="590">
        <f t="shared" si="0"/>
        <v>12.6</v>
      </c>
      <c r="N57" s="589">
        <v>3.4</v>
      </c>
      <c r="O57" s="589">
        <f t="shared" si="1"/>
        <v>1.0999999999999996</v>
      </c>
      <c r="P57" t="str">
        <f t="shared" si="2"/>
        <v/>
      </c>
      <c r="Q57">
        <v>4</v>
      </c>
      <c r="R57">
        <v>20</v>
      </c>
    </row>
    <row r="58" spans="1:18" ht="14.5" thickBot="1">
      <c r="A58" s="586" t="s">
        <v>974</v>
      </c>
      <c r="B58" s="587" t="s">
        <v>978</v>
      </c>
      <c r="C58" s="588">
        <v>162</v>
      </c>
      <c r="D58" s="588">
        <v>0.2</v>
      </c>
      <c r="E58" s="588">
        <v>0.2</v>
      </c>
      <c r="F58" s="588">
        <v>3.6</v>
      </c>
      <c r="G58" s="595">
        <v>0</v>
      </c>
      <c r="H58" s="588">
        <v>0.84</v>
      </c>
      <c r="I58" s="589">
        <v>0.67</v>
      </c>
      <c r="J58" s="589">
        <v>-15.89</v>
      </c>
      <c r="K58" s="590">
        <v>3.3</v>
      </c>
      <c r="L58" s="591" t="s">
        <v>973</v>
      </c>
      <c r="M58" s="590">
        <f t="shared" si="0"/>
        <v>10.199999999999999</v>
      </c>
      <c r="N58" s="589">
        <v>3.4</v>
      </c>
      <c r="O58" s="589">
        <f t="shared" si="1"/>
        <v>6.8999999999999995</v>
      </c>
      <c r="P58" t="str">
        <f t="shared" si="2"/>
        <v/>
      </c>
      <c r="Q58">
        <v>4</v>
      </c>
      <c r="R58">
        <v>18</v>
      </c>
    </row>
    <row r="59" spans="1:18" ht="14.5" thickBot="1">
      <c r="A59" s="586" t="s">
        <v>974</v>
      </c>
      <c r="B59" s="587" t="s">
        <v>978</v>
      </c>
      <c r="C59" s="588">
        <v>162</v>
      </c>
      <c r="D59" s="588">
        <v>0.2</v>
      </c>
      <c r="E59" s="588">
        <v>0.2</v>
      </c>
      <c r="F59" s="588">
        <v>3.6</v>
      </c>
      <c r="G59" s="595">
        <v>3.6</v>
      </c>
      <c r="H59" s="588">
        <v>-1.23</v>
      </c>
      <c r="I59" s="589">
        <v>-0.53</v>
      </c>
      <c r="J59" s="589">
        <v>-17.77</v>
      </c>
      <c r="K59" s="590">
        <v>7.5</v>
      </c>
      <c r="L59" s="591" t="s">
        <v>973</v>
      </c>
      <c r="M59" s="590">
        <f t="shared" si="0"/>
        <v>10.199999999999999</v>
      </c>
      <c r="N59" s="589">
        <v>3.4</v>
      </c>
      <c r="O59" s="589">
        <f t="shared" si="1"/>
        <v>2.6999999999999993</v>
      </c>
      <c r="P59" t="str">
        <f t="shared" si="2"/>
        <v/>
      </c>
      <c r="Q59">
        <v>4</v>
      </c>
      <c r="R59">
        <v>18</v>
      </c>
    </row>
    <row r="60" spans="1:18" ht="14.5" thickBot="1">
      <c r="A60" s="586" t="s">
        <v>975</v>
      </c>
      <c r="B60" s="587" t="s">
        <v>978</v>
      </c>
      <c r="C60" s="588">
        <v>163</v>
      </c>
      <c r="D60" s="588">
        <v>0.2</v>
      </c>
      <c r="E60" s="588">
        <v>0.2</v>
      </c>
      <c r="F60" s="588">
        <v>3.6</v>
      </c>
      <c r="G60" s="595">
        <v>0</v>
      </c>
      <c r="H60" s="588">
        <v>0.95</v>
      </c>
      <c r="I60" s="589">
        <v>7.0000000000000007E-2</v>
      </c>
      <c r="J60" s="589">
        <v>1.1499999999999999</v>
      </c>
      <c r="K60" s="590">
        <v>8.3000000000000007</v>
      </c>
      <c r="L60" s="591" t="s">
        <v>973</v>
      </c>
      <c r="M60" s="590">
        <f t="shared" si="0"/>
        <v>10.199999999999999</v>
      </c>
      <c r="N60" s="589">
        <v>3.4</v>
      </c>
      <c r="O60" s="589">
        <f t="shared" si="1"/>
        <v>1.8999999999999986</v>
      </c>
      <c r="P60" t="str">
        <f t="shared" si="2"/>
        <v/>
      </c>
      <c r="Q60">
        <v>4</v>
      </c>
      <c r="R60">
        <v>18</v>
      </c>
    </row>
    <row r="61" spans="1:18" ht="14.5" thickBot="1">
      <c r="A61" s="586" t="s">
        <v>975</v>
      </c>
      <c r="B61" s="587" t="s">
        <v>978</v>
      </c>
      <c r="C61" s="588">
        <v>163</v>
      </c>
      <c r="D61" s="588">
        <v>0.2</v>
      </c>
      <c r="E61" s="588">
        <v>0.2</v>
      </c>
      <c r="F61" s="588">
        <v>3.6</v>
      </c>
      <c r="G61" s="595">
        <v>3.6</v>
      </c>
      <c r="H61" s="588">
        <v>0.2</v>
      </c>
      <c r="I61" s="589">
        <v>0.37</v>
      </c>
      <c r="J61" s="589">
        <v>1.1499999999999999</v>
      </c>
      <c r="K61" s="590">
        <v>4.0999999999999996</v>
      </c>
      <c r="L61" s="591" t="s">
        <v>973</v>
      </c>
      <c r="M61" s="590">
        <f t="shared" si="0"/>
        <v>10.199999999999999</v>
      </c>
      <c r="N61" s="589">
        <v>3.4</v>
      </c>
      <c r="O61" s="589">
        <f t="shared" si="1"/>
        <v>6.1</v>
      </c>
      <c r="P61" t="str">
        <f t="shared" si="2"/>
        <v/>
      </c>
      <c r="Q61">
        <v>4</v>
      </c>
      <c r="R61">
        <v>18</v>
      </c>
    </row>
    <row r="62" spans="1:18" ht="14.5" thickBot="1">
      <c r="A62" s="586" t="s">
        <v>975</v>
      </c>
      <c r="B62" s="587" t="s">
        <v>978</v>
      </c>
      <c r="C62" s="588">
        <v>163</v>
      </c>
      <c r="D62" s="588">
        <v>0.2</v>
      </c>
      <c r="E62" s="588">
        <v>0.2</v>
      </c>
      <c r="F62" s="588">
        <v>3.6</v>
      </c>
      <c r="G62" s="595">
        <v>0</v>
      </c>
      <c r="H62" s="588">
        <v>-0.17</v>
      </c>
      <c r="I62" s="589">
        <v>-0.47</v>
      </c>
      <c r="J62" s="589">
        <v>0.48</v>
      </c>
      <c r="K62" s="590">
        <v>5.4</v>
      </c>
      <c r="L62" s="591" t="s">
        <v>973</v>
      </c>
      <c r="M62" s="590">
        <f t="shared" si="0"/>
        <v>10.199999999999999</v>
      </c>
      <c r="N62" s="589">
        <v>3.4</v>
      </c>
      <c r="O62" s="589">
        <f t="shared" si="1"/>
        <v>4.7999999999999989</v>
      </c>
      <c r="P62" t="str">
        <f t="shared" si="2"/>
        <v/>
      </c>
      <c r="Q62">
        <v>4</v>
      </c>
      <c r="R62">
        <v>18</v>
      </c>
    </row>
    <row r="63" spans="1:18" ht="14.5" thickBot="1">
      <c r="A63" s="586" t="s">
        <v>975</v>
      </c>
      <c r="B63" s="587" t="s">
        <v>978</v>
      </c>
      <c r="C63" s="588">
        <v>163</v>
      </c>
      <c r="D63" s="588">
        <v>0.2</v>
      </c>
      <c r="E63" s="588">
        <v>0.2</v>
      </c>
      <c r="F63" s="588">
        <v>3.6</v>
      </c>
      <c r="G63" s="595">
        <v>3.6</v>
      </c>
      <c r="H63" s="588">
        <v>-0.25</v>
      </c>
      <c r="I63" s="589">
        <v>-0.21</v>
      </c>
      <c r="J63" s="589">
        <v>0.48</v>
      </c>
      <c r="K63" s="590">
        <v>3.7</v>
      </c>
      <c r="L63" s="591" t="s">
        <v>973</v>
      </c>
      <c r="M63" s="590">
        <f t="shared" si="0"/>
        <v>10.199999999999999</v>
      </c>
      <c r="N63" s="589">
        <v>3.4</v>
      </c>
      <c r="O63" s="589">
        <f t="shared" si="1"/>
        <v>6.4999999999999991</v>
      </c>
      <c r="P63" t="str">
        <f t="shared" si="2"/>
        <v/>
      </c>
      <c r="Q63">
        <v>4</v>
      </c>
      <c r="R63">
        <v>18</v>
      </c>
    </row>
    <row r="64" spans="1:18" ht="14.5" thickBot="1">
      <c r="A64" s="586" t="s">
        <v>971</v>
      </c>
      <c r="B64" s="587" t="s">
        <v>979</v>
      </c>
      <c r="C64" s="588">
        <v>164</v>
      </c>
      <c r="D64" s="588">
        <v>0.2</v>
      </c>
      <c r="E64" s="588">
        <v>0.2</v>
      </c>
      <c r="F64" s="588">
        <v>2.7</v>
      </c>
      <c r="G64" s="595">
        <v>0</v>
      </c>
      <c r="H64" s="588">
        <v>0.77</v>
      </c>
      <c r="I64" s="589">
        <v>0.75</v>
      </c>
      <c r="J64" s="589">
        <v>-17.68</v>
      </c>
      <c r="K64" s="590">
        <v>2.6</v>
      </c>
      <c r="L64" s="591" t="s">
        <v>973</v>
      </c>
      <c r="M64" s="590">
        <f t="shared" si="0"/>
        <v>10.199999999999999</v>
      </c>
      <c r="N64" s="589">
        <v>3.4</v>
      </c>
      <c r="O64" s="589">
        <f t="shared" si="1"/>
        <v>7.6</v>
      </c>
      <c r="P64" t="str">
        <f t="shared" si="2"/>
        <v/>
      </c>
      <c r="Q64">
        <v>4</v>
      </c>
      <c r="R64">
        <v>18</v>
      </c>
    </row>
    <row r="65" spans="1:18" ht="14.5" thickBot="1">
      <c r="A65" s="586" t="s">
        <v>971</v>
      </c>
      <c r="B65" s="587" t="s">
        <v>979</v>
      </c>
      <c r="C65" s="588">
        <v>164</v>
      </c>
      <c r="D65" s="588">
        <v>0.2</v>
      </c>
      <c r="E65" s="588">
        <v>0.2</v>
      </c>
      <c r="F65" s="588">
        <v>2.7</v>
      </c>
      <c r="G65" s="595">
        <v>2.7</v>
      </c>
      <c r="H65" s="588">
        <v>0.55000000000000004</v>
      </c>
      <c r="I65" s="589">
        <v>0.36</v>
      </c>
      <c r="J65" s="589">
        <v>-17.68</v>
      </c>
      <c r="K65" s="590">
        <v>0.6</v>
      </c>
      <c r="L65" s="591" t="s">
        <v>973</v>
      </c>
      <c r="M65" s="590">
        <f t="shared" si="0"/>
        <v>10.199999999999999</v>
      </c>
      <c r="N65" s="589">
        <v>3.4</v>
      </c>
      <c r="O65" s="589">
        <f t="shared" si="1"/>
        <v>9.6</v>
      </c>
      <c r="P65" t="str">
        <f t="shared" si="2"/>
        <v/>
      </c>
      <c r="Q65">
        <v>4</v>
      </c>
      <c r="R65">
        <v>18</v>
      </c>
    </row>
    <row r="66" spans="1:18" ht="14.5" thickBot="1">
      <c r="A66" s="586" t="s">
        <v>971</v>
      </c>
      <c r="B66" s="587" t="s">
        <v>979</v>
      </c>
      <c r="C66" s="588">
        <v>164</v>
      </c>
      <c r="D66" s="588">
        <v>0.2</v>
      </c>
      <c r="E66" s="588">
        <v>0.2</v>
      </c>
      <c r="F66" s="588">
        <v>2.7</v>
      </c>
      <c r="G66" s="595">
        <v>0</v>
      </c>
      <c r="H66" s="588">
        <v>-0.77</v>
      </c>
      <c r="I66" s="589">
        <v>-0.52</v>
      </c>
      <c r="J66" s="589">
        <v>-26.52</v>
      </c>
      <c r="K66" s="590">
        <v>0.6</v>
      </c>
      <c r="L66" s="591" t="s">
        <v>973</v>
      </c>
      <c r="M66" s="590">
        <f t="shared" si="0"/>
        <v>10.199999999999999</v>
      </c>
      <c r="N66" s="589">
        <v>3.4</v>
      </c>
      <c r="O66" s="589">
        <f t="shared" si="1"/>
        <v>9.6</v>
      </c>
      <c r="P66" t="str">
        <f t="shared" si="2"/>
        <v/>
      </c>
      <c r="Q66">
        <v>4</v>
      </c>
      <c r="R66">
        <v>18</v>
      </c>
    </row>
    <row r="67" spans="1:18" ht="14.5" thickBot="1">
      <c r="A67" s="586" t="s">
        <v>971</v>
      </c>
      <c r="B67" s="587" t="s">
        <v>979</v>
      </c>
      <c r="C67" s="588">
        <v>164</v>
      </c>
      <c r="D67" s="588">
        <v>0.2</v>
      </c>
      <c r="E67" s="588">
        <v>0.2</v>
      </c>
      <c r="F67" s="588">
        <v>2.7</v>
      </c>
      <c r="G67" s="595">
        <v>2.7</v>
      </c>
      <c r="H67" s="588">
        <v>-0.35</v>
      </c>
      <c r="I67" s="589">
        <v>-0.82</v>
      </c>
      <c r="J67" s="589">
        <v>-26.52</v>
      </c>
      <c r="K67" s="590">
        <v>0.6</v>
      </c>
      <c r="L67" s="591" t="s">
        <v>973</v>
      </c>
      <c r="M67" s="590">
        <f t="shared" si="0"/>
        <v>10.199999999999999</v>
      </c>
      <c r="N67" s="589">
        <v>3.4</v>
      </c>
      <c r="O67" s="589">
        <f t="shared" si="1"/>
        <v>9.6</v>
      </c>
      <c r="P67" t="str">
        <f t="shared" si="2"/>
        <v/>
      </c>
      <c r="Q67">
        <v>4</v>
      </c>
      <c r="R67">
        <v>18</v>
      </c>
    </row>
    <row r="68" spans="1:18" ht="14.5" thickBot="1">
      <c r="A68" s="586" t="s">
        <v>974</v>
      </c>
      <c r="B68" s="587" t="s">
        <v>979</v>
      </c>
      <c r="C68" s="588">
        <v>165</v>
      </c>
      <c r="D68" s="588">
        <v>0.2</v>
      </c>
      <c r="E68" s="588">
        <v>0.2</v>
      </c>
      <c r="F68" s="588">
        <v>3.6</v>
      </c>
      <c r="G68" s="595">
        <v>0</v>
      </c>
      <c r="H68" s="588">
        <v>1.1200000000000001</v>
      </c>
      <c r="I68" s="589">
        <v>0.5</v>
      </c>
      <c r="J68" s="589">
        <v>-18.05</v>
      </c>
      <c r="K68" s="590">
        <v>4.2</v>
      </c>
      <c r="L68" s="591" t="s">
        <v>973</v>
      </c>
      <c r="M68" s="590">
        <f t="shared" ref="M68" si="5">ROUND(Q68*(R68/2)^2*PI()/100,1)</f>
        <v>10.199999999999999</v>
      </c>
      <c r="N68" s="589">
        <v>3.4</v>
      </c>
      <c r="O68" s="589">
        <f t="shared" ref="O68" si="6">M68-K68</f>
        <v>5.9999999999999991</v>
      </c>
      <c r="P68" t="str">
        <f t="shared" si="2"/>
        <v/>
      </c>
      <c r="Q68">
        <v>4</v>
      </c>
      <c r="R68">
        <v>18</v>
      </c>
    </row>
    <row r="69" spans="1:18" ht="14.5" thickBot="1">
      <c r="A69" s="586" t="s">
        <v>974</v>
      </c>
      <c r="B69" s="587" t="s">
        <v>979</v>
      </c>
      <c r="C69" s="588">
        <v>165</v>
      </c>
      <c r="D69" s="588">
        <v>0.2</v>
      </c>
      <c r="E69" s="588">
        <v>0.2</v>
      </c>
      <c r="F69" s="588">
        <v>3.6</v>
      </c>
      <c r="G69" s="595">
        <v>3.6</v>
      </c>
      <c r="H69" s="588">
        <v>0.83</v>
      </c>
      <c r="I69" s="589">
        <v>0.54</v>
      </c>
      <c r="J69" s="589">
        <v>-8.5500000000000007</v>
      </c>
      <c r="K69" s="590">
        <v>6.5</v>
      </c>
      <c r="L69" s="591" t="s">
        <v>973</v>
      </c>
      <c r="M69" s="590">
        <f t="shared" ref="M69:M99" si="7">ROUND(Q69*(R69/2)^2*PI()/100,1)</f>
        <v>10.199999999999999</v>
      </c>
      <c r="N69" s="589">
        <v>3.4</v>
      </c>
      <c r="O69" s="589">
        <f t="shared" ref="O69:O99" si="8">M69-K69</f>
        <v>3.6999999999999993</v>
      </c>
      <c r="P69" t="str">
        <f t="shared" ref="P69:P99" si="9">IF(O69&lt;0,"THIEU THEP","")</f>
        <v/>
      </c>
      <c r="Q69">
        <v>4</v>
      </c>
      <c r="R69">
        <v>18</v>
      </c>
    </row>
    <row r="70" spans="1:18" ht="14.5" thickBot="1">
      <c r="A70" s="586" t="s">
        <v>974</v>
      </c>
      <c r="B70" s="587" t="s">
        <v>979</v>
      </c>
      <c r="C70" s="588">
        <v>165</v>
      </c>
      <c r="D70" s="588">
        <v>0.2</v>
      </c>
      <c r="E70" s="588">
        <v>0.2</v>
      </c>
      <c r="F70" s="588">
        <v>3.6</v>
      </c>
      <c r="G70" s="595">
        <v>0</v>
      </c>
      <c r="H70" s="588">
        <v>-1.3</v>
      </c>
      <c r="I70" s="589">
        <v>-0.55000000000000004</v>
      </c>
      <c r="J70" s="589">
        <v>-13.58</v>
      </c>
      <c r="K70" s="590">
        <v>9.4</v>
      </c>
      <c r="L70" s="591" t="s">
        <v>973</v>
      </c>
      <c r="M70" s="590">
        <f t="shared" si="7"/>
        <v>10.199999999999999</v>
      </c>
      <c r="N70" s="589">
        <v>3.4</v>
      </c>
      <c r="O70" s="589">
        <f t="shared" si="8"/>
        <v>0.79999999999999893</v>
      </c>
      <c r="P70" t="str">
        <f t="shared" si="9"/>
        <v/>
      </c>
      <c r="Q70">
        <v>4</v>
      </c>
      <c r="R70">
        <v>18</v>
      </c>
    </row>
    <row r="71" spans="1:18" ht="14.5" thickBot="1">
      <c r="A71" s="586" t="s">
        <v>974</v>
      </c>
      <c r="B71" s="587" t="s">
        <v>979</v>
      </c>
      <c r="C71" s="588">
        <v>165</v>
      </c>
      <c r="D71" s="588">
        <v>0.2</v>
      </c>
      <c r="E71" s="588">
        <v>0.2</v>
      </c>
      <c r="F71" s="588">
        <v>3.6</v>
      </c>
      <c r="G71" s="595">
        <v>3.6</v>
      </c>
      <c r="H71" s="588">
        <v>-0.54</v>
      </c>
      <c r="I71" s="589">
        <v>-1.1200000000000001</v>
      </c>
      <c r="J71" s="589">
        <v>-13.58</v>
      </c>
      <c r="K71" s="590">
        <v>7.4</v>
      </c>
      <c r="L71" s="591" t="s">
        <v>973</v>
      </c>
      <c r="M71" s="590">
        <f t="shared" si="7"/>
        <v>10.199999999999999</v>
      </c>
      <c r="N71" s="589">
        <v>3.4</v>
      </c>
      <c r="O71" s="589">
        <f t="shared" si="8"/>
        <v>2.7999999999999989</v>
      </c>
      <c r="P71" t="str">
        <f t="shared" si="9"/>
        <v/>
      </c>
      <c r="Q71">
        <v>4</v>
      </c>
      <c r="R71">
        <v>18</v>
      </c>
    </row>
    <row r="72" spans="1:18" ht="14.5" thickBot="1">
      <c r="A72" s="586" t="s">
        <v>975</v>
      </c>
      <c r="B72" s="587" t="s">
        <v>979</v>
      </c>
      <c r="C72" s="588">
        <v>166</v>
      </c>
      <c r="D72" s="588">
        <v>0.2</v>
      </c>
      <c r="E72" s="588">
        <v>0.2</v>
      </c>
      <c r="F72" s="588">
        <v>3.6</v>
      </c>
      <c r="G72" s="595">
        <v>0</v>
      </c>
      <c r="H72" s="588">
        <v>0.53</v>
      </c>
      <c r="I72" s="589">
        <v>0.48</v>
      </c>
      <c r="J72" s="589">
        <v>0.37</v>
      </c>
      <c r="K72" s="590">
        <v>8.6999999999999993</v>
      </c>
      <c r="L72" s="591" t="s">
        <v>973</v>
      </c>
      <c r="M72" s="590">
        <f t="shared" si="7"/>
        <v>10.199999999999999</v>
      </c>
      <c r="N72" s="589">
        <v>3.4</v>
      </c>
      <c r="O72" s="589">
        <f t="shared" si="8"/>
        <v>1.5</v>
      </c>
      <c r="P72" t="str">
        <f t="shared" si="9"/>
        <v/>
      </c>
      <c r="Q72">
        <v>4</v>
      </c>
      <c r="R72">
        <v>18</v>
      </c>
    </row>
    <row r="73" spans="1:18" ht="14.5" thickBot="1">
      <c r="A73" s="586" t="s">
        <v>975</v>
      </c>
      <c r="B73" s="587" t="s">
        <v>979</v>
      </c>
      <c r="C73" s="588">
        <v>166</v>
      </c>
      <c r="D73" s="588">
        <v>0.2</v>
      </c>
      <c r="E73" s="588">
        <v>0.2</v>
      </c>
      <c r="F73" s="588">
        <v>3.6</v>
      </c>
      <c r="G73" s="595">
        <v>3.6</v>
      </c>
      <c r="H73" s="588">
        <v>0.31</v>
      </c>
      <c r="I73" s="589">
        <v>0.24</v>
      </c>
      <c r="J73" s="589">
        <v>0.37</v>
      </c>
      <c r="K73" s="590">
        <v>4.5999999999999996</v>
      </c>
      <c r="L73" s="591" t="s">
        <v>973</v>
      </c>
      <c r="M73" s="590">
        <f t="shared" si="7"/>
        <v>10.199999999999999</v>
      </c>
      <c r="N73" s="589">
        <v>3.4</v>
      </c>
      <c r="O73" s="589">
        <f t="shared" si="8"/>
        <v>5.6</v>
      </c>
      <c r="P73" t="str">
        <f t="shared" si="9"/>
        <v/>
      </c>
      <c r="Q73">
        <v>4</v>
      </c>
      <c r="R73">
        <v>18</v>
      </c>
    </row>
    <row r="74" spans="1:18" ht="14.5" thickBot="1">
      <c r="A74" s="586" t="s">
        <v>975</v>
      </c>
      <c r="B74" s="587" t="s">
        <v>979</v>
      </c>
      <c r="C74" s="588">
        <v>166</v>
      </c>
      <c r="D74" s="588">
        <v>0.2</v>
      </c>
      <c r="E74" s="588">
        <v>0.2</v>
      </c>
      <c r="F74" s="588">
        <v>3.6</v>
      </c>
      <c r="G74" s="595">
        <v>0</v>
      </c>
      <c r="H74" s="588">
        <v>-0.34</v>
      </c>
      <c r="I74" s="589">
        <v>-0.09</v>
      </c>
      <c r="J74" s="589">
        <v>-0.49</v>
      </c>
      <c r="K74" s="590">
        <v>3.4</v>
      </c>
      <c r="L74" s="591" t="s">
        <v>973</v>
      </c>
      <c r="M74" s="590">
        <f t="shared" si="7"/>
        <v>10.199999999999999</v>
      </c>
      <c r="N74" s="589">
        <v>3.4</v>
      </c>
      <c r="O74" s="589">
        <f t="shared" si="8"/>
        <v>6.7999999999999989</v>
      </c>
      <c r="P74" t="str">
        <f t="shared" si="9"/>
        <v/>
      </c>
      <c r="Q74">
        <v>4</v>
      </c>
      <c r="R74">
        <v>18</v>
      </c>
    </row>
    <row r="75" spans="1:18" ht="14.5" thickBot="1">
      <c r="A75" s="586" t="s">
        <v>975</v>
      </c>
      <c r="B75" s="587" t="s">
        <v>979</v>
      </c>
      <c r="C75" s="588">
        <v>166</v>
      </c>
      <c r="D75" s="588">
        <v>0.2</v>
      </c>
      <c r="E75" s="588">
        <v>0.2</v>
      </c>
      <c r="F75" s="588">
        <v>3.6</v>
      </c>
      <c r="G75" s="595">
        <v>3.6</v>
      </c>
      <c r="H75" s="588">
        <v>-0.03</v>
      </c>
      <c r="I75" s="589">
        <v>-0.39</v>
      </c>
      <c r="J75" s="589">
        <v>-0.49</v>
      </c>
      <c r="K75" s="590">
        <v>3.4</v>
      </c>
      <c r="L75" s="591" t="s">
        <v>973</v>
      </c>
      <c r="M75" s="590">
        <f t="shared" si="7"/>
        <v>10.199999999999999</v>
      </c>
      <c r="N75" s="589">
        <v>3.4</v>
      </c>
      <c r="O75" s="589">
        <f t="shared" si="8"/>
        <v>6.7999999999999989</v>
      </c>
      <c r="P75" t="str">
        <f t="shared" si="9"/>
        <v/>
      </c>
      <c r="Q75">
        <v>4</v>
      </c>
      <c r="R75">
        <v>18</v>
      </c>
    </row>
    <row r="76" spans="1:18" ht="14.5" thickBot="1">
      <c r="A76" s="586" t="s">
        <v>971</v>
      </c>
      <c r="B76" s="587" t="s">
        <v>980</v>
      </c>
      <c r="C76" s="588">
        <v>167</v>
      </c>
      <c r="D76" s="588">
        <v>0.2</v>
      </c>
      <c r="E76" s="588">
        <v>0.2</v>
      </c>
      <c r="F76" s="588">
        <v>2.7</v>
      </c>
      <c r="G76" s="595">
        <v>0</v>
      </c>
      <c r="H76" s="588">
        <v>0.86</v>
      </c>
      <c r="I76" s="589">
        <v>0.65</v>
      </c>
      <c r="J76" s="589">
        <v>-17.420000000000002</v>
      </c>
      <c r="K76" s="590">
        <v>2.8</v>
      </c>
      <c r="L76" s="591" t="s">
        <v>973</v>
      </c>
      <c r="M76" s="590">
        <f t="shared" si="7"/>
        <v>10.199999999999999</v>
      </c>
      <c r="N76" s="589">
        <v>3.4</v>
      </c>
      <c r="O76" s="589">
        <f t="shared" si="8"/>
        <v>7.3999999999999995</v>
      </c>
      <c r="P76" t="str">
        <f t="shared" si="9"/>
        <v/>
      </c>
      <c r="Q76">
        <v>4</v>
      </c>
      <c r="R76">
        <v>18</v>
      </c>
    </row>
    <row r="77" spans="1:18" ht="14.5" thickBot="1">
      <c r="A77" s="586" t="s">
        <v>971</v>
      </c>
      <c r="B77" s="587" t="s">
        <v>980</v>
      </c>
      <c r="C77" s="588">
        <v>167</v>
      </c>
      <c r="D77" s="588">
        <v>0.2</v>
      </c>
      <c r="E77" s="588">
        <v>0.2</v>
      </c>
      <c r="F77" s="588">
        <v>2.7</v>
      </c>
      <c r="G77" s="595">
        <v>2.7</v>
      </c>
      <c r="H77" s="588">
        <v>0.54</v>
      </c>
      <c r="I77" s="589">
        <v>0.61</v>
      </c>
      <c r="J77" s="589">
        <v>-17.420000000000002</v>
      </c>
      <c r="K77" s="590">
        <v>0.6</v>
      </c>
      <c r="L77" s="591" t="s">
        <v>973</v>
      </c>
      <c r="M77" s="590">
        <f t="shared" si="7"/>
        <v>10.199999999999999</v>
      </c>
      <c r="N77" s="589">
        <v>3.4</v>
      </c>
      <c r="O77" s="589">
        <f t="shared" si="8"/>
        <v>9.6</v>
      </c>
      <c r="P77" t="str">
        <f t="shared" si="9"/>
        <v/>
      </c>
      <c r="Q77">
        <v>4</v>
      </c>
      <c r="R77">
        <v>18</v>
      </c>
    </row>
    <row r="78" spans="1:18" ht="14.5" thickBot="1">
      <c r="A78" s="586" t="s">
        <v>971</v>
      </c>
      <c r="B78" s="587" t="s">
        <v>980</v>
      </c>
      <c r="C78" s="588">
        <v>167</v>
      </c>
      <c r="D78" s="588">
        <v>0.2</v>
      </c>
      <c r="E78" s="588">
        <v>0.2</v>
      </c>
      <c r="F78" s="588">
        <v>2.7</v>
      </c>
      <c r="G78" s="595">
        <v>0</v>
      </c>
      <c r="H78" s="588">
        <v>-0.63</v>
      </c>
      <c r="I78" s="589">
        <v>-0.65</v>
      </c>
      <c r="J78" s="589">
        <v>-40.24</v>
      </c>
      <c r="K78" s="590">
        <v>0.6</v>
      </c>
      <c r="L78" s="591" t="s">
        <v>973</v>
      </c>
      <c r="M78" s="590">
        <f t="shared" si="7"/>
        <v>10.199999999999999</v>
      </c>
      <c r="N78" s="589">
        <v>3.4</v>
      </c>
      <c r="O78" s="589">
        <f t="shared" si="8"/>
        <v>9.6</v>
      </c>
      <c r="P78" t="str">
        <f t="shared" si="9"/>
        <v/>
      </c>
      <c r="Q78">
        <v>4</v>
      </c>
      <c r="R78">
        <v>18</v>
      </c>
    </row>
    <row r="79" spans="1:18" ht="14.5" thickBot="1">
      <c r="A79" s="586" t="s">
        <v>971</v>
      </c>
      <c r="B79" s="587" t="s">
        <v>980</v>
      </c>
      <c r="C79" s="588">
        <v>167</v>
      </c>
      <c r="D79" s="588">
        <v>0.2</v>
      </c>
      <c r="E79" s="588">
        <v>0.2</v>
      </c>
      <c r="F79" s="588">
        <v>2.7</v>
      </c>
      <c r="G79" s="595">
        <v>2.7</v>
      </c>
      <c r="H79" s="588">
        <v>-0.86</v>
      </c>
      <c r="I79" s="589">
        <v>-0.61</v>
      </c>
      <c r="J79" s="589">
        <v>-40.24</v>
      </c>
      <c r="K79" s="590">
        <v>2.9</v>
      </c>
      <c r="L79" s="591" t="s">
        <v>973</v>
      </c>
      <c r="M79" s="590">
        <f t="shared" si="7"/>
        <v>10.199999999999999</v>
      </c>
      <c r="N79" s="589">
        <v>3.4</v>
      </c>
      <c r="O79" s="589">
        <f t="shared" si="8"/>
        <v>7.2999999999999989</v>
      </c>
      <c r="P79" t="str">
        <f t="shared" si="9"/>
        <v/>
      </c>
      <c r="Q79">
        <v>4</v>
      </c>
      <c r="R79">
        <v>18</v>
      </c>
    </row>
    <row r="80" spans="1:18" ht="14.5" thickBot="1">
      <c r="A80" s="586" t="s">
        <v>974</v>
      </c>
      <c r="B80" s="587" t="s">
        <v>980</v>
      </c>
      <c r="C80" s="588">
        <v>168</v>
      </c>
      <c r="D80" s="588">
        <v>0.2</v>
      </c>
      <c r="E80" s="588">
        <v>0.2</v>
      </c>
      <c r="F80" s="588">
        <v>3.6</v>
      </c>
      <c r="G80" s="595">
        <v>0</v>
      </c>
      <c r="H80" s="588">
        <v>0.32</v>
      </c>
      <c r="I80" s="589">
        <v>0.36</v>
      </c>
      <c r="J80" s="589">
        <v>1.04</v>
      </c>
      <c r="K80" s="590">
        <v>5.2</v>
      </c>
      <c r="L80" s="591" t="s">
        <v>973</v>
      </c>
      <c r="M80" s="590">
        <f t="shared" ref="M80" si="10">ROUND(Q80*(R80/2)^2*PI()/100,1)</f>
        <v>10.199999999999999</v>
      </c>
      <c r="N80" s="589">
        <v>3.4</v>
      </c>
      <c r="O80" s="589">
        <f t="shared" ref="O80" si="11">M80-K80</f>
        <v>4.9999999999999991</v>
      </c>
      <c r="P80" t="str">
        <f t="shared" si="9"/>
        <v/>
      </c>
      <c r="Q80">
        <v>4</v>
      </c>
      <c r="R80">
        <v>18</v>
      </c>
    </row>
    <row r="81" spans="1:18" ht="14.5" thickBot="1">
      <c r="A81" s="586" t="s">
        <v>974</v>
      </c>
      <c r="B81" s="587" t="s">
        <v>980</v>
      </c>
      <c r="C81" s="588">
        <v>168</v>
      </c>
      <c r="D81" s="588">
        <v>0.2</v>
      </c>
      <c r="E81" s="588">
        <v>0.2</v>
      </c>
      <c r="F81" s="588">
        <v>3.6</v>
      </c>
      <c r="G81" s="595">
        <v>3.6</v>
      </c>
      <c r="H81" s="588">
        <v>0.89</v>
      </c>
      <c r="I81" s="589">
        <v>0.86</v>
      </c>
      <c r="J81" s="589">
        <v>-8.2799999999999994</v>
      </c>
      <c r="K81" s="590">
        <v>10.1</v>
      </c>
      <c r="L81" s="591" t="s">
        <v>973</v>
      </c>
      <c r="M81" s="590">
        <f t="shared" si="7"/>
        <v>10.199999999999999</v>
      </c>
      <c r="N81" s="589">
        <v>3.4</v>
      </c>
      <c r="O81" s="589">
        <f t="shared" si="8"/>
        <v>9.9999999999999645E-2</v>
      </c>
      <c r="P81" t="str">
        <f t="shared" si="9"/>
        <v/>
      </c>
      <c r="Q81">
        <v>4</v>
      </c>
      <c r="R81">
        <v>18</v>
      </c>
    </row>
    <row r="82" spans="1:18" ht="14.5" thickBot="1">
      <c r="A82" s="586" t="s">
        <v>974</v>
      </c>
      <c r="B82" s="587" t="s">
        <v>980</v>
      </c>
      <c r="C82" s="588">
        <v>168</v>
      </c>
      <c r="D82" s="588">
        <v>0.2</v>
      </c>
      <c r="E82" s="588">
        <v>0.2</v>
      </c>
      <c r="F82" s="588">
        <v>3.6</v>
      </c>
      <c r="G82" s="595">
        <v>0</v>
      </c>
      <c r="H82" s="588">
        <v>-0.89</v>
      </c>
      <c r="I82" s="589">
        <v>-0.85</v>
      </c>
      <c r="J82" s="589">
        <v>-24.85</v>
      </c>
      <c r="K82" s="590">
        <v>5.5</v>
      </c>
      <c r="L82" s="591" t="s">
        <v>973</v>
      </c>
      <c r="M82" s="590">
        <f t="shared" si="7"/>
        <v>10.199999999999999</v>
      </c>
      <c r="N82" s="589">
        <v>3.4</v>
      </c>
      <c r="O82" s="589">
        <f t="shared" si="8"/>
        <v>4.6999999999999993</v>
      </c>
      <c r="P82" t="str">
        <f t="shared" si="9"/>
        <v/>
      </c>
      <c r="Q82">
        <v>4</v>
      </c>
      <c r="R82">
        <v>18</v>
      </c>
    </row>
    <row r="83" spans="1:18" ht="14.5" thickBot="1">
      <c r="A83" s="586" t="s">
        <v>974</v>
      </c>
      <c r="B83" s="587" t="s">
        <v>980</v>
      </c>
      <c r="C83" s="588">
        <v>168</v>
      </c>
      <c r="D83" s="588">
        <v>0.2</v>
      </c>
      <c r="E83" s="588">
        <v>0.2</v>
      </c>
      <c r="F83" s="588">
        <v>3.6</v>
      </c>
      <c r="G83" s="595">
        <v>3.6</v>
      </c>
      <c r="H83" s="588">
        <v>-1.26</v>
      </c>
      <c r="I83" s="589">
        <v>-0.84</v>
      </c>
      <c r="J83" s="589">
        <v>-24.85</v>
      </c>
      <c r="K83" s="590">
        <v>10.199999999999999</v>
      </c>
      <c r="L83" s="591" t="s">
        <v>973</v>
      </c>
      <c r="M83" s="590">
        <f t="shared" si="7"/>
        <v>10.199999999999999</v>
      </c>
      <c r="N83" s="589">
        <v>3.4</v>
      </c>
      <c r="O83" s="589">
        <f t="shared" si="8"/>
        <v>0</v>
      </c>
      <c r="P83" t="str">
        <f t="shared" si="9"/>
        <v/>
      </c>
      <c r="Q83">
        <v>4</v>
      </c>
      <c r="R83">
        <v>18</v>
      </c>
    </row>
    <row r="84" spans="1:18" ht="14.5" thickBot="1">
      <c r="A84" s="586" t="s">
        <v>975</v>
      </c>
      <c r="B84" s="587" t="s">
        <v>980</v>
      </c>
      <c r="C84" s="588">
        <v>169</v>
      </c>
      <c r="D84" s="588">
        <v>0.2</v>
      </c>
      <c r="E84" s="588">
        <v>0.2</v>
      </c>
      <c r="F84" s="588">
        <v>3.6</v>
      </c>
      <c r="G84" s="595">
        <v>0</v>
      </c>
      <c r="H84" s="588">
        <v>0.46</v>
      </c>
      <c r="I84" s="589">
        <v>0.28999999999999998</v>
      </c>
      <c r="J84" s="589">
        <v>1.04</v>
      </c>
      <c r="K84" s="590">
        <v>5.8</v>
      </c>
      <c r="L84" s="591" t="s">
        <v>973</v>
      </c>
      <c r="M84" s="590">
        <f t="shared" si="7"/>
        <v>10.199999999999999</v>
      </c>
      <c r="N84" s="589">
        <v>3.4</v>
      </c>
      <c r="O84" s="589">
        <f t="shared" si="8"/>
        <v>4.3999999999999995</v>
      </c>
      <c r="P84" t="str">
        <f t="shared" si="9"/>
        <v/>
      </c>
      <c r="Q84">
        <v>4</v>
      </c>
      <c r="R84">
        <v>18</v>
      </c>
    </row>
    <row r="85" spans="1:18" ht="14.5" thickBot="1">
      <c r="A85" s="586" t="s">
        <v>975</v>
      </c>
      <c r="B85" s="587" t="s">
        <v>980</v>
      </c>
      <c r="C85" s="588">
        <v>169</v>
      </c>
      <c r="D85" s="588">
        <v>0.2</v>
      </c>
      <c r="E85" s="588">
        <v>0.2</v>
      </c>
      <c r="F85" s="588">
        <v>3.6</v>
      </c>
      <c r="G85" s="595">
        <v>3.6</v>
      </c>
      <c r="H85" s="588">
        <v>0.32</v>
      </c>
      <c r="I85" s="589">
        <v>0.36</v>
      </c>
      <c r="J85" s="589">
        <v>1.04</v>
      </c>
      <c r="K85" s="590">
        <v>5.2</v>
      </c>
      <c r="L85" s="591" t="s">
        <v>973</v>
      </c>
      <c r="M85" s="590">
        <f t="shared" si="7"/>
        <v>10.199999999999999</v>
      </c>
      <c r="N85" s="589">
        <v>3.4</v>
      </c>
      <c r="O85" s="589">
        <f t="shared" si="8"/>
        <v>4.9999999999999991</v>
      </c>
      <c r="P85" t="str">
        <f t="shared" si="9"/>
        <v/>
      </c>
      <c r="Q85">
        <v>4</v>
      </c>
      <c r="R85">
        <v>18</v>
      </c>
    </row>
    <row r="86" spans="1:18" ht="14.5" thickBot="1">
      <c r="A86" s="586" t="s">
        <v>975</v>
      </c>
      <c r="B86" s="587" t="s">
        <v>980</v>
      </c>
      <c r="C86" s="588">
        <v>169</v>
      </c>
      <c r="D86" s="588">
        <v>0.2</v>
      </c>
      <c r="E86" s="588">
        <v>0.2</v>
      </c>
      <c r="F86" s="588">
        <v>3.6</v>
      </c>
      <c r="G86" s="595">
        <v>0</v>
      </c>
      <c r="H86" s="588">
        <v>-0.26</v>
      </c>
      <c r="I86" s="589">
        <v>-0.34</v>
      </c>
      <c r="J86" s="589">
        <v>-9.86</v>
      </c>
      <c r="K86" s="590">
        <v>0.6</v>
      </c>
      <c r="L86" s="591" t="s">
        <v>973</v>
      </c>
      <c r="M86" s="590">
        <f t="shared" si="7"/>
        <v>10.199999999999999</v>
      </c>
      <c r="N86" s="589">
        <v>3.4</v>
      </c>
      <c r="O86" s="589">
        <f t="shared" si="8"/>
        <v>9.6</v>
      </c>
      <c r="P86" t="str">
        <f t="shared" si="9"/>
        <v/>
      </c>
      <c r="Q86">
        <v>4</v>
      </c>
      <c r="R86">
        <v>18</v>
      </c>
    </row>
    <row r="87" spans="1:18" ht="14.5" thickBot="1">
      <c r="A87" s="586" t="s">
        <v>975</v>
      </c>
      <c r="B87" s="587" t="s">
        <v>980</v>
      </c>
      <c r="C87" s="588">
        <v>169</v>
      </c>
      <c r="D87" s="588">
        <v>0.2</v>
      </c>
      <c r="E87" s="588">
        <v>0.2</v>
      </c>
      <c r="F87" s="588">
        <v>3.6</v>
      </c>
      <c r="G87" s="595">
        <v>3.6</v>
      </c>
      <c r="H87" s="588">
        <v>-0.44</v>
      </c>
      <c r="I87" s="589">
        <v>-0.31</v>
      </c>
      <c r="J87" s="589">
        <v>-9.86</v>
      </c>
      <c r="K87" s="590">
        <v>0.6</v>
      </c>
      <c r="L87" s="591" t="s">
        <v>973</v>
      </c>
      <c r="M87" s="590">
        <f t="shared" si="7"/>
        <v>10.199999999999999</v>
      </c>
      <c r="N87" s="589">
        <v>3.4</v>
      </c>
      <c r="O87" s="589">
        <f t="shared" si="8"/>
        <v>9.6</v>
      </c>
      <c r="P87" t="str">
        <f t="shared" si="9"/>
        <v/>
      </c>
      <c r="Q87">
        <v>4</v>
      </c>
      <c r="R87">
        <v>18</v>
      </c>
    </row>
    <row r="88" spans="1:18" ht="14.5" thickBot="1">
      <c r="A88" s="586" t="s">
        <v>971</v>
      </c>
      <c r="B88" s="587" t="s">
        <v>981</v>
      </c>
      <c r="C88" s="588">
        <v>170</v>
      </c>
      <c r="D88" s="588">
        <v>0.2</v>
      </c>
      <c r="E88" s="588">
        <v>0.2</v>
      </c>
      <c r="F88" s="588">
        <v>2.7</v>
      </c>
      <c r="G88" s="595">
        <v>0</v>
      </c>
      <c r="H88" s="588">
        <v>0.84</v>
      </c>
      <c r="I88" s="589">
        <v>0.67</v>
      </c>
      <c r="J88" s="589">
        <v>-15.89</v>
      </c>
      <c r="K88" s="590">
        <v>3.3</v>
      </c>
      <c r="L88" s="591" t="s">
        <v>973</v>
      </c>
      <c r="M88" s="590">
        <f t="shared" si="7"/>
        <v>10.199999999999999</v>
      </c>
      <c r="N88" s="589">
        <v>3.4</v>
      </c>
      <c r="O88" s="589">
        <f t="shared" si="8"/>
        <v>6.8999999999999995</v>
      </c>
      <c r="P88" t="str">
        <f t="shared" si="9"/>
        <v/>
      </c>
      <c r="Q88">
        <v>4</v>
      </c>
      <c r="R88">
        <v>18</v>
      </c>
    </row>
    <row r="89" spans="1:18" ht="14.5" thickBot="1">
      <c r="A89" s="586" t="s">
        <v>971</v>
      </c>
      <c r="B89" s="587" t="s">
        <v>981</v>
      </c>
      <c r="C89" s="588">
        <v>170</v>
      </c>
      <c r="D89" s="588">
        <v>0.2</v>
      </c>
      <c r="E89" s="588">
        <v>0.2</v>
      </c>
      <c r="F89" s="588">
        <v>2.7</v>
      </c>
      <c r="G89" s="595">
        <v>2.7</v>
      </c>
      <c r="H89" s="588">
        <v>0.63</v>
      </c>
      <c r="I89" s="589">
        <v>0.2</v>
      </c>
      <c r="J89" s="589">
        <v>-15.89</v>
      </c>
      <c r="K89" s="590">
        <v>0.6</v>
      </c>
      <c r="L89" s="591" t="s">
        <v>973</v>
      </c>
      <c r="M89" s="590">
        <f t="shared" si="7"/>
        <v>10.199999999999999</v>
      </c>
      <c r="N89" s="589">
        <v>3.4</v>
      </c>
      <c r="O89" s="589">
        <f t="shared" si="8"/>
        <v>9.6</v>
      </c>
      <c r="P89" t="str">
        <f t="shared" si="9"/>
        <v/>
      </c>
      <c r="Q89">
        <v>4</v>
      </c>
      <c r="R89">
        <v>18</v>
      </c>
    </row>
    <row r="90" spans="1:18" ht="14.5" thickBot="1">
      <c r="A90" s="586" t="s">
        <v>971</v>
      </c>
      <c r="B90" s="587" t="s">
        <v>981</v>
      </c>
      <c r="C90" s="588">
        <v>170</v>
      </c>
      <c r="D90" s="588">
        <v>0.2</v>
      </c>
      <c r="E90" s="588">
        <v>0.2</v>
      </c>
      <c r="F90" s="588">
        <v>2.7</v>
      </c>
      <c r="G90" s="595">
        <v>0</v>
      </c>
      <c r="H90" s="588">
        <v>-0.69</v>
      </c>
      <c r="I90" s="589">
        <v>-0.64</v>
      </c>
      <c r="J90" s="589">
        <v>-32.35</v>
      </c>
      <c r="K90" s="590">
        <v>0.6</v>
      </c>
      <c r="L90" s="591" t="s">
        <v>973</v>
      </c>
      <c r="M90" s="590">
        <f t="shared" si="7"/>
        <v>10.199999999999999</v>
      </c>
      <c r="N90" s="589">
        <v>3.4</v>
      </c>
      <c r="O90" s="589">
        <f t="shared" si="8"/>
        <v>9.6</v>
      </c>
      <c r="P90" t="str">
        <f t="shared" si="9"/>
        <v/>
      </c>
      <c r="Q90">
        <v>4</v>
      </c>
      <c r="R90">
        <v>18</v>
      </c>
    </row>
    <row r="91" spans="1:18" ht="14.5" thickBot="1">
      <c r="A91" s="586" t="s">
        <v>971</v>
      </c>
      <c r="B91" s="587" t="s">
        <v>981</v>
      </c>
      <c r="C91" s="588">
        <v>170</v>
      </c>
      <c r="D91" s="588">
        <v>0.2</v>
      </c>
      <c r="E91" s="588">
        <v>0.2</v>
      </c>
      <c r="F91" s="588">
        <v>2.7</v>
      </c>
      <c r="G91" s="595">
        <v>2.7</v>
      </c>
      <c r="H91" s="588">
        <v>-0.8</v>
      </c>
      <c r="I91" s="589">
        <v>-0.36</v>
      </c>
      <c r="J91" s="589">
        <v>-32.35</v>
      </c>
      <c r="K91" s="590">
        <v>0.6</v>
      </c>
      <c r="L91" s="591" t="s">
        <v>973</v>
      </c>
      <c r="M91" s="590">
        <f t="shared" si="7"/>
        <v>10.199999999999999</v>
      </c>
      <c r="N91" s="589">
        <v>3.4</v>
      </c>
      <c r="O91" s="589">
        <f t="shared" si="8"/>
        <v>9.6</v>
      </c>
      <c r="P91" t="str">
        <f t="shared" si="9"/>
        <v/>
      </c>
      <c r="Q91">
        <v>4</v>
      </c>
      <c r="R91">
        <v>18</v>
      </c>
    </row>
    <row r="92" spans="1:18" ht="14.5" thickBot="1">
      <c r="A92" s="586" t="s">
        <v>974</v>
      </c>
      <c r="B92" s="587" t="s">
        <v>981</v>
      </c>
      <c r="C92" s="588">
        <v>171</v>
      </c>
      <c r="D92" s="588">
        <v>0.2</v>
      </c>
      <c r="E92" s="588">
        <v>0.2</v>
      </c>
      <c r="F92" s="588">
        <v>3.6</v>
      </c>
      <c r="G92" s="595">
        <v>0</v>
      </c>
      <c r="H92" s="588">
        <v>0.97</v>
      </c>
      <c r="I92" s="589">
        <v>0.77</v>
      </c>
      <c r="J92" s="589">
        <v>-18.05</v>
      </c>
      <c r="K92" s="590">
        <v>4.7</v>
      </c>
      <c r="L92" s="591" t="s">
        <v>973</v>
      </c>
      <c r="M92" s="590">
        <f t="shared" si="7"/>
        <v>10.199999999999999</v>
      </c>
      <c r="N92" s="589">
        <v>3.4</v>
      </c>
      <c r="O92" s="589">
        <f t="shared" si="8"/>
        <v>5.4999999999999991</v>
      </c>
      <c r="P92" t="str">
        <f t="shared" si="9"/>
        <v/>
      </c>
      <c r="Q92">
        <v>4</v>
      </c>
      <c r="R92">
        <v>18</v>
      </c>
    </row>
    <row r="93" spans="1:18" ht="14.5" thickBot="1">
      <c r="A93" s="586" t="s">
        <v>974</v>
      </c>
      <c r="B93" s="587" t="s">
        <v>981</v>
      </c>
      <c r="C93" s="588">
        <v>171</v>
      </c>
      <c r="D93" s="588">
        <v>0.2</v>
      </c>
      <c r="E93" s="588">
        <v>0.2</v>
      </c>
      <c r="F93" s="588">
        <v>3.6</v>
      </c>
      <c r="G93" s="595">
        <v>3.6</v>
      </c>
      <c r="H93" s="588">
        <v>0.97</v>
      </c>
      <c r="I93" s="589">
        <v>0.24</v>
      </c>
      <c r="J93" s="589">
        <v>-7.98</v>
      </c>
      <c r="K93" s="590">
        <v>5.6</v>
      </c>
      <c r="L93" s="591" t="s">
        <v>973</v>
      </c>
      <c r="M93" s="590">
        <f t="shared" si="7"/>
        <v>10.199999999999999</v>
      </c>
      <c r="N93" s="589">
        <v>3.4</v>
      </c>
      <c r="O93" s="589">
        <f t="shared" si="8"/>
        <v>4.5999999999999996</v>
      </c>
      <c r="P93" t="str">
        <f t="shared" si="9"/>
        <v/>
      </c>
      <c r="Q93">
        <v>4</v>
      </c>
      <c r="R93">
        <v>18</v>
      </c>
    </row>
    <row r="94" spans="1:18" ht="14.5" thickBot="1">
      <c r="A94" s="586" t="s">
        <v>974</v>
      </c>
      <c r="B94" s="587" t="s">
        <v>981</v>
      </c>
      <c r="C94" s="588">
        <v>171</v>
      </c>
      <c r="D94" s="588">
        <v>0.2</v>
      </c>
      <c r="E94" s="588">
        <v>0.2</v>
      </c>
      <c r="F94" s="588">
        <v>3.6</v>
      </c>
      <c r="G94" s="595">
        <v>0</v>
      </c>
      <c r="H94" s="588">
        <v>-0.97</v>
      </c>
      <c r="I94" s="589">
        <v>-0.88</v>
      </c>
      <c r="J94" s="589">
        <v>-18.36</v>
      </c>
      <c r="K94" s="590">
        <v>7.4</v>
      </c>
      <c r="L94" s="591" t="s">
        <v>973</v>
      </c>
      <c r="M94" s="590">
        <f t="shared" si="7"/>
        <v>10.199999999999999</v>
      </c>
      <c r="N94" s="589">
        <v>3.4</v>
      </c>
      <c r="O94" s="589">
        <f t="shared" si="8"/>
        <v>2.7999999999999989</v>
      </c>
      <c r="P94" t="str">
        <f t="shared" si="9"/>
        <v/>
      </c>
      <c r="Q94">
        <v>4</v>
      </c>
      <c r="R94">
        <v>18</v>
      </c>
    </row>
    <row r="95" spans="1:18" ht="14.5" thickBot="1">
      <c r="A95" s="586" t="s">
        <v>974</v>
      </c>
      <c r="B95" s="587" t="s">
        <v>981</v>
      </c>
      <c r="C95" s="588">
        <v>171</v>
      </c>
      <c r="D95" s="588">
        <v>0.2</v>
      </c>
      <c r="E95" s="588">
        <v>0.2</v>
      </c>
      <c r="F95" s="588">
        <v>3.6</v>
      </c>
      <c r="G95" s="595">
        <v>3.6</v>
      </c>
      <c r="H95" s="588">
        <v>-1.17</v>
      </c>
      <c r="I95" s="589">
        <v>-0.49</v>
      </c>
      <c r="J95" s="589">
        <v>-18.36</v>
      </c>
      <c r="K95" s="590">
        <v>6.3</v>
      </c>
      <c r="L95" s="591" t="s">
        <v>973</v>
      </c>
      <c r="M95" s="590">
        <f t="shared" si="7"/>
        <v>10.199999999999999</v>
      </c>
      <c r="N95" s="589">
        <v>3.4</v>
      </c>
      <c r="O95" s="589">
        <f t="shared" si="8"/>
        <v>3.8999999999999995</v>
      </c>
      <c r="P95" t="str">
        <f t="shared" si="9"/>
        <v/>
      </c>
      <c r="Q95">
        <v>4</v>
      </c>
      <c r="R95">
        <v>18</v>
      </c>
    </row>
    <row r="96" spans="1:18" ht="14.5" thickBot="1">
      <c r="A96" s="586" t="s">
        <v>975</v>
      </c>
      <c r="B96" s="587" t="s">
        <v>981</v>
      </c>
      <c r="C96" s="588">
        <v>172</v>
      </c>
      <c r="D96" s="588">
        <v>0.2</v>
      </c>
      <c r="E96" s="588">
        <v>0.2</v>
      </c>
      <c r="F96" s="588">
        <v>3.6</v>
      </c>
      <c r="G96" s="595">
        <v>0</v>
      </c>
      <c r="H96" s="588">
        <v>0.41</v>
      </c>
      <c r="I96" s="589">
        <v>0.57999999999999996</v>
      </c>
      <c r="J96" s="589">
        <v>0.12</v>
      </c>
      <c r="K96" s="590">
        <v>8.8000000000000007</v>
      </c>
      <c r="L96" s="591" t="s">
        <v>973</v>
      </c>
      <c r="M96" s="590">
        <f t="shared" si="7"/>
        <v>10.199999999999999</v>
      </c>
      <c r="N96" s="589">
        <v>3.4</v>
      </c>
      <c r="O96" s="589">
        <f t="shared" si="8"/>
        <v>1.3999999999999986</v>
      </c>
      <c r="P96" t="str">
        <f t="shared" si="9"/>
        <v/>
      </c>
      <c r="Q96">
        <v>4</v>
      </c>
      <c r="R96">
        <v>18</v>
      </c>
    </row>
    <row r="97" spans="1:18" ht="14.5" thickBot="1">
      <c r="A97" s="586" t="s">
        <v>975</v>
      </c>
      <c r="B97" s="587" t="s">
        <v>981</v>
      </c>
      <c r="C97" s="588">
        <v>172</v>
      </c>
      <c r="D97" s="588">
        <v>0.2</v>
      </c>
      <c r="E97" s="588">
        <v>0.2</v>
      </c>
      <c r="F97" s="588">
        <v>3.6</v>
      </c>
      <c r="G97" s="595">
        <v>3.6</v>
      </c>
      <c r="H97" s="588">
        <v>0.33</v>
      </c>
      <c r="I97" s="589">
        <v>-0.02</v>
      </c>
      <c r="J97" s="589">
        <v>0.12</v>
      </c>
      <c r="K97" s="590">
        <v>3</v>
      </c>
      <c r="L97" s="591" t="s">
        <v>973</v>
      </c>
      <c r="M97" s="590">
        <f t="shared" si="7"/>
        <v>10.199999999999999</v>
      </c>
      <c r="N97" s="589">
        <v>3.4</v>
      </c>
      <c r="O97" s="589">
        <f t="shared" si="8"/>
        <v>7.1999999999999993</v>
      </c>
      <c r="P97" t="str">
        <f t="shared" si="9"/>
        <v/>
      </c>
      <c r="Q97">
        <v>4</v>
      </c>
      <c r="R97">
        <v>18</v>
      </c>
    </row>
    <row r="98" spans="1:18" ht="14.5" thickBot="1">
      <c r="A98" s="586" t="s">
        <v>975</v>
      </c>
      <c r="B98" s="587" t="s">
        <v>981</v>
      </c>
      <c r="C98" s="588">
        <v>172</v>
      </c>
      <c r="D98" s="588">
        <v>0.2</v>
      </c>
      <c r="E98" s="588">
        <v>0.2</v>
      </c>
      <c r="F98" s="588">
        <v>3.6</v>
      </c>
      <c r="G98" s="595">
        <v>0</v>
      </c>
      <c r="H98" s="588">
        <v>-0.31</v>
      </c>
      <c r="I98" s="589">
        <v>-0.5</v>
      </c>
      <c r="J98" s="589">
        <v>-4.37</v>
      </c>
      <c r="K98" s="590">
        <v>3.8</v>
      </c>
      <c r="L98" s="591" t="s">
        <v>973</v>
      </c>
      <c r="M98" s="590">
        <f t="shared" si="7"/>
        <v>10.199999999999999</v>
      </c>
      <c r="N98" s="589">
        <v>3.4</v>
      </c>
      <c r="O98" s="589">
        <f t="shared" si="8"/>
        <v>6.3999999999999995</v>
      </c>
      <c r="P98" t="str">
        <f t="shared" si="9"/>
        <v/>
      </c>
      <c r="Q98">
        <v>4</v>
      </c>
      <c r="R98">
        <v>18</v>
      </c>
    </row>
    <row r="99" spans="1:18" ht="14.5" thickBot="1">
      <c r="A99" s="586" t="s">
        <v>975</v>
      </c>
      <c r="B99" s="587" t="s">
        <v>981</v>
      </c>
      <c r="C99" s="588">
        <v>172</v>
      </c>
      <c r="D99" s="588">
        <v>0.2</v>
      </c>
      <c r="E99" s="588">
        <v>0.2</v>
      </c>
      <c r="F99" s="588">
        <v>3.6</v>
      </c>
      <c r="G99" s="595">
        <v>3.6</v>
      </c>
      <c r="H99" s="588">
        <v>-0.41</v>
      </c>
      <c r="I99" s="589">
        <v>-0.23</v>
      </c>
      <c r="J99" s="589">
        <v>-4.37</v>
      </c>
      <c r="K99" s="590">
        <v>2.2999999999999998</v>
      </c>
      <c r="L99" s="591" t="s">
        <v>973</v>
      </c>
      <c r="M99" s="590">
        <f t="shared" si="7"/>
        <v>10.199999999999999</v>
      </c>
      <c r="N99" s="589">
        <v>3.4</v>
      </c>
      <c r="O99" s="589">
        <f t="shared" si="8"/>
        <v>7.8999999999999995</v>
      </c>
      <c r="P99" t="str">
        <f t="shared" si="9"/>
        <v/>
      </c>
      <c r="Q99">
        <v>4</v>
      </c>
      <c r="R99">
        <v>18</v>
      </c>
    </row>
  </sheetData>
  <mergeCells count="4">
    <mergeCell ref="A1:A3"/>
    <mergeCell ref="B1:B3"/>
    <mergeCell ref="C1:C3"/>
    <mergeCell ref="L1:L3"/>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46D9-7EE9-470F-B8BA-62D20835CBDD}">
  <sheetPr codeName="Sheet19"/>
  <dimension ref="A1:T145"/>
  <sheetViews>
    <sheetView topLeftCell="A4" workbookViewId="0">
      <selection activeCell="O14" sqref="O14"/>
    </sheetView>
  </sheetViews>
  <sheetFormatPr defaultColWidth="8.83203125" defaultRowHeight="14"/>
  <cols>
    <col min="4" max="4" width="0" hidden="1" customWidth="1"/>
  </cols>
  <sheetData>
    <row r="1" spans="1:20">
      <c r="A1" s="1094" t="s">
        <v>431</v>
      </c>
      <c r="B1" s="1094"/>
      <c r="C1" s="1094"/>
      <c r="D1" s="199"/>
      <c r="E1" s="143"/>
      <c r="F1" s="143"/>
      <c r="G1" s="143"/>
      <c r="H1" s="133"/>
      <c r="I1" s="143"/>
      <c r="J1" s="134"/>
      <c r="K1" s="134"/>
      <c r="L1" s="134"/>
      <c r="M1" s="134"/>
      <c r="N1" s="134"/>
      <c r="O1" s="134"/>
      <c r="P1" s="134"/>
      <c r="Q1" s="134"/>
      <c r="R1" s="134"/>
      <c r="S1" s="134"/>
      <c r="T1" s="134"/>
    </row>
    <row r="2" spans="1:20" ht="15">
      <c r="A2" s="133"/>
      <c r="B2" s="150" t="s">
        <v>432</v>
      </c>
      <c r="C2" s="149">
        <v>9</v>
      </c>
      <c r="D2" s="172"/>
      <c r="E2" s="133"/>
      <c r="F2" s="133"/>
      <c r="G2" s="133"/>
      <c r="H2" s="133"/>
      <c r="I2" s="133"/>
      <c r="J2" s="133"/>
      <c r="K2" s="133"/>
      <c r="L2" s="133"/>
      <c r="M2" s="133"/>
      <c r="N2" s="134"/>
      <c r="O2" s="134"/>
      <c r="P2" s="134"/>
      <c r="Q2" s="134"/>
      <c r="R2" s="134"/>
      <c r="S2" s="134"/>
      <c r="T2" s="134"/>
    </row>
    <row r="3" spans="1:20">
      <c r="A3" s="145"/>
      <c r="B3" s="146"/>
      <c r="C3" s="145"/>
      <c r="D3" s="183"/>
      <c r="E3" s="145"/>
      <c r="F3" s="145"/>
      <c r="G3" s="145"/>
      <c r="H3" s="145"/>
      <c r="I3" s="145"/>
      <c r="J3" s="145"/>
      <c r="K3" s="145"/>
      <c r="L3" s="145"/>
      <c r="M3" s="145"/>
      <c r="N3" s="147"/>
      <c r="O3" s="147"/>
      <c r="P3" s="147"/>
      <c r="Q3" s="147"/>
      <c r="R3" s="147"/>
      <c r="S3" s="147"/>
      <c r="T3" s="147"/>
    </row>
    <row r="4" spans="1:20" ht="15">
      <c r="A4" s="134"/>
      <c r="B4" s="139"/>
      <c r="C4" s="133"/>
      <c r="D4" s="173"/>
      <c r="E4" s="136" t="s">
        <v>433</v>
      </c>
      <c r="F4" s="134"/>
      <c r="G4" s="134"/>
      <c r="H4" s="134"/>
      <c r="I4" s="134"/>
      <c r="J4" s="134"/>
      <c r="K4" s="134"/>
      <c r="L4" s="134"/>
      <c r="M4" s="134"/>
      <c r="N4" s="134"/>
      <c r="O4" s="134"/>
      <c r="P4" s="134"/>
      <c r="Q4" s="134"/>
      <c r="R4" s="134"/>
      <c r="S4" s="134"/>
      <c r="T4" s="134"/>
    </row>
    <row r="5" spans="1:20">
      <c r="A5" s="134"/>
      <c r="B5" s="139"/>
      <c r="C5" s="134"/>
      <c r="D5" s="175"/>
      <c r="E5" s="134"/>
      <c r="F5" s="134"/>
      <c r="G5" s="134"/>
      <c r="H5" s="134"/>
      <c r="I5" s="134"/>
      <c r="J5" s="134"/>
      <c r="K5" s="134"/>
      <c r="L5" s="134"/>
      <c r="M5" s="134"/>
      <c r="N5" s="134"/>
      <c r="O5" s="134"/>
      <c r="P5" s="134"/>
      <c r="Q5" s="134"/>
      <c r="R5" s="134"/>
      <c r="S5" s="134"/>
      <c r="T5" s="134"/>
    </row>
    <row r="6" spans="1:20" ht="19" customHeight="1">
      <c r="A6" s="147"/>
      <c r="B6" s="137"/>
      <c r="C6" s="151" t="s">
        <v>434</v>
      </c>
      <c r="D6" s="195"/>
      <c r="E6" s="152" t="s">
        <v>204</v>
      </c>
      <c r="F6" s="153" t="s">
        <v>204</v>
      </c>
      <c r="G6" s="1095" t="s">
        <v>984</v>
      </c>
      <c r="H6" s="152" t="s">
        <v>360</v>
      </c>
      <c r="I6" s="154" t="s">
        <v>206</v>
      </c>
      <c r="J6" s="154" t="s">
        <v>207</v>
      </c>
      <c r="K6" s="1095" t="s">
        <v>985</v>
      </c>
      <c r="L6" s="155" t="s">
        <v>435</v>
      </c>
      <c r="M6" s="147"/>
      <c r="N6" s="134"/>
      <c r="O6" s="134"/>
      <c r="P6" s="134"/>
      <c r="Q6" s="134"/>
      <c r="R6" s="134"/>
      <c r="S6" s="134"/>
      <c r="T6" s="134"/>
    </row>
    <row r="7" spans="1:20" ht="16">
      <c r="A7" s="134"/>
      <c r="B7" s="138"/>
      <c r="C7" s="156" t="s">
        <v>210</v>
      </c>
      <c r="D7" s="196"/>
      <c r="E7" s="157" t="s">
        <v>211</v>
      </c>
      <c r="F7" s="157" t="s">
        <v>212</v>
      </c>
      <c r="G7" s="1096"/>
      <c r="H7" s="158" t="s">
        <v>361</v>
      </c>
      <c r="I7" s="159" t="s">
        <v>213</v>
      </c>
      <c r="J7" s="159" t="s">
        <v>213</v>
      </c>
      <c r="K7" s="1096"/>
      <c r="L7" s="160" t="s">
        <v>436</v>
      </c>
      <c r="M7" s="134"/>
      <c r="N7" s="134"/>
      <c r="O7" s="134"/>
      <c r="P7" s="134"/>
      <c r="Q7" s="134"/>
      <c r="R7" s="134"/>
      <c r="S7" s="134"/>
      <c r="T7" s="134"/>
    </row>
    <row r="8" spans="1:20" ht="17.5">
      <c r="A8" s="134"/>
      <c r="B8" s="138"/>
      <c r="C8" s="156" t="s">
        <v>216</v>
      </c>
      <c r="D8" s="196"/>
      <c r="E8" s="158" t="s">
        <v>437</v>
      </c>
      <c r="F8" s="157" t="s">
        <v>438</v>
      </c>
      <c r="G8" s="1096"/>
      <c r="H8" s="158" t="s">
        <v>362</v>
      </c>
      <c r="I8" s="159" t="s">
        <v>439</v>
      </c>
      <c r="J8" s="159" t="s">
        <v>440</v>
      </c>
      <c r="K8" s="1096"/>
      <c r="L8" s="160" t="s">
        <v>441</v>
      </c>
      <c r="M8" s="134"/>
      <c r="N8" s="134"/>
      <c r="O8" s="134"/>
      <c r="P8" s="134"/>
      <c r="Q8" s="134"/>
      <c r="R8" s="134"/>
      <c r="S8" s="134"/>
      <c r="T8" s="134"/>
    </row>
    <row r="9" spans="1:20" ht="25" customHeight="1">
      <c r="A9" s="134"/>
      <c r="B9" s="138"/>
      <c r="C9" s="156" t="s">
        <v>223</v>
      </c>
      <c r="D9" s="196"/>
      <c r="E9" s="161"/>
      <c r="F9" s="162"/>
      <c r="G9" s="1096"/>
      <c r="H9" s="158" t="s">
        <v>363</v>
      </c>
      <c r="I9" s="163"/>
      <c r="J9" s="163"/>
      <c r="K9" s="1096"/>
      <c r="L9" s="160" t="s">
        <v>442</v>
      </c>
      <c r="M9" s="134"/>
      <c r="N9" s="140"/>
      <c r="O9" s="135"/>
      <c r="P9" s="135"/>
      <c r="Q9" s="134"/>
      <c r="R9" s="134"/>
      <c r="S9" s="134"/>
      <c r="T9" s="134"/>
    </row>
    <row r="10" spans="1:20" ht="16">
      <c r="A10" s="134"/>
      <c r="B10" s="138"/>
      <c r="C10" s="164"/>
      <c r="D10" s="197"/>
      <c r="E10" s="165" t="s">
        <v>58</v>
      </c>
      <c r="F10" s="166" t="s">
        <v>58</v>
      </c>
      <c r="G10" s="1097"/>
      <c r="H10" s="167"/>
      <c r="I10" s="168" t="s">
        <v>1003</v>
      </c>
      <c r="J10" s="168" t="s">
        <v>1003</v>
      </c>
      <c r="K10" s="1097"/>
      <c r="L10" s="168" t="s">
        <v>1003</v>
      </c>
      <c r="M10" s="134"/>
      <c r="N10" s="140"/>
      <c r="O10" s="148"/>
      <c r="P10" s="135"/>
      <c r="Q10" s="134"/>
      <c r="R10" s="134"/>
      <c r="S10" s="134"/>
      <c r="T10" s="134"/>
    </row>
    <row r="11" spans="1:20">
      <c r="A11" s="134"/>
      <c r="B11" s="138"/>
      <c r="C11" s="169">
        <v>1</v>
      </c>
      <c r="D11" s="198"/>
      <c r="E11" s="170">
        <v>2</v>
      </c>
      <c r="F11" s="170">
        <v>3</v>
      </c>
      <c r="G11" s="170">
        <v>4</v>
      </c>
      <c r="H11" s="170">
        <v>5</v>
      </c>
      <c r="I11" s="170">
        <v>6</v>
      </c>
      <c r="J11" s="170">
        <v>7</v>
      </c>
      <c r="K11" s="170">
        <v>8</v>
      </c>
      <c r="L11" s="171">
        <v>9</v>
      </c>
      <c r="M11" s="134"/>
      <c r="N11" s="140"/>
      <c r="O11" s="142"/>
      <c r="P11" s="135"/>
      <c r="Q11" s="134"/>
      <c r="R11" s="134"/>
      <c r="S11" s="134"/>
      <c r="T11" s="134"/>
    </row>
    <row r="12" spans="1:20">
      <c r="A12" s="134"/>
      <c r="B12" s="139"/>
      <c r="C12" s="230" t="s">
        <v>199</v>
      </c>
      <c r="D12" s="231" t="s">
        <v>444</v>
      </c>
      <c r="E12" s="232">
        <f>VLOOKUP(C12,'tải sàn'!$B$5:$F$17,4,0)</f>
        <v>2.2000000000000002</v>
      </c>
      <c r="F12" s="232">
        <f>VLOOKUP(C12,'tải sàn'!$B$5:$F$17,5,0)</f>
        <v>4</v>
      </c>
      <c r="G12" s="233">
        <f>IF(F12/E12&lt;=2,ROUND(F12/E12,2),"1P")</f>
        <v>1.82</v>
      </c>
      <c r="H12" s="234">
        <f>VLOOKUP(G12,'du lieu'!$D$18:$BF$118,HLOOKUP($C$2,'du lieu'!$D$130:$BF$131,2))</f>
        <v>1.9379999999999998E-2</v>
      </c>
      <c r="I12" s="231">
        <f>VLOOKUP(C12,'tải sàn'!$B$5:$F$17,2,0)</f>
        <v>0.19500000000000001</v>
      </c>
      <c r="J12" s="231">
        <f>VLOOKUP(C12,'tải sàn'!$B$5:$F$17,3,0)</f>
        <v>0.62</v>
      </c>
      <c r="K12" s="235">
        <f>+(I12+J12)*E12*F12</f>
        <v>7.1719999999999997</v>
      </c>
      <c r="L12" s="501">
        <f>H12*K12</f>
        <v>0.13899335999999998</v>
      </c>
      <c r="M12" s="134"/>
      <c r="N12" s="141"/>
      <c r="O12" s="148"/>
      <c r="P12" s="135"/>
      <c r="Q12" s="134"/>
      <c r="R12" s="134"/>
      <c r="S12" s="134"/>
      <c r="T12" s="134"/>
    </row>
    <row r="13" spans="1:20">
      <c r="A13" s="134"/>
      <c r="B13" s="139"/>
      <c r="C13" s="236" t="str">
        <f>C12</f>
        <v>S1A</v>
      </c>
      <c r="D13" s="237" t="s">
        <v>445</v>
      </c>
      <c r="E13" s="238"/>
      <c r="F13" s="232"/>
      <c r="G13" s="233"/>
      <c r="H13" s="234">
        <f>VLOOKUP(G12,'du lieu'!$D$18:$BF$118,HLOOKUP($C$2,'du lieu'!$D$133:$BF$134,2))</f>
        <v>5.8399999999999997E-3</v>
      </c>
      <c r="I13" s="231"/>
      <c r="J13" s="231"/>
      <c r="K13" s="235"/>
      <c r="L13" s="502">
        <f>H13*K12</f>
        <v>4.1884479999999995E-2</v>
      </c>
      <c r="M13" s="134"/>
      <c r="N13" s="140"/>
      <c r="O13" s="142"/>
      <c r="P13" s="135"/>
      <c r="Q13" s="134"/>
      <c r="R13" s="134"/>
      <c r="S13" s="134"/>
      <c r="T13" s="134"/>
    </row>
    <row r="14" spans="1:20">
      <c r="A14" s="134"/>
      <c r="B14" s="139"/>
      <c r="C14" s="236" t="str">
        <f>C12</f>
        <v>S1A</v>
      </c>
      <c r="D14" s="237" t="s">
        <v>446</v>
      </c>
      <c r="E14" s="238"/>
      <c r="F14" s="232"/>
      <c r="G14" s="233"/>
      <c r="H14" s="234">
        <f>VLOOKUP(G12,'du lieu'!$D$18:$BF$118,HLOOKUP($C$2,'du lieu'!$D$136:$BF$137,2))</f>
        <v>4.1979999999999996E-2</v>
      </c>
      <c r="I14" s="239"/>
      <c r="J14" s="239"/>
      <c r="K14" s="235"/>
      <c r="L14" s="502">
        <f>H14*K12</f>
        <v>0.30108055999999994</v>
      </c>
      <c r="M14" s="134"/>
      <c r="N14" s="140"/>
      <c r="O14" s="148"/>
      <c r="P14" s="135"/>
      <c r="Q14" s="134"/>
      <c r="R14" s="134"/>
      <c r="S14" s="134"/>
      <c r="T14" s="134"/>
    </row>
    <row r="15" spans="1:20">
      <c r="A15" s="134"/>
      <c r="B15" s="139"/>
      <c r="C15" s="240" t="str">
        <f>C12</f>
        <v>S1A</v>
      </c>
      <c r="D15" s="241" t="s">
        <v>447</v>
      </c>
      <c r="E15" s="242"/>
      <c r="F15" s="243"/>
      <c r="G15" s="244"/>
      <c r="H15" s="245">
        <f>VLOOKUP(G12,'du lieu'!$D$18:$BF$118,HLOOKUP($C$2,'du lieu'!$D$139:$BF$140,2))</f>
        <v>1.2740000000000001E-2</v>
      </c>
      <c r="I15" s="246"/>
      <c r="J15" s="246"/>
      <c r="K15" s="235"/>
      <c r="L15" s="502">
        <f>H15*K12</f>
        <v>9.1371279999999999E-2</v>
      </c>
      <c r="M15" s="134"/>
      <c r="N15" s="133"/>
      <c r="O15" s="143"/>
      <c r="P15" s="134"/>
      <c r="Q15" s="134"/>
      <c r="R15" s="134"/>
      <c r="S15" s="134"/>
      <c r="T15" s="134"/>
    </row>
    <row r="16" spans="1:20">
      <c r="A16" s="134"/>
      <c r="B16" s="139"/>
      <c r="C16" s="230" t="s">
        <v>202</v>
      </c>
      <c r="D16" s="231" t="s">
        <v>444</v>
      </c>
      <c r="E16" s="232">
        <f>VLOOKUP(C16,'tải sàn'!$B$5:$F$17,4,0)</f>
        <v>4</v>
      </c>
      <c r="F16" s="232">
        <f>VLOOKUP(C16,'tải sàn'!$B$5:$F$17,5,0)</f>
        <v>6</v>
      </c>
      <c r="G16" s="233">
        <f>IF(F16/E16&lt;=2,ROUND(F16/E16,2),"1P")</f>
        <v>1.5</v>
      </c>
      <c r="H16" s="234">
        <f>VLOOKUP(G16,'du lieu'!$D$18:$BF$118,HLOOKUP($C$2,'du lieu'!$D$130:$BF$131,2))</f>
        <v>2.0799999999999999E-2</v>
      </c>
      <c r="I16" s="231">
        <f>VLOOKUP(C16,'tải sàn'!$B$5:$F$17,2,0)</f>
        <v>0.84</v>
      </c>
      <c r="J16" s="231">
        <f>VLOOKUP(C16,'tải sàn'!$B$5:$F$17,3,0)</f>
        <v>0.48</v>
      </c>
      <c r="K16" s="247">
        <f>+(I16+J16)*E16*F16</f>
        <v>31.679999999999996</v>
      </c>
      <c r="L16" s="501">
        <f>H16*K16</f>
        <v>0.65894399999999986</v>
      </c>
      <c r="M16" s="134"/>
      <c r="N16" s="133"/>
      <c r="O16" s="134"/>
      <c r="P16" s="134"/>
      <c r="Q16" s="134"/>
      <c r="R16" s="134"/>
      <c r="S16" s="134"/>
      <c r="T16" s="134"/>
    </row>
    <row r="17" spans="1:20">
      <c r="A17" s="134"/>
      <c r="B17" s="139"/>
      <c r="C17" s="236" t="str">
        <f>C16</f>
        <v>S1B</v>
      </c>
      <c r="D17" s="237" t="s">
        <v>445</v>
      </c>
      <c r="E17" s="238"/>
      <c r="F17" s="232"/>
      <c r="G17" s="233"/>
      <c r="H17" s="234">
        <f>VLOOKUP(G16,'du lieu'!$D$18:$BF$118,HLOOKUP($C$2,'du lieu'!$D$133:$BF$134,2))</f>
        <v>9.2999999999999992E-3</v>
      </c>
      <c r="I17" s="231"/>
      <c r="J17" s="231"/>
      <c r="K17" s="248"/>
      <c r="L17" s="502">
        <f>H17*K16</f>
        <v>0.29462399999999994</v>
      </c>
      <c r="M17" s="134"/>
      <c r="N17" s="133"/>
      <c r="O17" s="134"/>
      <c r="P17" s="134"/>
      <c r="Q17" s="134"/>
      <c r="R17" s="134"/>
      <c r="S17" s="134"/>
      <c r="T17" s="134"/>
    </row>
    <row r="18" spans="1:20">
      <c r="A18" s="134"/>
      <c r="B18" s="139"/>
      <c r="C18" s="236" t="str">
        <f>C16</f>
        <v>S1B</v>
      </c>
      <c r="D18" s="237" t="s">
        <v>446</v>
      </c>
      <c r="E18" s="238"/>
      <c r="F18" s="232"/>
      <c r="G18" s="233"/>
      <c r="H18" s="234">
        <f>VLOOKUP(G16,'du lieu'!$D$18:$BF$118,HLOOKUP($C$2,'du lieu'!$D$136:$BF$137,2))</f>
        <v>4.6399999999999997E-2</v>
      </c>
      <c r="I18" s="239"/>
      <c r="J18" s="239"/>
      <c r="K18" s="248"/>
      <c r="L18" s="502">
        <f>H18*K16</f>
        <v>1.4699519999999997</v>
      </c>
      <c r="M18" s="134"/>
      <c r="N18" s="133"/>
      <c r="O18" s="134"/>
      <c r="P18" s="134"/>
      <c r="Q18" s="134"/>
      <c r="R18" s="134"/>
      <c r="S18" s="134"/>
      <c r="T18" s="134"/>
    </row>
    <row r="19" spans="1:20">
      <c r="A19" s="134"/>
      <c r="B19" s="139"/>
      <c r="C19" s="240" t="str">
        <f>C16</f>
        <v>S1B</v>
      </c>
      <c r="D19" s="241" t="s">
        <v>447</v>
      </c>
      <c r="E19" s="242"/>
      <c r="F19" s="243"/>
      <c r="G19" s="244"/>
      <c r="H19" s="245">
        <f>VLOOKUP(G16,'du lieu'!$D$18:$BF$118,HLOOKUP($C$2,'du lieu'!$D$139:$BF$140,2))</f>
        <v>2.06E-2</v>
      </c>
      <c r="I19" s="246"/>
      <c r="J19" s="246"/>
      <c r="K19" s="249"/>
      <c r="L19" s="502">
        <f>H19*K16</f>
        <v>0.65260799999999997</v>
      </c>
      <c r="M19" s="134"/>
      <c r="N19" s="133"/>
      <c r="O19" s="134"/>
      <c r="P19" s="134"/>
      <c r="Q19" s="134"/>
      <c r="R19" s="134"/>
      <c r="S19" s="134"/>
      <c r="T19" s="134"/>
    </row>
    <row r="20" spans="1:20">
      <c r="A20" s="134"/>
      <c r="B20" s="139"/>
      <c r="C20" s="230" t="s">
        <v>103</v>
      </c>
      <c r="D20" s="231" t="s">
        <v>444</v>
      </c>
      <c r="E20" s="232">
        <f>VLOOKUP(C20,'tải sàn'!$B$5:$F$17,4,0)</f>
        <v>4</v>
      </c>
      <c r="F20" s="232">
        <f>VLOOKUP(C20,'tải sàn'!$B$5:$F$17,5,0)</f>
        <v>6</v>
      </c>
      <c r="G20" s="233">
        <f>IF(F20/E20&lt;=2,ROUND(F20/E20,2),"1P")</f>
        <v>1.5</v>
      </c>
      <c r="H20" s="234">
        <f>VLOOKUP(G20,'du lieu'!$D$18:$BF$118,HLOOKUP($C$2,'du lieu'!$D$130:$BF$131,2))</f>
        <v>2.0799999999999999E-2</v>
      </c>
      <c r="I20" s="231">
        <f>VLOOKUP(C20,'tải sàn'!$B$5:$F$17,2,0)</f>
        <v>0.48</v>
      </c>
      <c r="J20" s="231">
        <f>VLOOKUP(C20,'tải sàn'!$B$5:$F$17,3,0)</f>
        <v>0.48</v>
      </c>
      <c r="K20" s="235">
        <f>+(I20+J20)*E20*F20</f>
        <v>23.04</v>
      </c>
      <c r="L20" s="501">
        <f>H20*K20</f>
        <v>0.47923199999999994</v>
      </c>
      <c r="M20" s="134"/>
      <c r="N20" s="133"/>
      <c r="O20" s="134"/>
      <c r="P20" s="134"/>
      <c r="Q20" s="134"/>
      <c r="R20" s="134"/>
      <c r="S20" s="134"/>
      <c r="T20" s="134"/>
    </row>
    <row r="21" spans="1:20">
      <c r="A21" s="134"/>
      <c r="B21" s="139"/>
      <c r="C21" s="236" t="str">
        <f>C20</f>
        <v>S1</v>
      </c>
      <c r="D21" s="237" t="s">
        <v>445</v>
      </c>
      <c r="E21" s="238"/>
      <c r="F21" s="232"/>
      <c r="G21" s="233"/>
      <c r="H21" s="234">
        <f>VLOOKUP(G20,'du lieu'!$D$18:$BF$118,HLOOKUP($C$2,'du lieu'!$D$133:$BF$134,2))</f>
        <v>9.2999999999999992E-3</v>
      </c>
      <c r="I21" s="231"/>
      <c r="J21" s="231"/>
      <c r="K21" s="235"/>
      <c r="L21" s="502">
        <f>H21*K20</f>
        <v>0.21427199999999996</v>
      </c>
      <c r="M21" s="134"/>
      <c r="N21" s="133"/>
      <c r="O21" s="134"/>
      <c r="P21" s="134"/>
      <c r="Q21" s="134"/>
      <c r="R21" s="134"/>
      <c r="S21" s="134"/>
      <c r="T21" s="134"/>
    </row>
    <row r="22" spans="1:20">
      <c r="A22" s="134"/>
      <c r="B22" s="139"/>
      <c r="C22" s="236" t="str">
        <f>C20</f>
        <v>S1</v>
      </c>
      <c r="D22" s="237" t="s">
        <v>446</v>
      </c>
      <c r="E22" s="238"/>
      <c r="F22" s="232"/>
      <c r="G22" s="233"/>
      <c r="H22" s="234">
        <f>VLOOKUP(G20,'du lieu'!$D$18:$BF$118,HLOOKUP($C$2,'du lieu'!$D$136:$BF$137,2))</f>
        <v>4.6399999999999997E-2</v>
      </c>
      <c r="I22" s="239"/>
      <c r="J22" s="239"/>
      <c r="K22" s="235"/>
      <c r="L22" s="502">
        <f>H22*K20</f>
        <v>1.0690559999999998</v>
      </c>
      <c r="M22" s="134"/>
      <c r="N22" s="133"/>
      <c r="O22" s="134"/>
      <c r="P22" s="134"/>
      <c r="Q22" s="134"/>
      <c r="R22" s="134"/>
      <c r="S22" s="134"/>
      <c r="T22" s="134"/>
    </row>
    <row r="23" spans="1:20">
      <c r="A23" s="134"/>
      <c r="B23" s="139"/>
      <c r="C23" s="240" t="str">
        <f>C20</f>
        <v>S1</v>
      </c>
      <c r="D23" s="241" t="s">
        <v>447</v>
      </c>
      <c r="E23" s="242"/>
      <c r="F23" s="243"/>
      <c r="G23" s="244"/>
      <c r="H23" s="245">
        <f>VLOOKUP(G20,'du lieu'!$D$18:$BF$118,HLOOKUP($C$2,'du lieu'!$D$139:$BF$140,2))</f>
        <v>2.06E-2</v>
      </c>
      <c r="I23" s="246"/>
      <c r="J23" s="246"/>
      <c r="K23" s="250"/>
      <c r="L23" s="502">
        <f>H23*K20</f>
        <v>0.47462399999999999</v>
      </c>
      <c r="M23" s="134"/>
      <c r="N23" s="133"/>
      <c r="O23" s="134"/>
      <c r="P23" s="134"/>
      <c r="Q23" s="134"/>
      <c r="R23" s="134"/>
      <c r="S23" s="134"/>
      <c r="T23" s="134"/>
    </row>
    <row r="24" spans="1:20">
      <c r="A24" s="134"/>
      <c r="B24" s="139"/>
      <c r="C24" s="251" t="s">
        <v>101</v>
      </c>
      <c r="D24" s="231" t="s">
        <v>444</v>
      </c>
      <c r="E24" s="232">
        <f>VLOOKUP(C24,'tải sàn'!$B$5:$F$17,4,0)</f>
        <v>3</v>
      </c>
      <c r="F24" s="232">
        <f>VLOOKUP(C24,'tải sàn'!$B$5:$F$17,5,0)</f>
        <v>4</v>
      </c>
      <c r="G24" s="233">
        <f>IF(F24/E24&lt;=2,ROUND(F24/E24,2),"1P")</f>
        <v>1.33</v>
      </c>
      <c r="H24" s="234">
        <f>VLOOKUP(G24,'du lieu'!$D$18:$BF$118,HLOOKUP($C$2,'du lieu'!$D$130:$BF$131,2))</f>
        <v>2.0920000000000001E-2</v>
      </c>
      <c r="I24" s="231">
        <f>VLOOKUP(C24,'tải sàn'!$B$5:$F$17,2,0)</f>
        <v>0.36</v>
      </c>
      <c r="J24" s="231">
        <f>VLOOKUP(C24,'tải sàn'!$B$5:$F$17,3,0)</f>
        <v>0.48</v>
      </c>
      <c r="K24" s="235">
        <f>+(I24+J24)*E24*F24</f>
        <v>10.08</v>
      </c>
      <c r="L24" s="501">
        <f>H24*K24</f>
        <v>0.21087360000000002</v>
      </c>
      <c r="M24" s="134"/>
      <c r="N24" s="133"/>
      <c r="O24" s="134"/>
      <c r="P24" s="134"/>
      <c r="Q24" s="134"/>
      <c r="R24" s="134"/>
      <c r="S24" s="134"/>
      <c r="T24" s="134"/>
    </row>
    <row r="25" spans="1:20">
      <c r="A25" s="134"/>
      <c r="B25" s="139"/>
      <c r="C25" s="236" t="str">
        <f>C24</f>
        <v>S2</v>
      </c>
      <c r="D25" s="237" t="s">
        <v>445</v>
      </c>
      <c r="E25" s="238"/>
      <c r="F25" s="232"/>
      <c r="G25" s="233"/>
      <c r="H25" s="234">
        <f>VLOOKUP(G24,'du lieu'!$D$18:$BF$118,HLOOKUP($C$2,'du lieu'!$D$133:$BF$134,2))</f>
        <v>1.1820000000000001E-2</v>
      </c>
      <c r="I25" s="231"/>
      <c r="J25" s="231"/>
      <c r="K25" s="235"/>
      <c r="L25" s="502">
        <f>H25*K24</f>
        <v>0.1191456</v>
      </c>
      <c r="M25" s="134"/>
      <c r="N25" s="133"/>
      <c r="O25" s="134"/>
      <c r="P25" s="134"/>
      <c r="Q25" s="134"/>
      <c r="R25" s="134"/>
      <c r="S25" s="134"/>
      <c r="T25" s="134"/>
    </row>
    <row r="26" spans="1:20">
      <c r="A26" s="134"/>
      <c r="B26" s="139"/>
      <c r="C26" s="236" t="str">
        <f>C24</f>
        <v>S2</v>
      </c>
      <c r="D26" s="237" t="s">
        <v>446</v>
      </c>
      <c r="E26" s="238"/>
      <c r="F26" s="232"/>
      <c r="G26" s="233"/>
      <c r="H26" s="234">
        <f>VLOOKUP(G24,'du lieu'!$D$18:$BF$118,HLOOKUP($C$2,'du lieu'!$D$136:$BF$137,2))</f>
        <v>4.7439999999999996E-2</v>
      </c>
      <c r="I26" s="239"/>
      <c r="J26" s="239"/>
      <c r="K26" s="235"/>
      <c r="L26" s="502">
        <f>H26*K24</f>
        <v>0.47819519999999999</v>
      </c>
      <c r="M26" s="134"/>
      <c r="N26" s="133"/>
      <c r="O26" s="134"/>
      <c r="P26" s="134"/>
      <c r="Q26" s="134"/>
      <c r="R26" s="134"/>
      <c r="S26" s="134"/>
      <c r="T26" s="134"/>
    </row>
    <row r="27" spans="1:20">
      <c r="A27" s="134"/>
      <c r="B27" s="139"/>
      <c r="C27" s="240" t="str">
        <f>C24</f>
        <v>S2</v>
      </c>
      <c r="D27" s="241" t="s">
        <v>447</v>
      </c>
      <c r="E27" s="242"/>
      <c r="F27" s="243"/>
      <c r="G27" s="244"/>
      <c r="H27" s="245">
        <f>VLOOKUP(G24,'du lieu'!$D$18:$BF$118,HLOOKUP($C$2,'du lieu'!$D$139:$BF$140,2))</f>
        <v>2.6960000000000001E-2</v>
      </c>
      <c r="I27" s="246"/>
      <c r="J27" s="246"/>
      <c r="K27" s="250"/>
      <c r="L27" s="503">
        <f>H27*K24</f>
        <v>0.27175680000000002</v>
      </c>
      <c r="M27" s="134"/>
      <c r="N27" s="133"/>
      <c r="O27" s="134"/>
      <c r="P27" s="134"/>
      <c r="Q27" s="134"/>
      <c r="R27" s="134"/>
      <c r="S27" s="134"/>
      <c r="T27" s="134"/>
    </row>
    <row r="28" spans="1:20">
      <c r="A28" s="134"/>
      <c r="B28" s="139"/>
      <c r="C28" s="230" t="s">
        <v>102</v>
      </c>
      <c r="D28" s="231" t="s">
        <v>444</v>
      </c>
      <c r="E28" s="232">
        <f>VLOOKUP(C28,'tải sàn'!$B$5:$F$17,4,0)</f>
        <v>4</v>
      </c>
      <c r="F28" s="232">
        <f>VLOOKUP(C28,'tải sàn'!$B$5:$F$17,5,0)</f>
        <v>5.5</v>
      </c>
      <c r="G28" s="233">
        <f>IF(F28/E28&lt;=2,ROUND(F28/E28,2),"1P")</f>
        <v>1.38</v>
      </c>
      <c r="H28" s="234">
        <f>VLOOKUP(G28,'du lieu'!$D$18:$BF$118,HLOOKUP($C$2,'du lieu'!$D$130:$BF$131,2))</f>
        <v>2.1000000000000001E-2</v>
      </c>
      <c r="I28" s="231">
        <f>VLOOKUP(C28,'tải sàn'!$B$5:$F$17,2,0)</f>
        <v>0.36</v>
      </c>
      <c r="J28" s="231">
        <f>VLOOKUP(C28,'tải sàn'!$B$5:$F$17,3,0)</f>
        <v>0.61</v>
      </c>
      <c r="K28" s="235">
        <f>+(I28+J28)*E28*F28</f>
        <v>21.34</v>
      </c>
      <c r="L28" s="502">
        <f>H28*K28</f>
        <v>0.44814000000000004</v>
      </c>
      <c r="M28" s="134"/>
      <c r="N28" s="133"/>
      <c r="O28" s="134"/>
      <c r="P28" s="134"/>
      <c r="Q28" s="134"/>
      <c r="R28" s="134"/>
      <c r="S28" s="134"/>
      <c r="T28" s="134"/>
    </row>
    <row r="29" spans="1:20">
      <c r="A29" s="134"/>
      <c r="B29" s="139"/>
      <c r="C29" s="236" t="str">
        <f>C28</f>
        <v>S3</v>
      </c>
      <c r="D29" s="237" t="s">
        <v>445</v>
      </c>
      <c r="E29" s="238"/>
      <c r="F29" s="232"/>
      <c r="G29" s="233"/>
      <c r="H29" s="234">
        <f>VLOOKUP(G28,'du lieu'!$D$18:$BF$118,HLOOKUP($C$2,'du lieu'!$D$133:$BF$134,2))</f>
        <v>1.102E-2</v>
      </c>
      <c r="I29" s="231"/>
      <c r="J29" s="231"/>
      <c r="K29" s="235"/>
      <c r="L29" s="502">
        <f>H29*K28</f>
        <v>0.23516680000000001</v>
      </c>
      <c r="M29" s="134"/>
      <c r="N29" s="133"/>
      <c r="O29" s="134"/>
      <c r="P29" s="134"/>
      <c r="Q29" s="134"/>
      <c r="R29" s="134"/>
      <c r="S29" s="134"/>
      <c r="T29" s="134"/>
    </row>
    <row r="30" spans="1:20">
      <c r="A30" s="134"/>
      <c r="B30" s="139"/>
      <c r="C30" s="236" t="str">
        <f>C28</f>
        <v>S3</v>
      </c>
      <c r="D30" s="237" t="s">
        <v>446</v>
      </c>
      <c r="E30" s="238"/>
      <c r="F30" s="232"/>
      <c r="G30" s="233"/>
      <c r="H30" s="234">
        <f>VLOOKUP(G28,'du lieu'!$D$18:$BF$118,HLOOKUP($C$2,'du lieu'!$D$136:$BF$137,2))</f>
        <v>4.1340000000000016E-2</v>
      </c>
      <c r="I30" s="239"/>
      <c r="J30" s="239"/>
      <c r="K30" s="235"/>
      <c r="L30" s="502">
        <f>H30*K28</f>
        <v>0.8821956000000003</v>
      </c>
      <c r="M30" s="134"/>
      <c r="N30" s="133"/>
      <c r="O30" s="134"/>
      <c r="P30" s="134"/>
      <c r="Q30" s="134"/>
      <c r="R30" s="134"/>
      <c r="S30" s="134"/>
      <c r="T30" s="134"/>
    </row>
    <row r="31" spans="1:20">
      <c r="A31" s="134"/>
      <c r="B31" s="139"/>
      <c r="C31" s="240" t="str">
        <f>C28</f>
        <v>S3</v>
      </c>
      <c r="D31" s="241" t="s">
        <v>447</v>
      </c>
      <c r="E31" s="242"/>
      <c r="F31" s="243"/>
      <c r="G31" s="244"/>
      <c r="H31" s="245">
        <f>VLOOKUP(G28,'du lieu'!$D$18:$BF$118,HLOOKUP($C$2,'du lieu'!$D$139:$BF$140,2))</f>
        <v>2.4880000000000006E-2</v>
      </c>
      <c r="I31" s="246"/>
      <c r="J31" s="246"/>
      <c r="K31" s="250"/>
      <c r="L31" s="503">
        <f>H31*K28</f>
        <v>0.53093920000000017</v>
      </c>
      <c r="M31" s="134"/>
      <c r="N31" s="133"/>
      <c r="O31" s="134"/>
      <c r="P31" s="134"/>
      <c r="Q31" s="134"/>
      <c r="R31" s="134"/>
      <c r="S31" s="134"/>
      <c r="T31" s="134"/>
    </row>
    <row r="32" spans="1:20">
      <c r="A32" s="134"/>
      <c r="B32" s="139"/>
      <c r="C32" s="251" t="s">
        <v>105</v>
      </c>
      <c r="D32" s="231" t="s">
        <v>444</v>
      </c>
      <c r="E32" s="232">
        <f>VLOOKUP(C32,'tải sàn'!$B$5:$F$17,4,0)</f>
        <v>2</v>
      </c>
      <c r="F32" s="232">
        <f>VLOOKUP(C32,'tải sàn'!$B$5:$F$17,5,0)</f>
        <v>3</v>
      </c>
      <c r="G32" s="233">
        <f>IF(F32/E32&lt;=2,ROUND(F32/E32,2),"1P")</f>
        <v>1.5</v>
      </c>
      <c r="H32" s="234">
        <f>VLOOKUP(G32,'du lieu'!$D$18:$BF$118,HLOOKUP($C$2,'du lieu'!$D$130:$BF$131,2))</f>
        <v>2.0799999999999999E-2</v>
      </c>
      <c r="I32" s="231">
        <f>VLOOKUP(C32,'tải sàn'!$B$5:$F$17,2,0)</f>
        <v>0.48</v>
      </c>
      <c r="J32" s="231">
        <f>VLOOKUP(C32,'tải sàn'!$B$5:$F$17,3,0)</f>
        <v>0.48</v>
      </c>
      <c r="K32" s="235">
        <f>+(I32+J32)*E32*F32</f>
        <v>5.76</v>
      </c>
      <c r="L32" s="501">
        <f>H32*K32</f>
        <v>0.11980799999999998</v>
      </c>
      <c r="M32" s="135"/>
      <c r="N32" s="133"/>
      <c r="O32" s="134"/>
      <c r="P32" s="134"/>
      <c r="Q32" s="134"/>
      <c r="R32" s="134"/>
      <c r="S32" s="134"/>
      <c r="T32" s="134"/>
    </row>
    <row r="33" spans="1:20">
      <c r="A33" s="134"/>
      <c r="B33" s="139"/>
      <c r="C33" s="236" t="str">
        <f>C32</f>
        <v>S5</v>
      </c>
      <c r="D33" s="237" t="s">
        <v>445</v>
      </c>
      <c r="E33" s="238"/>
      <c r="F33" s="232"/>
      <c r="G33" s="233"/>
      <c r="H33" s="234">
        <f>VLOOKUP(G32,'du lieu'!$D$18:$BF$118,HLOOKUP($C$2,'du lieu'!$D$133:$BF$134,2))</f>
        <v>9.2999999999999992E-3</v>
      </c>
      <c r="I33" s="231"/>
      <c r="J33" s="231"/>
      <c r="K33" s="235"/>
      <c r="L33" s="502">
        <f>H33*K32</f>
        <v>5.3567999999999991E-2</v>
      </c>
      <c r="M33" s="134"/>
      <c r="N33" s="133"/>
      <c r="O33" s="134"/>
      <c r="P33" s="134"/>
      <c r="Q33" s="134"/>
      <c r="R33" s="134"/>
      <c r="S33" s="134"/>
      <c r="T33" s="134"/>
    </row>
    <row r="34" spans="1:20">
      <c r="A34" s="134"/>
      <c r="B34" s="139"/>
      <c r="C34" s="236" t="str">
        <f>C32</f>
        <v>S5</v>
      </c>
      <c r="D34" s="237" t="s">
        <v>446</v>
      </c>
      <c r="E34" s="238"/>
      <c r="F34" s="232"/>
      <c r="G34" s="233"/>
      <c r="H34" s="234">
        <f>VLOOKUP(G32,'du lieu'!$D$18:$BF$118,HLOOKUP($C$2,'du lieu'!$D$136:$BF$137,2))</f>
        <v>4.6399999999999997E-2</v>
      </c>
      <c r="I34" s="239"/>
      <c r="J34" s="239"/>
      <c r="K34" s="235"/>
      <c r="L34" s="502">
        <f>H34*K32</f>
        <v>0.26726399999999995</v>
      </c>
      <c r="M34" s="134"/>
      <c r="N34" s="133"/>
      <c r="O34" s="134"/>
      <c r="P34" s="134"/>
      <c r="Q34" s="134"/>
      <c r="R34" s="134"/>
      <c r="S34" s="134"/>
      <c r="T34" s="134"/>
    </row>
    <row r="35" spans="1:20">
      <c r="A35" s="134"/>
      <c r="B35" s="139"/>
      <c r="C35" s="240" t="str">
        <f>C32</f>
        <v>S5</v>
      </c>
      <c r="D35" s="241" t="s">
        <v>447</v>
      </c>
      <c r="E35" s="242"/>
      <c r="F35" s="243"/>
      <c r="G35" s="244"/>
      <c r="H35" s="245">
        <f>VLOOKUP(G32,'du lieu'!$D$18:$BF$118,HLOOKUP($C$2,'du lieu'!$D$139:$BF$140,2))</f>
        <v>2.06E-2</v>
      </c>
      <c r="I35" s="246"/>
      <c r="J35" s="246"/>
      <c r="K35" s="250"/>
      <c r="L35" s="503">
        <f>H35*K32</f>
        <v>0.118656</v>
      </c>
      <c r="M35" s="134"/>
      <c r="N35" s="133"/>
      <c r="O35" s="134"/>
      <c r="P35" s="134"/>
      <c r="Q35" s="134"/>
      <c r="R35" s="134"/>
      <c r="S35" s="134"/>
      <c r="T35" s="134"/>
    </row>
    <row r="36" spans="1:20">
      <c r="A36" s="134"/>
      <c r="B36" s="139"/>
      <c r="C36" s="251" t="s">
        <v>108</v>
      </c>
      <c r="D36" s="231" t="s">
        <v>444</v>
      </c>
      <c r="E36" s="232">
        <f>VLOOKUP(C36,'tải sàn'!$B$5:$F$17,4,0)</f>
        <v>4</v>
      </c>
      <c r="F36" s="232">
        <f>VLOOKUP(C36,'tải sàn'!$B$5:$F$17,5,0)</f>
        <v>4</v>
      </c>
      <c r="G36" s="233">
        <f>IF(F36/E36&lt;=2,ROUND(F36/E36,2),"1P")</f>
        <v>1</v>
      </c>
      <c r="H36" s="234">
        <f>VLOOKUP(G36,'du lieu'!$D$18:$BF$118,HLOOKUP($C$2,'du lieu'!$D$130:$BF$131,2))</f>
        <v>1.7899999999999999E-2</v>
      </c>
      <c r="I36" s="231">
        <f>VLOOKUP(C36,'tải sàn'!$B$5:$F$17,2,0)</f>
        <v>0.48</v>
      </c>
      <c r="J36" s="231">
        <f>VLOOKUP(C36,'tải sàn'!$B$5:$F$17,3,0)</f>
        <v>0.48</v>
      </c>
      <c r="K36" s="235">
        <f>+(I36+J36)*E36*F36</f>
        <v>15.36</v>
      </c>
      <c r="L36" s="501">
        <f>H36*K36</f>
        <v>0.27494399999999997</v>
      </c>
      <c r="M36" s="134"/>
      <c r="N36" s="133"/>
      <c r="O36" s="134"/>
      <c r="P36" s="134"/>
      <c r="Q36" s="134"/>
      <c r="R36" s="134"/>
      <c r="S36" s="134"/>
      <c r="T36" s="134"/>
    </row>
    <row r="37" spans="1:20">
      <c r="A37" s="134"/>
      <c r="B37" s="139"/>
      <c r="C37" s="236" t="str">
        <f>C36</f>
        <v>S8</v>
      </c>
      <c r="D37" s="237" t="s">
        <v>445</v>
      </c>
      <c r="E37" s="238"/>
      <c r="F37" s="232"/>
      <c r="G37" s="233"/>
      <c r="H37" s="234">
        <f>VLOOKUP(G36,'du lieu'!$D$18:$BF$118,HLOOKUP($C$2,'du lieu'!$D$133:$BF$134,2))</f>
        <v>1.7899999999999999E-2</v>
      </c>
      <c r="I37" s="231"/>
      <c r="J37" s="231"/>
      <c r="K37" s="235"/>
      <c r="L37" s="502">
        <f>H37*K36</f>
        <v>0.27494399999999997</v>
      </c>
      <c r="M37" s="134"/>
      <c r="N37" s="133"/>
      <c r="O37" s="134"/>
      <c r="P37" s="134"/>
      <c r="Q37" s="134"/>
      <c r="R37" s="134"/>
      <c r="S37" s="134"/>
      <c r="T37" s="134"/>
    </row>
    <row r="38" spans="1:20">
      <c r="A38" s="134"/>
      <c r="B38" s="139"/>
      <c r="C38" s="236" t="str">
        <f>C36</f>
        <v>S8</v>
      </c>
      <c r="D38" s="237" t="s">
        <v>446</v>
      </c>
      <c r="E38" s="238"/>
      <c r="F38" s="232"/>
      <c r="G38" s="233"/>
      <c r="H38" s="234">
        <f>VLOOKUP(G36,'du lieu'!$D$18:$BF$118,HLOOKUP($C$2,'du lieu'!$D$136:$BF$137,2))</f>
        <v>4.1700000000000001E-2</v>
      </c>
      <c r="I38" s="239"/>
      <c r="J38" s="239"/>
      <c r="K38" s="235"/>
      <c r="L38" s="502">
        <f>H38*K36</f>
        <v>0.64051199999999997</v>
      </c>
      <c r="M38" s="134"/>
      <c r="N38" s="133"/>
      <c r="O38" s="134"/>
      <c r="P38" s="134"/>
      <c r="Q38" s="134"/>
      <c r="R38" s="134"/>
      <c r="S38" s="134"/>
      <c r="T38" s="134"/>
    </row>
    <row r="39" spans="1:20">
      <c r="A39" s="134"/>
      <c r="B39" s="139"/>
      <c r="C39" s="240" t="str">
        <f>C36</f>
        <v>S8</v>
      </c>
      <c r="D39" s="241" t="s">
        <v>447</v>
      </c>
      <c r="E39" s="242"/>
      <c r="F39" s="243"/>
      <c r="G39" s="244"/>
      <c r="H39" s="245">
        <f>VLOOKUP(G36,'du lieu'!$D$18:$BF$118,HLOOKUP($C$2,'du lieu'!$D$139:$BF$140,2))</f>
        <v>4.1700000000000001E-2</v>
      </c>
      <c r="I39" s="246"/>
      <c r="J39" s="246"/>
      <c r="K39" s="250"/>
      <c r="L39" s="503">
        <f>H39*K36</f>
        <v>0.64051199999999997</v>
      </c>
      <c r="M39" s="134"/>
      <c r="N39" s="133"/>
      <c r="O39" s="134"/>
      <c r="P39" s="134"/>
      <c r="Q39" s="134"/>
      <c r="R39" s="134"/>
      <c r="S39" s="134"/>
      <c r="T39" s="134"/>
    </row>
    <row r="40" spans="1:20">
      <c r="A40" s="134"/>
      <c r="B40" s="139"/>
      <c r="C40" s="230" t="s">
        <v>110</v>
      </c>
      <c r="D40" s="231" t="s">
        <v>444</v>
      </c>
      <c r="E40" s="232">
        <f>VLOOKUP(C40,'tải sàn'!$B$5:$F$17,4,0)</f>
        <v>2</v>
      </c>
      <c r="F40" s="232">
        <f>VLOOKUP(C40,'tải sàn'!$B$5:$F$17,5,0)</f>
        <v>2.7</v>
      </c>
      <c r="G40" s="233">
        <f>IF(F40/E40&lt;=2,ROUND(F40/E40,2),"1P")</f>
        <v>1.35</v>
      </c>
      <c r="H40" s="234">
        <f>VLOOKUP(G40,'du lieu'!$D$18:$BF$118,HLOOKUP($C$2,'du lieu'!$D$130:$BF$131,2))</f>
        <v>2.1000000000000001E-2</v>
      </c>
      <c r="I40" s="231">
        <f>VLOOKUP(C40,'tải sàn'!$B$5:$F$17,2,0)</f>
        <v>0.48</v>
      </c>
      <c r="J40" s="231">
        <f>VLOOKUP(C40,'tải sàn'!$B$5:$F$17,3,0)</f>
        <v>0.48</v>
      </c>
      <c r="K40" s="235">
        <f>+(I40+J40)*E40*F40</f>
        <v>5.1840000000000002</v>
      </c>
      <c r="L40" s="501">
        <f>H40*K40</f>
        <v>0.10886400000000002</v>
      </c>
      <c r="M40" s="134"/>
      <c r="N40" s="133"/>
      <c r="O40" s="134"/>
      <c r="P40" s="134"/>
      <c r="Q40" s="134"/>
      <c r="R40" s="134"/>
      <c r="S40" s="134"/>
      <c r="T40" s="134"/>
    </row>
    <row r="41" spans="1:20">
      <c r="A41" s="134"/>
      <c r="B41" s="139"/>
      <c r="C41" s="236" t="str">
        <f>C40</f>
        <v>S9</v>
      </c>
      <c r="D41" s="237" t="s">
        <v>445</v>
      </c>
      <c r="E41" s="238"/>
      <c r="F41" s="232"/>
      <c r="G41" s="233"/>
      <c r="H41" s="234">
        <f>VLOOKUP(G40,'du lieu'!$D$18:$BF$118,HLOOKUP($C$2,'du lieu'!$D$133:$BF$134,2))</f>
        <v>1.15E-2</v>
      </c>
      <c r="I41" s="231"/>
      <c r="J41" s="231"/>
      <c r="K41" s="235"/>
      <c r="L41" s="502">
        <f>H41*K40</f>
        <v>5.9616000000000002E-2</v>
      </c>
      <c r="M41" s="134"/>
      <c r="N41" s="133"/>
      <c r="O41" s="134"/>
      <c r="P41" s="134"/>
      <c r="Q41" s="134"/>
      <c r="R41" s="134"/>
      <c r="S41" s="134"/>
      <c r="T41" s="134"/>
    </row>
    <row r="42" spans="1:20">
      <c r="A42" s="134"/>
      <c r="B42" s="139"/>
      <c r="C42" s="236" t="str">
        <f>C40</f>
        <v>S9</v>
      </c>
      <c r="D42" s="237" t="s">
        <v>446</v>
      </c>
      <c r="E42" s="238"/>
      <c r="F42" s="232"/>
      <c r="G42" s="233"/>
      <c r="H42" s="234">
        <f>VLOOKUP(G40,'du lieu'!$D$18:$BF$118,HLOOKUP($C$2,'du lieu'!$D$136:$BF$137,2))</f>
        <v>4.7399999999999998E-2</v>
      </c>
      <c r="I42" s="239"/>
      <c r="J42" s="239"/>
      <c r="K42" s="235"/>
      <c r="L42" s="502">
        <f>H42*K40</f>
        <v>0.24572159999999998</v>
      </c>
      <c r="M42" s="134"/>
      <c r="N42" s="133"/>
      <c r="O42" s="134"/>
      <c r="P42" s="134"/>
      <c r="Q42" s="134"/>
      <c r="R42" s="134"/>
      <c r="S42" s="134"/>
      <c r="T42" s="134"/>
    </row>
    <row r="43" spans="1:20">
      <c r="A43" s="134"/>
      <c r="B43" s="139"/>
      <c r="C43" s="240" t="str">
        <f>C40</f>
        <v>S9</v>
      </c>
      <c r="D43" s="241" t="s">
        <v>447</v>
      </c>
      <c r="E43" s="242"/>
      <c r="F43" s="243"/>
      <c r="G43" s="244"/>
      <c r="H43" s="245">
        <f>VLOOKUP(G40,'du lieu'!$D$18:$BF$118,HLOOKUP($C$2,'du lieu'!$D$139:$BF$140,2))</f>
        <v>2.6200000000000001E-2</v>
      </c>
      <c r="I43" s="246"/>
      <c r="J43" s="246"/>
      <c r="K43" s="250"/>
      <c r="L43" s="503">
        <f>H43*K40</f>
        <v>0.13582080000000002</v>
      </c>
      <c r="M43" s="134"/>
      <c r="N43" s="133"/>
      <c r="O43" s="134"/>
      <c r="P43" s="134"/>
      <c r="Q43" s="134"/>
      <c r="R43" s="134"/>
      <c r="S43" s="134"/>
      <c r="T43" s="134"/>
    </row>
    <row r="44" spans="1:20">
      <c r="A44" s="134"/>
      <c r="B44" s="139"/>
      <c r="C44" s="251" t="s">
        <v>109</v>
      </c>
      <c r="D44" s="231" t="s">
        <v>444</v>
      </c>
      <c r="E44" s="232">
        <f>VLOOKUP(C44,'tải sàn'!$B$5:$F$17,4,0)</f>
        <v>2.9000000000000004</v>
      </c>
      <c r="F44" s="232">
        <f>VLOOKUP(C44,'tải sàn'!$B$5:$F$17,5,0)</f>
        <v>4</v>
      </c>
      <c r="G44" s="233">
        <f>IF(F44/E44&lt;=2,ROUND(F44/E44,2),"1P")</f>
        <v>1.38</v>
      </c>
      <c r="H44" s="234">
        <f>VLOOKUP(G44,'du lieu'!$D$18:$BF$118,HLOOKUP($C$2,'du lieu'!$D$130:$BF$131,2))</f>
        <v>2.1000000000000001E-2</v>
      </c>
      <c r="I44" s="231">
        <f>VLOOKUP(C44,'tải sàn'!$B$5:$F$17,2,0)</f>
        <v>0.48</v>
      </c>
      <c r="J44" s="231">
        <f>VLOOKUP(C44,'tải sàn'!$B$5:$F$17,3,0)</f>
        <v>0.48</v>
      </c>
      <c r="K44" s="235">
        <f>+(I44+J44)*E44*F44</f>
        <v>11.136000000000001</v>
      </c>
      <c r="L44" s="501">
        <f>H44*K44</f>
        <v>0.23385600000000004</v>
      </c>
      <c r="M44" s="134"/>
      <c r="N44" s="133"/>
      <c r="O44" s="134"/>
      <c r="P44" s="134"/>
      <c r="Q44" s="134"/>
      <c r="R44" s="134"/>
      <c r="S44" s="134"/>
      <c r="T44" s="134"/>
    </row>
    <row r="45" spans="1:20">
      <c r="A45" s="134"/>
      <c r="B45" s="139"/>
      <c r="C45" s="236" t="str">
        <f>C44</f>
        <v>S10</v>
      </c>
      <c r="D45" s="237" t="s">
        <v>445</v>
      </c>
      <c r="E45" s="238"/>
      <c r="F45" s="232"/>
      <c r="G45" s="233"/>
      <c r="H45" s="234">
        <f>VLOOKUP(G44,'du lieu'!$D$18:$BF$118,HLOOKUP($C$2,'du lieu'!$D$133:$BF$134,2))</f>
        <v>1.102E-2</v>
      </c>
      <c r="I45" s="231"/>
      <c r="J45" s="231"/>
      <c r="K45" s="235"/>
      <c r="L45" s="502">
        <f>H45*K44</f>
        <v>0.12271872000000002</v>
      </c>
      <c r="M45" s="134"/>
      <c r="N45" s="133"/>
      <c r="O45" s="134"/>
      <c r="P45" s="134"/>
      <c r="Q45" s="134"/>
      <c r="R45" s="134"/>
      <c r="S45" s="134"/>
      <c r="T45" s="134"/>
    </row>
    <row r="46" spans="1:20">
      <c r="A46" s="134"/>
      <c r="B46" s="139"/>
      <c r="C46" s="236" t="str">
        <f>C44</f>
        <v>S10</v>
      </c>
      <c r="D46" s="237" t="s">
        <v>446</v>
      </c>
      <c r="E46" s="238"/>
      <c r="F46" s="232"/>
      <c r="G46" s="233"/>
      <c r="H46" s="234">
        <f>VLOOKUP(G44,'du lieu'!$D$18:$BF$118,HLOOKUP($C$2,'du lieu'!$D$136:$BF$137,2))</f>
        <v>4.1340000000000016E-2</v>
      </c>
      <c r="I46" s="239"/>
      <c r="J46" s="239"/>
      <c r="K46" s="235"/>
      <c r="L46" s="502">
        <f>H46*K44</f>
        <v>0.4603622400000002</v>
      </c>
      <c r="M46" s="134"/>
      <c r="N46" s="133"/>
      <c r="O46" s="134"/>
      <c r="P46" s="134"/>
      <c r="Q46" s="134"/>
      <c r="R46" s="134"/>
      <c r="S46" s="134"/>
      <c r="T46" s="134"/>
    </row>
    <row r="47" spans="1:20">
      <c r="A47" s="134"/>
      <c r="B47" s="139"/>
      <c r="C47" s="240" t="str">
        <f>C44</f>
        <v>S10</v>
      </c>
      <c r="D47" s="241" t="s">
        <v>447</v>
      </c>
      <c r="E47" s="242"/>
      <c r="F47" s="243"/>
      <c r="G47" s="244"/>
      <c r="H47" s="245">
        <f>VLOOKUP(G44,'du lieu'!$D$18:$BF$118,HLOOKUP($C$2,'du lieu'!$D$139:$BF$140,2))</f>
        <v>2.4880000000000006E-2</v>
      </c>
      <c r="I47" s="246"/>
      <c r="J47" s="246"/>
      <c r="K47" s="250"/>
      <c r="L47" s="503">
        <f>H47*K44</f>
        <v>0.27706368000000009</v>
      </c>
      <c r="M47" s="134"/>
      <c r="N47" s="133"/>
      <c r="O47" s="134"/>
      <c r="P47" s="134"/>
      <c r="Q47" s="134"/>
      <c r="R47" s="134"/>
      <c r="S47" s="134"/>
      <c r="T47" s="134"/>
    </row>
    <row r="48" spans="1:20">
      <c r="A48" s="134"/>
      <c r="B48" s="139"/>
      <c r="C48" s="134"/>
      <c r="D48" s="175"/>
      <c r="E48" s="134"/>
      <c r="F48" s="134"/>
      <c r="G48" s="134"/>
      <c r="H48" s="134"/>
      <c r="I48" s="143"/>
      <c r="J48" s="144"/>
      <c r="K48" s="135"/>
      <c r="L48" s="134"/>
      <c r="M48" s="134"/>
      <c r="N48" s="134"/>
      <c r="O48" s="134"/>
      <c r="P48" s="134"/>
      <c r="Q48" s="134"/>
      <c r="R48" s="134"/>
      <c r="S48" s="134"/>
      <c r="T48" s="134"/>
    </row>
    <row r="49" spans="1:20">
      <c r="A49" s="134"/>
      <c r="B49" s="139"/>
      <c r="C49" s="134"/>
      <c r="D49" s="175"/>
      <c r="E49" s="134"/>
      <c r="F49" s="134"/>
      <c r="G49" s="134"/>
      <c r="H49" s="134"/>
      <c r="I49" s="134"/>
      <c r="J49" s="134"/>
      <c r="K49" s="134"/>
      <c r="L49" s="134"/>
      <c r="M49" s="134"/>
      <c r="N49" s="134"/>
      <c r="O49" s="134"/>
      <c r="P49" s="134"/>
      <c r="Q49" s="134"/>
      <c r="R49" s="134"/>
      <c r="S49" s="134"/>
      <c r="T49" s="134"/>
    </row>
    <row r="50" spans="1:20">
      <c r="A50" s="134"/>
      <c r="B50" s="139"/>
      <c r="C50" s="134"/>
      <c r="D50" s="175"/>
      <c r="E50" s="134"/>
      <c r="F50" s="134"/>
      <c r="G50" s="134"/>
      <c r="H50" s="134"/>
      <c r="I50" s="134"/>
      <c r="J50" s="134"/>
      <c r="K50" s="134"/>
      <c r="L50" s="134"/>
      <c r="M50" s="134"/>
      <c r="N50" s="134"/>
      <c r="O50" s="134"/>
      <c r="P50" s="134"/>
      <c r="Q50" s="134"/>
      <c r="R50" s="134"/>
      <c r="S50" s="134"/>
      <c r="T50" s="134"/>
    </row>
    <row r="51" spans="1:20">
      <c r="A51" s="134"/>
      <c r="B51" s="139"/>
      <c r="C51" s="134"/>
      <c r="D51" s="175"/>
      <c r="E51" s="134"/>
      <c r="F51" s="134"/>
      <c r="G51" s="134"/>
      <c r="H51" s="134"/>
      <c r="I51" s="134"/>
      <c r="J51" s="134"/>
      <c r="K51" s="134"/>
      <c r="L51" s="134"/>
      <c r="M51" s="134"/>
      <c r="N51" s="134"/>
      <c r="O51" s="134"/>
      <c r="P51" s="134"/>
      <c r="Q51" s="134"/>
      <c r="R51" s="134"/>
      <c r="S51" s="134"/>
      <c r="T51" s="134"/>
    </row>
    <row r="52" spans="1:20">
      <c r="A52" s="134"/>
      <c r="B52" s="139"/>
      <c r="C52" s="134"/>
      <c r="D52" s="175"/>
      <c r="E52" s="134"/>
      <c r="F52" s="134"/>
      <c r="G52" s="134"/>
      <c r="H52" s="134"/>
      <c r="I52" s="134"/>
      <c r="J52" s="134"/>
      <c r="K52" s="134"/>
      <c r="L52" s="134"/>
      <c r="M52" s="134"/>
      <c r="N52" s="134"/>
      <c r="O52" s="134"/>
      <c r="P52" s="134"/>
      <c r="Q52" s="134"/>
      <c r="R52" s="134"/>
      <c r="S52" s="134"/>
      <c r="T52" s="134"/>
    </row>
    <row r="53" spans="1:20">
      <c r="A53" s="134"/>
      <c r="B53" s="139"/>
      <c r="C53" s="134"/>
      <c r="D53" s="175"/>
      <c r="E53" s="134"/>
      <c r="F53" s="134"/>
      <c r="G53" s="134"/>
      <c r="H53" s="134"/>
      <c r="I53" s="134"/>
      <c r="J53" s="134"/>
      <c r="K53" s="134"/>
      <c r="L53" s="134"/>
      <c r="M53" s="134"/>
      <c r="N53" s="134"/>
      <c r="O53" s="134"/>
      <c r="P53" s="134"/>
      <c r="Q53" s="134"/>
      <c r="R53" s="134"/>
      <c r="S53" s="134"/>
      <c r="T53" s="134"/>
    </row>
    <row r="54" spans="1:20">
      <c r="A54" s="134"/>
      <c r="B54" s="139"/>
      <c r="C54" s="134"/>
      <c r="D54" s="175"/>
      <c r="E54" s="134"/>
      <c r="F54" s="134"/>
      <c r="G54" s="134"/>
      <c r="H54" s="134"/>
      <c r="I54" s="134"/>
      <c r="J54" s="134"/>
      <c r="K54" s="134"/>
      <c r="L54" s="134"/>
      <c r="M54" s="134"/>
      <c r="N54" s="134"/>
      <c r="O54" s="134"/>
      <c r="P54" s="134"/>
      <c r="Q54" s="134"/>
      <c r="R54" s="134"/>
      <c r="S54" s="134"/>
      <c r="T54" s="134"/>
    </row>
    <row r="55" spans="1:20">
      <c r="A55" s="134"/>
      <c r="B55" s="139"/>
      <c r="C55" s="134"/>
      <c r="D55" s="175"/>
      <c r="E55" s="134"/>
      <c r="F55" s="134"/>
      <c r="G55" s="134"/>
      <c r="H55" s="134"/>
      <c r="I55" s="134"/>
      <c r="J55" s="134"/>
      <c r="K55" s="134"/>
      <c r="L55" s="134"/>
      <c r="M55" s="134"/>
      <c r="N55" s="134"/>
      <c r="O55" s="134"/>
      <c r="P55" s="134"/>
      <c r="Q55" s="134"/>
      <c r="R55" s="134"/>
      <c r="S55" s="134"/>
      <c r="T55" s="134"/>
    </row>
    <row r="56" spans="1:20">
      <c r="A56" s="134"/>
      <c r="B56" s="139"/>
      <c r="C56" s="134"/>
      <c r="D56" s="175"/>
      <c r="E56" s="134"/>
      <c r="F56" s="134"/>
      <c r="G56" s="134"/>
      <c r="H56" s="134"/>
      <c r="I56" s="134"/>
      <c r="J56" s="134"/>
      <c r="K56" s="134"/>
      <c r="L56" s="134"/>
      <c r="M56" s="134"/>
      <c r="N56" s="134"/>
      <c r="O56" s="134"/>
      <c r="P56" s="134"/>
      <c r="Q56" s="134"/>
      <c r="R56" s="134"/>
      <c r="S56" s="134"/>
      <c r="T56" s="134"/>
    </row>
    <row r="57" spans="1:20">
      <c r="A57" s="134"/>
      <c r="B57" s="139"/>
      <c r="C57" s="134"/>
      <c r="D57" s="175"/>
      <c r="E57" s="134"/>
      <c r="F57" s="134"/>
      <c r="G57" s="134"/>
      <c r="H57" s="134"/>
      <c r="I57" s="134"/>
      <c r="J57" s="134"/>
      <c r="K57" s="134"/>
      <c r="L57" s="134"/>
      <c r="M57" s="134"/>
      <c r="N57" s="134"/>
      <c r="O57" s="134"/>
      <c r="P57" s="134"/>
      <c r="Q57" s="134"/>
      <c r="R57" s="134"/>
      <c r="S57" s="134"/>
      <c r="T57" s="134"/>
    </row>
    <row r="58" spans="1:20">
      <c r="A58" s="134"/>
      <c r="B58" s="139"/>
      <c r="C58" s="134"/>
      <c r="D58" s="175"/>
      <c r="E58" s="134"/>
      <c r="F58" s="134"/>
      <c r="G58" s="134"/>
      <c r="H58" s="134"/>
      <c r="I58" s="134"/>
      <c r="J58" s="134"/>
      <c r="K58" s="134"/>
      <c r="L58" s="134"/>
      <c r="M58" s="134"/>
      <c r="N58" s="134"/>
      <c r="O58" s="134"/>
      <c r="P58" s="134"/>
      <c r="Q58" s="134"/>
      <c r="R58" s="134"/>
      <c r="S58" s="134"/>
      <c r="T58" s="134"/>
    </row>
    <row r="59" spans="1:20">
      <c r="A59" s="134"/>
      <c r="B59" s="139"/>
      <c r="C59" s="134"/>
      <c r="D59" s="175"/>
      <c r="E59" s="134"/>
      <c r="F59" s="134"/>
      <c r="G59" s="134"/>
      <c r="H59" s="134"/>
      <c r="I59" s="134"/>
      <c r="J59" s="134"/>
      <c r="K59" s="134"/>
      <c r="L59" s="134"/>
      <c r="M59" s="134"/>
      <c r="N59" s="134"/>
      <c r="O59" s="134"/>
      <c r="P59" s="134"/>
      <c r="Q59" s="134"/>
      <c r="R59" s="134"/>
      <c r="S59" s="134"/>
      <c r="T59" s="134"/>
    </row>
    <row r="60" spans="1:20">
      <c r="A60" s="134"/>
      <c r="B60" s="139"/>
      <c r="C60" s="134"/>
      <c r="D60" s="175"/>
      <c r="E60" s="134"/>
      <c r="F60" s="134"/>
      <c r="G60" s="134"/>
      <c r="H60" s="134"/>
      <c r="I60" s="134"/>
      <c r="J60" s="134"/>
      <c r="K60" s="134"/>
      <c r="L60" s="134"/>
      <c r="M60" s="134"/>
      <c r="N60" s="134"/>
      <c r="O60" s="134"/>
      <c r="P60" s="134"/>
      <c r="Q60" s="134"/>
      <c r="R60" s="134"/>
      <c r="S60" s="134"/>
      <c r="T60" s="134"/>
    </row>
    <row r="61" spans="1:20">
      <c r="A61" s="134"/>
      <c r="B61" s="139"/>
      <c r="C61" s="134"/>
      <c r="D61" s="175"/>
      <c r="E61" s="134"/>
      <c r="F61" s="134"/>
      <c r="G61" s="134"/>
      <c r="H61" s="134"/>
      <c r="I61" s="134"/>
      <c r="J61" s="134"/>
      <c r="K61" s="134"/>
      <c r="L61" s="134"/>
      <c r="M61" s="134"/>
      <c r="N61" s="134"/>
      <c r="O61" s="134"/>
      <c r="P61" s="134"/>
      <c r="Q61" s="134"/>
      <c r="R61" s="134"/>
      <c r="S61" s="134"/>
      <c r="T61" s="134"/>
    </row>
    <row r="62" spans="1:20">
      <c r="A62" s="134"/>
      <c r="B62" s="139"/>
      <c r="C62" s="134"/>
      <c r="D62" s="175"/>
      <c r="E62" s="134"/>
      <c r="F62" s="134"/>
      <c r="G62" s="134"/>
      <c r="H62" s="134"/>
      <c r="I62" s="134"/>
      <c r="J62" s="134"/>
      <c r="K62" s="134"/>
      <c r="L62" s="134"/>
      <c r="M62" s="134"/>
      <c r="N62" s="134"/>
      <c r="O62" s="134"/>
      <c r="P62" s="134"/>
      <c r="Q62" s="134"/>
      <c r="R62" s="134"/>
      <c r="S62" s="134"/>
      <c r="T62" s="134"/>
    </row>
    <row r="63" spans="1:20">
      <c r="A63" s="134"/>
      <c r="B63" s="139"/>
      <c r="C63" s="134"/>
      <c r="D63" s="175"/>
      <c r="E63" s="134"/>
      <c r="F63" s="134"/>
      <c r="G63" s="134"/>
      <c r="H63" s="134"/>
      <c r="I63" s="134"/>
      <c r="J63" s="134"/>
      <c r="K63" s="134"/>
      <c r="L63" s="134"/>
      <c r="M63" s="134"/>
      <c r="N63" s="134"/>
      <c r="O63" s="134"/>
      <c r="P63" s="134"/>
      <c r="Q63" s="134"/>
      <c r="R63" s="134"/>
      <c r="S63" s="134"/>
      <c r="T63" s="134"/>
    </row>
    <row r="64" spans="1:20">
      <c r="A64" s="134"/>
      <c r="B64" s="139"/>
      <c r="C64" s="134"/>
      <c r="D64" s="175"/>
      <c r="E64" s="134"/>
      <c r="F64" s="134"/>
      <c r="G64" s="134"/>
      <c r="H64" s="134"/>
      <c r="I64" s="134"/>
      <c r="J64" s="134"/>
      <c r="K64" s="134"/>
      <c r="L64" s="134"/>
      <c r="M64" s="134"/>
      <c r="N64" s="134"/>
      <c r="O64" s="134"/>
      <c r="P64" s="134"/>
      <c r="Q64" s="134"/>
      <c r="R64" s="134"/>
      <c r="S64" s="134"/>
      <c r="T64" s="134"/>
    </row>
    <row r="65" spans="1:20">
      <c r="A65" s="134"/>
      <c r="B65" s="139"/>
      <c r="C65" s="134"/>
      <c r="D65" s="175"/>
      <c r="E65" s="134"/>
      <c r="F65" s="134"/>
      <c r="G65" s="134"/>
      <c r="H65" s="134"/>
      <c r="I65" s="134"/>
      <c r="J65" s="134"/>
      <c r="K65" s="134"/>
      <c r="L65" s="134"/>
      <c r="M65" s="134"/>
      <c r="N65" s="134"/>
      <c r="O65" s="134"/>
      <c r="P65" s="134"/>
      <c r="Q65" s="134"/>
      <c r="R65" s="134"/>
      <c r="S65" s="134"/>
      <c r="T65" s="134"/>
    </row>
    <row r="66" spans="1:20">
      <c r="A66" s="134"/>
      <c r="B66" s="139"/>
      <c r="C66" s="134"/>
      <c r="D66" s="175"/>
      <c r="E66" s="134"/>
      <c r="F66" s="134"/>
      <c r="G66" s="134"/>
      <c r="H66" s="134"/>
      <c r="I66" s="134"/>
      <c r="J66" s="134"/>
      <c r="K66" s="134"/>
      <c r="L66" s="134"/>
      <c r="M66" s="134"/>
      <c r="N66" s="134"/>
      <c r="O66" s="134"/>
      <c r="P66" s="134"/>
      <c r="Q66" s="134"/>
      <c r="R66" s="134"/>
      <c r="S66" s="134"/>
      <c r="T66" s="134"/>
    </row>
    <row r="67" spans="1:20">
      <c r="A67" s="134"/>
      <c r="B67" s="139"/>
      <c r="C67" s="134"/>
      <c r="D67" s="175"/>
      <c r="E67" s="134"/>
      <c r="F67" s="134"/>
      <c r="G67" s="134"/>
      <c r="H67" s="134"/>
      <c r="I67" s="134"/>
      <c r="J67" s="134"/>
      <c r="K67" s="134"/>
      <c r="L67" s="134"/>
      <c r="M67" s="134"/>
      <c r="N67" s="134"/>
      <c r="O67" s="134"/>
      <c r="P67" s="134"/>
      <c r="Q67" s="134"/>
      <c r="R67" s="134"/>
      <c r="S67" s="134"/>
      <c r="T67" s="134"/>
    </row>
    <row r="68" spans="1:20">
      <c r="A68" s="134"/>
      <c r="B68" s="139"/>
      <c r="C68" s="134"/>
      <c r="D68" s="175"/>
      <c r="E68" s="134"/>
      <c r="F68" s="134"/>
      <c r="G68" s="134"/>
      <c r="H68" s="134"/>
      <c r="I68" s="134"/>
      <c r="J68" s="134"/>
      <c r="K68" s="134"/>
      <c r="L68" s="134"/>
      <c r="M68" s="134"/>
      <c r="N68" s="134"/>
      <c r="O68" s="134"/>
      <c r="P68" s="134"/>
      <c r="Q68" s="134"/>
      <c r="R68" s="134"/>
      <c r="S68" s="134"/>
      <c r="T68" s="134"/>
    </row>
    <row r="69" spans="1:20">
      <c r="A69" s="134"/>
      <c r="B69" s="139"/>
      <c r="C69" s="134"/>
      <c r="D69" s="175"/>
      <c r="E69" s="134"/>
      <c r="F69" s="134"/>
      <c r="G69" s="134"/>
      <c r="H69" s="134"/>
      <c r="I69" s="134"/>
      <c r="J69" s="134"/>
      <c r="K69" s="134"/>
      <c r="L69" s="134"/>
      <c r="M69" s="134"/>
      <c r="N69" s="134"/>
      <c r="O69" s="134"/>
      <c r="P69" s="134"/>
      <c r="Q69" s="134"/>
      <c r="R69" s="134"/>
      <c r="S69" s="134"/>
      <c r="T69" s="134"/>
    </row>
    <row r="70" spans="1:20">
      <c r="A70" s="134"/>
      <c r="B70" s="139"/>
      <c r="C70" s="134"/>
      <c r="D70" s="175"/>
      <c r="E70" s="134"/>
      <c r="F70" s="134"/>
      <c r="G70" s="134"/>
      <c r="H70" s="134"/>
      <c r="I70" s="134"/>
      <c r="J70" s="134"/>
      <c r="K70" s="134"/>
      <c r="L70" s="134"/>
      <c r="M70" s="134"/>
      <c r="N70" s="134"/>
      <c r="O70" s="134"/>
      <c r="P70" s="134"/>
      <c r="Q70" s="134"/>
      <c r="R70" s="134"/>
      <c r="S70" s="134"/>
      <c r="T70" s="134"/>
    </row>
    <row r="71" spans="1:20">
      <c r="A71" s="134"/>
      <c r="B71" s="139"/>
      <c r="C71" s="134"/>
      <c r="D71" s="175"/>
      <c r="E71" s="134"/>
      <c r="F71" s="134"/>
      <c r="G71" s="134"/>
      <c r="H71" s="134"/>
      <c r="I71" s="134"/>
      <c r="J71" s="134"/>
      <c r="K71" s="134"/>
      <c r="L71" s="134"/>
      <c r="M71" s="134"/>
      <c r="N71" s="134"/>
      <c r="O71" s="134"/>
      <c r="P71" s="134"/>
      <c r="Q71" s="134"/>
      <c r="R71" s="134"/>
      <c r="S71" s="134"/>
      <c r="T71" s="134"/>
    </row>
    <row r="72" spans="1:20">
      <c r="A72" s="134"/>
      <c r="B72" s="139"/>
      <c r="C72" s="134"/>
      <c r="D72" s="175"/>
      <c r="E72" s="134"/>
      <c r="F72" s="134"/>
      <c r="G72" s="134"/>
      <c r="H72" s="134"/>
      <c r="I72" s="134"/>
      <c r="J72" s="134"/>
      <c r="K72" s="134"/>
      <c r="L72" s="134"/>
      <c r="M72" s="134"/>
      <c r="N72" s="134"/>
      <c r="O72" s="134"/>
      <c r="P72" s="134"/>
      <c r="Q72" s="134"/>
      <c r="R72" s="134"/>
      <c r="S72" s="134"/>
      <c r="T72" s="134"/>
    </row>
    <row r="73" spans="1:20">
      <c r="A73" s="134"/>
      <c r="B73" s="139"/>
      <c r="C73" s="134"/>
      <c r="D73" s="175"/>
      <c r="E73" s="134"/>
      <c r="F73" s="134"/>
      <c r="G73" s="134"/>
      <c r="H73" s="134"/>
      <c r="I73" s="134"/>
      <c r="J73" s="134"/>
      <c r="K73" s="134"/>
      <c r="L73" s="134"/>
      <c r="M73" s="134"/>
      <c r="N73" s="134"/>
      <c r="O73" s="134"/>
      <c r="P73" s="134"/>
      <c r="Q73" s="134"/>
      <c r="R73" s="134"/>
      <c r="S73" s="134"/>
      <c r="T73" s="134"/>
    </row>
    <row r="74" spans="1:20">
      <c r="A74" s="134"/>
      <c r="B74" s="139"/>
      <c r="C74" s="134"/>
      <c r="D74" s="175"/>
      <c r="E74" s="134"/>
      <c r="F74" s="134"/>
      <c r="G74" s="134"/>
      <c r="H74" s="134"/>
      <c r="I74" s="134"/>
      <c r="J74" s="134"/>
      <c r="K74" s="134"/>
      <c r="L74" s="134"/>
      <c r="M74" s="134"/>
      <c r="N74" s="134"/>
      <c r="O74" s="134"/>
      <c r="P74" s="134"/>
      <c r="Q74" s="134"/>
      <c r="R74" s="134"/>
      <c r="S74" s="134"/>
      <c r="T74" s="134"/>
    </row>
    <row r="75" spans="1:20">
      <c r="A75" s="134"/>
      <c r="B75" s="139"/>
      <c r="C75" s="134"/>
      <c r="D75" s="175"/>
      <c r="E75" s="134"/>
      <c r="F75" s="134"/>
      <c r="G75" s="134"/>
      <c r="H75" s="134"/>
      <c r="I75" s="134"/>
      <c r="J75" s="134"/>
      <c r="K75" s="134"/>
      <c r="L75" s="134"/>
      <c r="M75" s="134"/>
      <c r="N75" s="134"/>
      <c r="O75" s="134"/>
      <c r="P75" s="134"/>
      <c r="Q75" s="134"/>
      <c r="R75" s="134"/>
      <c r="S75" s="134"/>
      <c r="T75" s="134"/>
    </row>
    <row r="76" spans="1:20">
      <c r="A76" s="134"/>
      <c r="B76" s="139"/>
      <c r="C76" s="134"/>
      <c r="D76" s="175"/>
      <c r="E76" s="134"/>
      <c r="F76" s="134"/>
      <c r="G76" s="134"/>
      <c r="H76" s="134"/>
      <c r="I76" s="134"/>
      <c r="J76" s="134"/>
      <c r="K76" s="134"/>
      <c r="L76" s="134"/>
      <c r="M76" s="134"/>
      <c r="N76" s="134"/>
      <c r="O76" s="134"/>
      <c r="P76" s="134"/>
      <c r="Q76" s="134"/>
      <c r="R76" s="134"/>
      <c r="S76" s="134"/>
      <c r="T76" s="134"/>
    </row>
    <row r="77" spans="1:20">
      <c r="A77" s="134"/>
      <c r="B77" s="139"/>
      <c r="C77" s="134"/>
      <c r="D77" s="175"/>
      <c r="E77" s="134"/>
      <c r="F77" s="134"/>
      <c r="G77" s="134"/>
      <c r="H77" s="134"/>
      <c r="I77" s="134"/>
      <c r="J77" s="134"/>
      <c r="K77" s="134"/>
      <c r="L77" s="134"/>
      <c r="M77" s="134"/>
      <c r="N77" s="134"/>
      <c r="O77" s="134"/>
      <c r="P77" s="134"/>
      <c r="Q77" s="134"/>
      <c r="R77" s="134"/>
      <c r="S77" s="134"/>
      <c r="T77" s="134"/>
    </row>
    <row r="78" spans="1:20">
      <c r="A78" s="134"/>
      <c r="B78" s="139"/>
      <c r="C78" s="134"/>
      <c r="D78" s="175"/>
      <c r="E78" s="134"/>
      <c r="F78" s="134"/>
      <c r="G78" s="134"/>
      <c r="H78" s="134"/>
      <c r="I78" s="134"/>
      <c r="J78" s="134"/>
      <c r="K78" s="134"/>
      <c r="L78" s="134"/>
      <c r="M78" s="134"/>
      <c r="N78" s="134"/>
      <c r="O78" s="134"/>
      <c r="P78" s="134"/>
      <c r="Q78" s="134"/>
      <c r="R78" s="134"/>
      <c r="S78" s="134"/>
      <c r="T78" s="134"/>
    </row>
    <row r="79" spans="1:20">
      <c r="A79" s="134"/>
      <c r="B79" s="139"/>
      <c r="C79" s="134"/>
      <c r="D79" s="175"/>
      <c r="E79" s="134"/>
      <c r="F79" s="134"/>
      <c r="G79" s="134"/>
      <c r="H79" s="134"/>
      <c r="I79" s="134"/>
      <c r="J79" s="134"/>
      <c r="K79" s="134"/>
      <c r="L79" s="134"/>
      <c r="M79" s="134"/>
      <c r="N79" s="134"/>
      <c r="O79" s="134"/>
      <c r="P79" s="134"/>
      <c r="Q79" s="134"/>
      <c r="R79" s="134"/>
      <c r="S79" s="134"/>
      <c r="T79" s="134"/>
    </row>
    <row r="80" spans="1:20">
      <c r="A80" s="134"/>
      <c r="B80" s="139"/>
      <c r="C80" s="134"/>
      <c r="D80" s="175"/>
      <c r="E80" s="134"/>
      <c r="F80" s="134"/>
      <c r="G80" s="134"/>
      <c r="H80" s="134"/>
      <c r="I80" s="134"/>
      <c r="J80" s="134"/>
      <c r="K80" s="134"/>
      <c r="L80" s="134"/>
      <c r="M80" s="134"/>
      <c r="N80" s="134"/>
      <c r="O80" s="134"/>
      <c r="P80" s="134"/>
      <c r="Q80" s="134"/>
      <c r="R80" s="134"/>
      <c r="S80" s="134"/>
      <c r="T80" s="134"/>
    </row>
    <row r="81" spans="1:20">
      <c r="A81" s="134"/>
      <c r="B81" s="139"/>
      <c r="C81" s="134"/>
      <c r="D81" s="175"/>
      <c r="E81" s="134"/>
      <c r="F81" s="134"/>
      <c r="G81" s="134"/>
      <c r="H81" s="134"/>
      <c r="I81" s="134"/>
      <c r="J81" s="134"/>
      <c r="K81" s="134"/>
      <c r="L81" s="134"/>
      <c r="M81" s="134"/>
      <c r="N81" s="134"/>
      <c r="O81" s="134"/>
      <c r="P81" s="134"/>
      <c r="Q81" s="134"/>
      <c r="R81" s="134"/>
      <c r="S81" s="134"/>
      <c r="T81" s="134"/>
    </row>
    <row r="82" spans="1:20">
      <c r="A82" s="134"/>
      <c r="B82" s="139"/>
      <c r="C82" s="134"/>
      <c r="D82" s="175"/>
      <c r="E82" s="134"/>
      <c r="F82" s="134"/>
      <c r="G82" s="134"/>
      <c r="H82" s="134"/>
      <c r="I82" s="134"/>
      <c r="J82" s="134"/>
      <c r="K82" s="134"/>
      <c r="L82" s="134"/>
      <c r="M82" s="134"/>
      <c r="N82" s="134"/>
      <c r="O82" s="134"/>
      <c r="P82" s="134"/>
      <c r="Q82" s="134"/>
      <c r="R82" s="134"/>
      <c r="S82" s="134"/>
      <c r="T82" s="134"/>
    </row>
    <row r="83" spans="1:20">
      <c r="A83" s="134"/>
      <c r="B83" s="139"/>
      <c r="C83" s="134"/>
      <c r="D83" s="175"/>
      <c r="E83" s="134"/>
      <c r="F83" s="134"/>
      <c r="G83" s="134"/>
      <c r="H83" s="134"/>
      <c r="I83" s="134"/>
      <c r="J83" s="134"/>
      <c r="K83" s="134"/>
      <c r="L83" s="134"/>
      <c r="M83" s="134"/>
      <c r="N83" s="134"/>
      <c r="O83" s="134"/>
      <c r="P83" s="134"/>
      <c r="Q83" s="134"/>
      <c r="R83" s="134"/>
      <c r="S83" s="134"/>
      <c r="T83" s="134"/>
    </row>
    <row r="84" spans="1:20">
      <c r="A84" s="134"/>
      <c r="B84" s="139"/>
      <c r="C84" s="134"/>
      <c r="D84" s="175"/>
      <c r="E84" s="134"/>
      <c r="F84" s="134"/>
      <c r="G84" s="134"/>
      <c r="H84" s="134"/>
      <c r="I84" s="134"/>
      <c r="J84" s="134"/>
      <c r="K84" s="134"/>
      <c r="L84" s="134"/>
      <c r="M84" s="134"/>
      <c r="N84" s="134"/>
      <c r="O84" s="134"/>
      <c r="P84" s="134"/>
      <c r="Q84" s="134"/>
      <c r="R84" s="134"/>
      <c r="S84" s="134"/>
      <c r="T84" s="134"/>
    </row>
    <row r="85" spans="1:20">
      <c r="A85" s="134"/>
      <c r="B85" s="139"/>
      <c r="C85" s="134"/>
      <c r="D85" s="175"/>
      <c r="E85" s="134"/>
      <c r="F85" s="134"/>
      <c r="G85" s="134"/>
      <c r="H85" s="134"/>
      <c r="I85" s="134"/>
      <c r="J85" s="134"/>
      <c r="K85" s="134"/>
      <c r="L85" s="134"/>
      <c r="M85" s="134"/>
      <c r="N85" s="134"/>
      <c r="O85" s="134"/>
      <c r="P85" s="134"/>
      <c r="Q85" s="134"/>
      <c r="R85" s="134"/>
      <c r="S85" s="134"/>
      <c r="T85" s="134"/>
    </row>
    <row r="86" spans="1:20">
      <c r="A86" s="134"/>
      <c r="B86" s="139"/>
      <c r="C86" s="134"/>
      <c r="D86" s="175"/>
      <c r="E86" s="134"/>
      <c r="F86" s="134"/>
      <c r="G86" s="134"/>
      <c r="H86" s="134"/>
      <c r="I86" s="134"/>
      <c r="J86" s="134"/>
      <c r="K86" s="134"/>
      <c r="L86" s="134"/>
      <c r="M86" s="134"/>
      <c r="N86" s="134"/>
      <c r="O86" s="134"/>
      <c r="P86" s="134"/>
      <c r="Q86" s="134"/>
      <c r="R86" s="134"/>
      <c r="S86" s="134"/>
      <c r="T86" s="134"/>
    </row>
    <row r="87" spans="1:20">
      <c r="A87" s="134"/>
      <c r="B87" s="139"/>
      <c r="C87" s="134"/>
      <c r="D87" s="175"/>
      <c r="E87" s="134"/>
      <c r="F87" s="134"/>
      <c r="G87" s="134"/>
      <c r="H87" s="134"/>
      <c r="I87" s="134"/>
      <c r="J87" s="134"/>
      <c r="K87" s="134"/>
      <c r="L87" s="134"/>
      <c r="M87" s="134"/>
      <c r="N87" s="134"/>
      <c r="O87" s="134"/>
      <c r="P87" s="134"/>
      <c r="Q87" s="134"/>
      <c r="R87" s="134"/>
      <c r="S87" s="134"/>
      <c r="T87" s="134"/>
    </row>
    <row r="88" spans="1:20">
      <c r="A88" s="134"/>
      <c r="B88" s="139"/>
      <c r="C88" s="134"/>
      <c r="D88" s="175"/>
      <c r="E88" s="134"/>
      <c r="F88" s="134"/>
      <c r="G88" s="134"/>
      <c r="H88" s="134"/>
      <c r="I88" s="134"/>
      <c r="J88" s="134"/>
      <c r="K88" s="134"/>
      <c r="L88" s="134"/>
      <c r="M88" s="134"/>
      <c r="N88" s="134"/>
      <c r="O88" s="134"/>
      <c r="P88" s="134"/>
      <c r="Q88" s="134"/>
      <c r="R88" s="134"/>
      <c r="S88" s="134"/>
      <c r="T88" s="134"/>
    </row>
    <row r="89" spans="1:20">
      <c r="A89" s="134"/>
      <c r="B89" s="139"/>
      <c r="C89" s="134"/>
      <c r="D89" s="175"/>
      <c r="E89" s="134"/>
      <c r="F89" s="134"/>
      <c r="G89" s="134"/>
      <c r="H89" s="134"/>
      <c r="I89" s="134"/>
      <c r="J89" s="134"/>
      <c r="K89" s="134"/>
      <c r="L89" s="134"/>
      <c r="M89" s="134"/>
      <c r="N89" s="134"/>
      <c r="O89" s="134"/>
      <c r="P89" s="134"/>
      <c r="Q89" s="134"/>
      <c r="R89" s="134"/>
      <c r="S89" s="134"/>
      <c r="T89" s="134"/>
    </row>
    <row r="90" spans="1:20">
      <c r="A90" s="134"/>
      <c r="B90" s="139"/>
      <c r="C90" s="134"/>
      <c r="D90" s="175"/>
      <c r="E90" s="134"/>
      <c r="F90" s="134"/>
      <c r="G90" s="134"/>
      <c r="H90" s="134"/>
      <c r="I90" s="134"/>
      <c r="J90" s="134"/>
      <c r="K90" s="134"/>
      <c r="L90" s="134"/>
      <c r="M90" s="134"/>
      <c r="N90" s="134"/>
      <c r="O90" s="134"/>
      <c r="P90" s="134"/>
      <c r="Q90" s="134"/>
      <c r="R90" s="134"/>
      <c r="S90" s="134"/>
      <c r="T90" s="134"/>
    </row>
    <row r="91" spans="1:20">
      <c r="A91" s="134"/>
      <c r="B91" s="139"/>
      <c r="C91" s="134"/>
      <c r="D91" s="175"/>
      <c r="E91" s="134"/>
      <c r="F91" s="134"/>
      <c r="G91" s="134"/>
      <c r="H91" s="134"/>
      <c r="I91" s="134"/>
      <c r="J91" s="134"/>
      <c r="K91" s="134"/>
      <c r="L91" s="134"/>
      <c r="M91" s="134"/>
      <c r="N91" s="134"/>
      <c r="O91" s="134"/>
      <c r="P91" s="134"/>
      <c r="Q91" s="134"/>
      <c r="R91" s="134"/>
      <c r="S91" s="134"/>
      <c r="T91" s="134"/>
    </row>
    <row r="92" spans="1:20">
      <c r="A92" s="134"/>
      <c r="B92" s="139"/>
      <c r="C92" s="134"/>
      <c r="D92" s="175"/>
      <c r="E92" s="134"/>
      <c r="F92" s="134"/>
      <c r="G92" s="134"/>
      <c r="H92" s="134"/>
      <c r="I92" s="134"/>
      <c r="J92" s="134"/>
      <c r="K92" s="134"/>
      <c r="L92" s="134"/>
      <c r="M92" s="134"/>
      <c r="N92" s="134"/>
      <c r="O92" s="134"/>
      <c r="P92" s="134"/>
      <c r="Q92" s="134"/>
      <c r="R92" s="134"/>
      <c r="S92" s="134"/>
      <c r="T92" s="134"/>
    </row>
    <row r="93" spans="1:20">
      <c r="A93" s="134"/>
      <c r="B93" s="139"/>
      <c r="C93" s="134"/>
      <c r="D93" s="175"/>
      <c r="E93" s="134"/>
      <c r="F93" s="134"/>
      <c r="G93" s="134"/>
      <c r="H93" s="134"/>
      <c r="I93" s="134"/>
      <c r="J93" s="134"/>
      <c r="K93" s="134"/>
      <c r="L93" s="134"/>
      <c r="M93" s="134"/>
      <c r="N93" s="134"/>
      <c r="O93" s="134"/>
      <c r="P93" s="134"/>
      <c r="Q93" s="134"/>
      <c r="R93" s="134"/>
      <c r="S93" s="134"/>
      <c r="T93" s="134"/>
    </row>
    <row r="94" spans="1:20">
      <c r="A94" s="134"/>
      <c r="B94" s="139"/>
      <c r="C94" s="134"/>
      <c r="D94" s="175"/>
      <c r="E94" s="134"/>
      <c r="F94" s="134"/>
      <c r="G94" s="134"/>
      <c r="H94" s="134"/>
      <c r="I94" s="134"/>
      <c r="J94" s="134"/>
      <c r="K94" s="134"/>
      <c r="L94" s="134"/>
      <c r="M94" s="134"/>
      <c r="N94" s="134"/>
      <c r="O94" s="134"/>
      <c r="P94" s="134"/>
      <c r="Q94" s="134"/>
      <c r="R94" s="134"/>
      <c r="S94" s="134"/>
      <c r="T94" s="134"/>
    </row>
    <row r="95" spans="1:20">
      <c r="A95" s="134"/>
      <c r="B95" s="139"/>
      <c r="C95" s="134"/>
      <c r="D95" s="175"/>
      <c r="E95" s="134"/>
      <c r="F95" s="134"/>
      <c r="G95" s="134"/>
      <c r="H95" s="134"/>
      <c r="I95" s="134"/>
      <c r="J95" s="134"/>
      <c r="K95" s="134"/>
      <c r="L95" s="134"/>
      <c r="M95" s="134"/>
      <c r="N95" s="134"/>
      <c r="O95" s="134"/>
      <c r="P95" s="134"/>
      <c r="Q95" s="134"/>
      <c r="R95" s="134"/>
      <c r="S95" s="134"/>
      <c r="T95" s="134"/>
    </row>
    <row r="96" spans="1:20">
      <c r="A96" s="134"/>
      <c r="B96" s="139"/>
      <c r="C96" s="134"/>
      <c r="D96" s="175"/>
      <c r="E96" s="134"/>
      <c r="F96" s="134"/>
      <c r="G96" s="134"/>
      <c r="H96" s="134"/>
      <c r="I96" s="134"/>
      <c r="J96" s="134"/>
      <c r="K96" s="134"/>
      <c r="L96" s="134"/>
      <c r="M96" s="134"/>
      <c r="N96" s="134"/>
      <c r="O96" s="134"/>
      <c r="P96" s="134"/>
      <c r="Q96" s="134"/>
      <c r="R96" s="134"/>
      <c r="S96" s="134"/>
      <c r="T96" s="134"/>
    </row>
    <row r="97" spans="1:20">
      <c r="A97" s="134"/>
      <c r="B97" s="139"/>
      <c r="C97" s="134"/>
      <c r="D97" s="175"/>
      <c r="E97" s="134"/>
      <c r="F97" s="134"/>
      <c r="G97" s="134"/>
      <c r="H97" s="134"/>
      <c r="I97" s="134"/>
      <c r="J97" s="134"/>
      <c r="K97" s="134"/>
      <c r="L97" s="134"/>
      <c r="M97" s="134"/>
      <c r="N97" s="134"/>
      <c r="O97" s="134"/>
      <c r="P97" s="134"/>
      <c r="Q97" s="134"/>
      <c r="R97" s="134"/>
      <c r="S97" s="134"/>
      <c r="T97" s="134"/>
    </row>
    <row r="98" spans="1:20">
      <c r="A98" s="134"/>
      <c r="B98" s="139"/>
      <c r="C98" s="134"/>
      <c r="D98" s="175"/>
      <c r="E98" s="134"/>
      <c r="F98" s="134"/>
      <c r="G98" s="134"/>
      <c r="H98" s="134"/>
      <c r="I98" s="134"/>
      <c r="J98" s="134"/>
      <c r="K98" s="134"/>
      <c r="L98" s="134"/>
      <c r="M98" s="134"/>
      <c r="N98" s="134"/>
      <c r="O98" s="134"/>
      <c r="P98" s="134"/>
      <c r="Q98" s="134"/>
      <c r="R98" s="134"/>
      <c r="S98" s="134"/>
      <c r="T98" s="134"/>
    </row>
    <row r="99" spans="1:20">
      <c r="A99" s="134"/>
      <c r="B99" s="139"/>
      <c r="C99" s="134"/>
      <c r="D99" s="175"/>
      <c r="E99" s="134"/>
      <c r="F99" s="134"/>
      <c r="G99" s="134"/>
      <c r="H99" s="134"/>
      <c r="I99" s="134"/>
      <c r="J99" s="134"/>
      <c r="K99" s="134"/>
      <c r="L99" s="134"/>
      <c r="M99" s="134"/>
      <c r="N99" s="134"/>
      <c r="O99" s="134"/>
      <c r="P99" s="134"/>
      <c r="Q99" s="134"/>
      <c r="R99" s="134"/>
      <c r="S99" s="134"/>
      <c r="T99" s="134"/>
    </row>
    <row r="100" spans="1:20">
      <c r="A100" s="134"/>
      <c r="B100" s="139"/>
      <c r="C100" s="134"/>
      <c r="D100" s="175"/>
      <c r="E100" s="134"/>
      <c r="F100" s="134"/>
      <c r="G100" s="134"/>
      <c r="H100" s="134"/>
      <c r="I100" s="134"/>
      <c r="J100" s="134"/>
      <c r="K100" s="134"/>
      <c r="L100" s="134"/>
      <c r="M100" s="134"/>
      <c r="N100" s="134"/>
      <c r="O100" s="134"/>
      <c r="P100" s="134"/>
      <c r="Q100" s="134"/>
      <c r="R100" s="134"/>
      <c r="S100" s="134"/>
      <c r="T100" s="134"/>
    </row>
    <row r="101" spans="1:20">
      <c r="A101" s="134"/>
      <c r="B101" s="139"/>
      <c r="C101" s="134"/>
      <c r="D101" s="175"/>
      <c r="E101" s="134"/>
      <c r="F101" s="134"/>
      <c r="G101" s="134"/>
      <c r="H101" s="134"/>
      <c r="I101" s="134"/>
      <c r="J101" s="134"/>
      <c r="K101" s="134"/>
      <c r="L101" s="134"/>
      <c r="M101" s="134"/>
      <c r="N101" s="134"/>
      <c r="O101" s="134"/>
      <c r="P101" s="134"/>
      <c r="Q101" s="134"/>
      <c r="R101" s="134"/>
      <c r="S101" s="134"/>
      <c r="T101" s="134"/>
    </row>
    <row r="102" spans="1:20">
      <c r="A102" s="134"/>
      <c r="B102" s="139"/>
      <c r="C102" s="134"/>
      <c r="D102" s="175"/>
      <c r="E102" s="134"/>
      <c r="F102" s="134"/>
      <c r="G102" s="134"/>
      <c r="H102" s="134"/>
      <c r="I102" s="134"/>
      <c r="J102" s="134"/>
      <c r="K102" s="134"/>
      <c r="L102" s="134"/>
      <c r="M102" s="134"/>
      <c r="N102" s="134"/>
      <c r="O102" s="134"/>
      <c r="P102" s="134"/>
      <c r="Q102" s="134"/>
      <c r="R102" s="134"/>
      <c r="S102" s="134"/>
      <c r="T102" s="134"/>
    </row>
    <row r="103" spans="1:20">
      <c r="A103" s="134"/>
      <c r="B103" s="139"/>
      <c r="C103" s="134"/>
      <c r="D103" s="175"/>
      <c r="E103" s="134"/>
      <c r="F103" s="134"/>
      <c r="G103" s="134"/>
      <c r="H103" s="134"/>
      <c r="I103" s="134"/>
      <c r="J103" s="134"/>
      <c r="K103" s="134"/>
      <c r="L103" s="134"/>
      <c r="M103" s="134"/>
      <c r="N103" s="134"/>
      <c r="O103" s="134"/>
      <c r="P103" s="134"/>
      <c r="Q103" s="134"/>
      <c r="R103" s="134"/>
      <c r="S103" s="134"/>
      <c r="T103" s="134"/>
    </row>
    <row r="104" spans="1:20">
      <c r="A104" s="134"/>
      <c r="B104" s="139"/>
      <c r="C104" s="134"/>
      <c r="D104" s="175"/>
      <c r="E104" s="134"/>
      <c r="F104" s="134"/>
      <c r="G104" s="134"/>
      <c r="H104" s="134"/>
      <c r="I104" s="134"/>
      <c r="J104" s="134"/>
      <c r="K104" s="134"/>
      <c r="L104" s="134"/>
      <c r="M104" s="134"/>
      <c r="N104" s="134"/>
      <c r="O104" s="134"/>
      <c r="P104" s="134"/>
      <c r="Q104" s="134"/>
      <c r="R104" s="134"/>
      <c r="S104" s="134"/>
      <c r="T104" s="134"/>
    </row>
    <row r="105" spans="1:20">
      <c r="A105" s="134"/>
      <c r="B105" s="139"/>
      <c r="C105" s="134"/>
      <c r="D105" s="175"/>
      <c r="E105" s="134"/>
      <c r="F105" s="134"/>
      <c r="G105" s="134"/>
      <c r="H105" s="134"/>
      <c r="I105" s="134"/>
      <c r="J105" s="134"/>
      <c r="K105" s="134"/>
      <c r="L105" s="134"/>
      <c r="M105" s="134"/>
      <c r="N105" s="134"/>
      <c r="O105" s="134"/>
      <c r="P105" s="134"/>
      <c r="Q105" s="134"/>
      <c r="R105" s="134"/>
      <c r="S105" s="134"/>
      <c r="T105" s="134"/>
    </row>
    <row r="106" spans="1:20">
      <c r="A106" s="134"/>
      <c r="B106" s="139"/>
      <c r="C106" s="134"/>
      <c r="D106" s="175"/>
      <c r="E106" s="134"/>
      <c r="F106" s="134"/>
      <c r="G106" s="134"/>
      <c r="H106" s="134"/>
      <c r="I106" s="134"/>
      <c r="J106" s="134"/>
      <c r="K106" s="134"/>
      <c r="L106" s="134"/>
      <c r="M106" s="134"/>
      <c r="N106" s="134"/>
      <c r="O106" s="134"/>
      <c r="P106" s="134"/>
      <c r="Q106" s="134"/>
      <c r="R106" s="134"/>
      <c r="S106" s="134"/>
      <c r="T106" s="134"/>
    </row>
    <row r="107" spans="1:20">
      <c r="A107" s="134"/>
      <c r="B107" s="139"/>
      <c r="C107" s="134"/>
      <c r="D107" s="175"/>
      <c r="E107" s="134"/>
      <c r="F107" s="134"/>
      <c r="G107" s="134"/>
      <c r="H107" s="134"/>
      <c r="I107" s="134"/>
      <c r="J107" s="134"/>
      <c r="K107" s="134"/>
      <c r="L107" s="134"/>
      <c r="M107" s="134"/>
      <c r="N107" s="134"/>
      <c r="O107" s="134"/>
      <c r="P107" s="134"/>
      <c r="Q107" s="134"/>
      <c r="R107" s="134"/>
      <c r="S107" s="134"/>
      <c r="T107" s="134"/>
    </row>
    <row r="108" spans="1:20">
      <c r="A108" s="134"/>
      <c r="B108" s="139"/>
      <c r="C108" s="134"/>
      <c r="D108" s="175"/>
      <c r="E108" s="134"/>
      <c r="F108" s="134"/>
      <c r="G108" s="134"/>
      <c r="H108" s="134"/>
      <c r="I108" s="134"/>
      <c r="J108" s="134"/>
      <c r="K108" s="134"/>
      <c r="L108" s="134"/>
      <c r="M108" s="134"/>
      <c r="N108" s="134"/>
      <c r="O108" s="134"/>
      <c r="P108" s="134"/>
      <c r="Q108" s="134"/>
      <c r="R108" s="134"/>
      <c r="S108" s="134"/>
      <c r="T108" s="134"/>
    </row>
    <row r="109" spans="1:20">
      <c r="A109" s="134"/>
      <c r="B109" s="139"/>
      <c r="C109" s="134"/>
      <c r="D109" s="175"/>
      <c r="E109" s="134"/>
      <c r="F109" s="134"/>
      <c r="G109" s="134"/>
      <c r="H109" s="134"/>
      <c r="I109" s="134"/>
      <c r="J109" s="134"/>
      <c r="K109" s="134"/>
      <c r="L109" s="134"/>
      <c r="M109" s="134"/>
      <c r="N109" s="134"/>
      <c r="O109" s="134"/>
      <c r="P109" s="134"/>
      <c r="Q109" s="134"/>
      <c r="R109" s="134"/>
      <c r="S109" s="134"/>
      <c r="T109" s="134"/>
    </row>
    <row r="110" spans="1:20">
      <c r="A110" s="134"/>
      <c r="B110" s="139"/>
      <c r="C110" s="134"/>
      <c r="D110" s="175"/>
      <c r="E110" s="134"/>
      <c r="F110" s="134"/>
      <c r="G110" s="134"/>
      <c r="H110" s="134"/>
      <c r="I110" s="134"/>
      <c r="J110" s="134"/>
      <c r="K110" s="134"/>
      <c r="L110" s="134"/>
      <c r="M110" s="134"/>
      <c r="N110" s="134"/>
      <c r="O110" s="134"/>
      <c r="P110" s="134"/>
      <c r="Q110" s="134"/>
      <c r="R110" s="134"/>
      <c r="S110" s="134"/>
      <c r="T110" s="134"/>
    </row>
    <row r="111" spans="1:20">
      <c r="A111" s="134"/>
      <c r="B111" s="139"/>
      <c r="C111" s="134"/>
      <c r="D111" s="175"/>
      <c r="E111" s="134"/>
      <c r="F111" s="134"/>
      <c r="G111" s="134"/>
      <c r="H111" s="134"/>
      <c r="I111" s="134"/>
      <c r="J111" s="134"/>
      <c r="K111" s="134"/>
      <c r="L111" s="134"/>
      <c r="M111" s="134"/>
      <c r="N111" s="134"/>
      <c r="O111" s="134"/>
      <c r="P111" s="134"/>
      <c r="Q111" s="134"/>
      <c r="R111" s="134"/>
      <c r="S111" s="134"/>
      <c r="T111" s="134"/>
    </row>
    <row r="112" spans="1:20">
      <c r="A112" s="134"/>
      <c r="B112" s="139"/>
      <c r="C112" s="134"/>
      <c r="D112" s="175"/>
      <c r="E112" s="134"/>
      <c r="F112" s="134"/>
      <c r="G112" s="134"/>
      <c r="H112" s="134"/>
      <c r="I112" s="134"/>
      <c r="J112" s="134"/>
      <c r="K112" s="134"/>
      <c r="L112" s="134"/>
      <c r="M112" s="134"/>
      <c r="N112" s="134"/>
      <c r="O112" s="134"/>
      <c r="P112" s="134"/>
      <c r="Q112" s="134"/>
      <c r="R112" s="134"/>
      <c r="S112" s="134"/>
      <c r="T112" s="134"/>
    </row>
    <row r="113" spans="1:20">
      <c r="A113" s="134"/>
      <c r="B113" s="139"/>
      <c r="C113" s="134"/>
      <c r="D113" s="175"/>
      <c r="E113" s="134"/>
      <c r="F113" s="134"/>
      <c r="G113" s="134"/>
      <c r="H113" s="134"/>
      <c r="I113" s="134"/>
      <c r="J113" s="134"/>
      <c r="K113" s="134"/>
      <c r="L113" s="134"/>
      <c r="M113" s="134"/>
      <c r="N113" s="134"/>
      <c r="O113" s="134"/>
      <c r="P113" s="134"/>
      <c r="Q113" s="134"/>
      <c r="R113" s="134"/>
      <c r="S113" s="134"/>
      <c r="T113" s="134"/>
    </row>
    <row r="114" spans="1:20">
      <c r="A114" s="134"/>
      <c r="B114" s="139"/>
      <c r="C114" s="134"/>
      <c r="D114" s="175"/>
      <c r="E114" s="134"/>
      <c r="F114" s="134"/>
      <c r="G114" s="134"/>
      <c r="H114" s="134"/>
      <c r="I114" s="134"/>
      <c r="J114" s="134"/>
      <c r="K114" s="134"/>
      <c r="L114" s="134"/>
      <c r="M114" s="134"/>
      <c r="N114" s="134"/>
      <c r="O114" s="134"/>
      <c r="P114" s="134"/>
      <c r="Q114" s="134"/>
      <c r="R114" s="134"/>
      <c r="S114" s="134"/>
      <c r="T114" s="134"/>
    </row>
    <row r="115" spans="1:20">
      <c r="A115" s="134"/>
      <c r="B115" s="139"/>
      <c r="C115" s="134"/>
      <c r="D115" s="175"/>
      <c r="E115" s="134"/>
      <c r="F115" s="134"/>
      <c r="G115" s="134"/>
      <c r="H115" s="134"/>
      <c r="I115" s="134"/>
      <c r="J115" s="134"/>
      <c r="K115" s="134"/>
      <c r="L115" s="134"/>
      <c r="M115" s="134"/>
      <c r="N115" s="134"/>
      <c r="O115" s="134"/>
      <c r="P115" s="134"/>
      <c r="Q115" s="134"/>
      <c r="R115" s="134"/>
      <c r="S115" s="134"/>
      <c r="T115" s="134"/>
    </row>
    <row r="116" spans="1:20">
      <c r="A116" s="134"/>
      <c r="B116" s="139"/>
      <c r="C116" s="134"/>
      <c r="D116" s="175"/>
      <c r="E116" s="134"/>
      <c r="F116" s="134"/>
      <c r="G116" s="134"/>
      <c r="H116" s="134"/>
      <c r="I116" s="134"/>
      <c r="J116" s="134"/>
      <c r="K116" s="134"/>
      <c r="L116" s="134"/>
      <c r="M116" s="134"/>
      <c r="N116" s="134"/>
      <c r="O116" s="134"/>
      <c r="P116" s="134"/>
      <c r="Q116" s="134"/>
      <c r="R116" s="134"/>
      <c r="S116" s="134"/>
      <c r="T116" s="134"/>
    </row>
    <row r="117" spans="1:20">
      <c r="A117" s="134"/>
      <c r="B117" s="139"/>
      <c r="C117" s="134"/>
      <c r="D117" s="175"/>
      <c r="E117" s="134"/>
      <c r="F117" s="134"/>
      <c r="G117" s="134"/>
      <c r="H117" s="134"/>
      <c r="I117" s="134"/>
      <c r="J117" s="134"/>
      <c r="K117" s="134"/>
      <c r="L117" s="134"/>
      <c r="M117" s="134"/>
      <c r="N117" s="134"/>
      <c r="O117" s="134"/>
      <c r="P117" s="134"/>
      <c r="Q117" s="134"/>
      <c r="R117" s="134"/>
      <c r="S117" s="134"/>
      <c r="T117" s="134"/>
    </row>
    <row r="118" spans="1:20">
      <c r="A118" s="134"/>
      <c r="B118" s="139"/>
      <c r="C118" s="134"/>
      <c r="D118" s="175"/>
      <c r="E118" s="134"/>
      <c r="F118" s="134"/>
      <c r="G118" s="134"/>
      <c r="H118" s="134"/>
      <c r="I118" s="134"/>
      <c r="J118" s="134"/>
      <c r="K118" s="134"/>
      <c r="L118" s="134"/>
      <c r="M118" s="134"/>
      <c r="N118" s="134"/>
      <c r="O118" s="134"/>
      <c r="P118" s="134"/>
      <c r="Q118" s="134"/>
      <c r="R118" s="134"/>
      <c r="S118" s="134"/>
      <c r="T118" s="134"/>
    </row>
    <row r="119" spans="1:20">
      <c r="A119" s="134"/>
      <c r="B119" s="139"/>
      <c r="C119" s="134"/>
      <c r="D119" s="175"/>
      <c r="E119" s="134"/>
      <c r="F119" s="134"/>
      <c r="G119" s="134"/>
      <c r="H119" s="134"/>
      <c r="I119" s="134"/>
      <c r="J119" s="134"/>
      <c r="K119" s="134"/>
      <c r="L119" s="134"/>
      <c r="M119" s="134"/>
      <c r="N119" s="134"/>
      <c r="O119" s="134"/>
      <c r="P119" s="134"/>
      <c r="Q119" s="134"/>
      <c r="R119" s="134"/>
      <c r="S119" s="134"/>
      <c r="T119" s="134"/>
    </row>
    <row r="120" spans="1:20">
      <c r="A120" s="134"/>
      <c r="B120" s="139"/>
      <c r="C120" s="134"/>
      <c r="D120" s="175"/>
      <c r="E120" s="134"/>
      <c r="F120" s="134"/>
      <c r="G120" s="134"/>
      <c r="H120" s="134"/>
      <c r="I120" s="134"/>
      <c r="J120" s="134"/>
      <c r="K120" s="134"/>
      <c r="L120" s="134"/>
      <c r="M120" s="134"/>
      <c r="N120" s="134"/>
      <c r="O120" s="134"/>
      <c r="P120" s="134"/>
      <c r="Q120" s="134"/>
      <c r="R120" s="134"/>
      <c r="S120" s="134"/>
      <c r="T120" s="134"/>
    </row>
    <row r="121" spans="1:20">
      <c r="A121" s="134"/>
      <c r="B121" s="139"/>
      <c r="C121" s="134"/>
      <c r="D121" s="175"/>
      <c r="E121" s="134"/>
      <c r="F121" s="134"/>
      <c r="G121" s="134"/>
      <c r="H121" s="134"/>
      <c r="I121" s="134"/>
      <c r="J121" s="134"/>
      <c r="K121" s="134"/>
      <c r="L121" s="134"/>
      <c r="M121" s="134"/>
      <c r="N121" s="134"/>
      <c r="O121" s="134"/>
      <c r="P121" s="134"/>
      <c r="Q121" s="134"/>
      <c r="R121" s="134"/>
      <c r="S121" s="134"/>
      <c r="T121" s="134"/>
    </row>
    <row r="122" spans="1:20">
      <c r="A122" s="134"/>
      <c r="B122" s="139"/>
      <c r="C122" s="134"/>
      <c r="D122" s="175"/>
      <c r="E122" s="134"/>
      <c r="F122" s="134"/>
      <c r="G122" s="134"/>
      <c r="H122" s="134"/>
      <c r="I122" s="134"/>
      <c r="J122" s="134"/>
      <c r="K122" s="134"/>
      <c r="L122" s="134"/>
      <c r="M122" s="134"/>
      <c r="N122" s="134"/>
      <c r="O122" s="134"/>
      <c r="P122" s="134"/>
      <c r="Q122" s="134"/>
      <c r="R122" s="134"/>
      <c r="S122" s="134"/>
      <c r="T122" s="134"/>
    </row>
    <row r="123" spans="1:20">
      <c r="A123" s="134"/>
      <c r="B123" s="139"/>
      <c r="C123" s="134"/>
      <c r="D123" s="175"/>
      <c r="E123" s="134"/>
      <c r="F123" s="134"/>
      <c r="G123" s="134"/>
      <c r="H123" s="134"/>
      <c r="I123" s="134"/>
      <c r="J123" s="134"/>
      <c r="K123" s="134"/>
      <c r="L123" s="134"/>
      <c r="M123" s="134"/>
      <c r="N123" s="134"/>
      <c r="O123" s="134"/>
      <c r="P123" s="134"/>
      <c r="Q123" s="134"/>
      <c r="R123" s="134"/>
      <c r="S123" s="134"/>
      <c r="T123" s="134"/>
    </row>
    <row r="124" spans="1:20">
      <c r="A124" s="134"/>
      <c r="B124" s="139"/>
      <c r="C124" s="134"/>
      <c r="D124" s="175"/>
      <c r="E124" s="134"/>
      <c r="F124" s="134"/>
      <c r="G124" s="134"/>
      <c r="H124" s="134"/>
      <c r="I124" s="134"/>
      <c r="J124" s="134"/>
      <c r="K124" s="134"/>
      <c r="L124" s="134"/>
      <c r="M124" s="134"/>
      <c r="N124" s="134"/>
      <c r="O124" s="134"/>
      <c r="P124" s="134"/>
      <c r="Q124" s="134"/>
      <c r="R124" s="134"/>
      <c r="S124" s="134"/>
      <c r="T124" s="134"/>
    </row>
    <row r="125" spans="1:20">
      <c r="A125" s="134"/>
      <c r="B125" s="139"/>
      <c r="C125" s="134"/>
      <c r="D125" s="175"/>
      <c r="E125" s="134"/>
      <c r="F125" s="134"/>
      <c r="G125" s="134"/>
      <c r="H125" s="134"/>
      <c r="I125" s="134"/>
      <c r="J125" s="134"/>
      <c r="K125" s="134"/>
      <c r="L125" s="134"/>
      <c r="M125" s="134"/>
      <c r="N125" s="134"/>
      <c r="O125" s="134"/>
      <c r="P125" s="134"/>
      <c r="Q125" s="134"/>
      <c r="R125" s="134"/>
      <c r="S125" s="134"/>
      <c r="T125" s="134"/>
    </row>
    <row r="126" spans="1:20">
      <c r="A126" s="134"/>
      <c r="B126" s="139"/>
      <c r="C126" s="134"/>
      <c r="D126" s="175"/>
      <c r="E126" s="134"/>
      <c r="F126" s="134"/>
      <c r="G126" s="134"/>
      <c r="H126" s="134"/>
      <c r="I126" s="134"/>
      <c r="J126" s="134"/>
      <c r="K126" s="134"/>
      <c r="L126" s="134"/>
      <c r="M126" s="134"/>
      <c r="N126" s="134"/>
      <c r="O126" s="134"/>
      <c r="P126" s="134"/>
      <c r="Q126" s="134"/>
      <c r="R126" s="134"/>
      <c r="S126" s="134"/>
      <c r="T126" s="134"/>
    </row>
    <row r="127" spans="1:20">
      <c r="A127" s="134"/>
      <c r="B127" s="139"/>
      <c r="C127" s="134"/>
      <c r="D127" s="175"/>
      <c r="E127" s="134"/>
      <c r="F127" s="134"/>
      <c r="G127" s="134"/>
      <c r="H127" s="134"/>
      <c r="I127" s="134"/>
      <c r="J127" s="134"/>
      <c r="K127" s="134"/>
      <c r="L127" s="134"/>
      <c r="M127" s="134"/>
      <c r="N127" s="134"/>
      <c r="O127" s="134"/>
      <c r="P127" s="134"/>
      <c r="Q127" s="134"/>
      <c r="R127" s="134"/>
      <c r="S127" s="134"/>
      <c r="T127" s="134"/>
    </row>
    <row r="128" spans="1:20">
      <c r="A128" s="134"/>
      <c r="B128" s="139"/>
      <c r="C128" s="134"/>
      <c r="D128" s="175"/>
      <c r="E128" s="134"/>
      <c r="F128" s="134"/>
      <c r="G128" s="134"/>
      <c r="H128" s="134"/>
      <c r="I128" s="134"/>
      <c r="J128" s="134"/>
      <c r="K128" s="134"/>
      <c r="L128" s="134"/>
      <c r="M128" s="134"/>
      <c r="N128" s="134"/>
      <c r="O128" s="134"/>
      <c r="P128" s="134"/>
      <c r="Q128" s="134"/>
      <c r="R128" s="134"/>
      <c r="S128" s="134"/>
      <c r="T128" s="134"/>
    </row>
    <row r="129" spans="1:20">
      <c r="A129" s="134"/>
      <c r="B129" s="139"/>
      <c r="C129" s="134"/>
      <c r="D129" s="175"/>
      <c r="E129" s="134"/>
      <c r="F129" s="134"/>
      <c r="G129" s="134"/>
      <c r="H129" s="134"/>
      <c r="I129" s="134"/>
      <c r="J129" s="134"/>
      <c r="K129" s="134"/>
      <c r="L129" s="134"/>
      <c r="M129" s="134"/>
      <c r="N129" s="134"/>
      <c r="O129" s="134"/>
      <c r="P129" s="134"/>
      <c r="Q129" s="134"/>
      <c r="R129" s="134"/>
      <c r="S129" s="134"/>
      <c r="T129" s="134"/>
    </row>
    <row r="130" spans="1:20">
      <c r="A130" s="134"/>
      <c r="B130" s="139"/>
      <c r="C130" s="134"/>
      <c r="D130" s="175"/>
      <c r="E130" s="134"/>
      <c r="F130" s="134"/>
      <c r="G130" s="134"/>
      <c r="H130" s="134"/>
      <c r="I130" s="134"/>
      <c r="J130" s="134"/>
      <c r="K130" s="134"/>
      <c r="L130" s="134"/>
      <c r="M130" s="134"/>
      <c r="N130" s="134"/>
      <c r="O130" s="134"/>
      <c r="P130" s="134"/>
      <c r="Q130" s="134"/>
      <c r="R130" s="134"/>
      <c r="S130" s="134"/>
      <c r="T130" s="134"/>
    </row>
    <row r="131" spans="1:20">
      <c r="A131" s="134"/>
      <c r="B131" s="139"/>
      <c r="C131" s="134"/>
      <c r="D131" s="175"/>
      <c r="E131" s="134"/>
      <c r="F131" s="134"/>
      <c r="G131" s="134"/>
      <c r="H131" s="134"/>
      <c r="I131" s="134"/>
      <c r="J131" s="134"/>
      <c r="K131" s="134"/>
      <c r="L131" s="134"/>
      <c r="M131" s="134"/>
      <c r="N131" s="134"/>
      <c r="O131" s="134"/>
      <c r="P131" s="134"/>
      <c r="Q131" s="134"/>
      <c r="R131" s="134"/>
      <c r="S131" s="134"/>
      <c r="T131" s="134"/>
    </row>
    <row r="132" spans="1:20">
      <c r="A132" s="134"/>
      <c r="B132" s="139"/>
      <c r="C132" s="134"/>
      <c r="D132" s="175"/>
      <c r="E132" s="134"/>
      <c r="F132" s="134"/>
      <c r="G132" s="134"/>
      <c r="H132" s="134"/>
      <c r="I132" s="134"/>
      <c r="J132" s="134"/>
      <c r="K132" s="134"/>
      <c r="L132" s="134"/>
      <c r="M132" s="134"/>
      <c r="N132" s="134"/>
      <c r="O132" s="134"/>
      <c r="P132" s="134"/>
      <c r="Q132" s="134"/>
      <c r="R132" s="134"/>
      <c r="S132" s="134"/>
      <c r="T132" s="134"/>
    </row>
    <row r="133" spans="1:20">
      <c r="A133" s="134"/>
      <c r="B133" s="139"/>
      <c r="C133" s="134"/>
      <c r="D133" s="175"/>
      <c r="E133" s="134"/>
      <c r="F133" s="134"/>
      <c r="G133" s="134"/>
      <c r="H133" s="134"/>
      <c r="I133" s="134"/>
      <c r="J133" s="134"/>
      <c r="K133" s="134"/>
      <c r="L133" s="134"/>
      <c r="M133" s="134"/>
      <c r="N133" s="134"/>
      <c r="O133" s="134"/>
      <c r="P133" s="134"/>
      <c r="Q133" s="134"/>
      <c r="R133" s="134"/>
      <c r="S133" s="134"/>
      <c r="T133" s="134"/>
    </row>
    <row r="134" spans="1:20">
      <c r="A134" s="134"/>
      <c r="B134" s="139"/>
      <c r="C134" s="134"/>
      <c r="D134" s="175"/>
      <c r="E134" s="134"/>
      <c r="F134" s="134"/>
      <c r="G134" s="134"/>
      <c r="H134" s="134"/>
      <c r="I134" s="134"/>
      <c r="J134" s="134"/>
      <c r="K134" s="134"/>
      <c r="L134" s="134"/>
      <c r="M134" s="134"/>
      <c r="N134" s="134"/>
      <c r="O134" s="134"/>
      <c r="P134" s="134"/>
      <c r="Q134" s="134"/>
      <c r="R134" s="134"/>
      <c r="S134" s="134"/>
      <c r="T134" s="134"/>
    </row>
    <row r="135" spans="1:20">
      <c r="A135" s="134"/>
      <c r="B135" s="139"/>
      <c r="C135" s="134"/>
      <c r="D135" s="175"/>
      <c r="E135" s="134"/>
      <c r="F135" s="134"/>
      <c r="G135" s="134"/>
      <c r="H135" s="134"/>
      <c r="I135" s="134"/>
      <c r="J135" s="134"/>
      <c r="K135" s="134"/>
      <c r="L135" s="134"/>
      <c r="M135" s="134"/>
      <c r="N135" s="134"/>
      <c r="O135" s="134"/>
      <c r="P135" s="134"/>
      <c r="Q135" s="134"/>
      <c r="R135" s="134"/>
      <c r="S135" s="134"/>
      <c r="T135" s="134"/>
    </row>
    <row r="136" spans="1:20">
      <c r="A136" s="134"/>
      <c r="B136" s="139"/>
      <c r="C136" s="134"/>
      <c r="D136" s="175"/>
      <c r="E136" s="134"/>
      <c r="F136" s="134"/>
      <c r="G136" s="134"/>
      <c r="H136" s="134"/>
      <c r="I136" s="134"/>
      <c r="J136" s="134"/>
      <c r="K136" s="134"/>
      <c r="L136" s="134"/>
      <c r="M136" s="134"/>
      <c r="N136" s="134"/>
      <c r="O136" s="134"/>
      <c r="P136" s="134"/>
      <c r="Q136" s="134"/>
      <c r="R136" s="134"/>
      <c r="S136" s="134"/>
      <c r="T136" s="134"/>
    </row>
    <row r="137" spans="1:20">
      <c r="A137" s="134"/>
      <c r="B137" s="139"/>
      <c r="C137" s="134"/>
      <c r="D137" s="175"/>
      <c r="E137" s="134"/>
      <c r="F137" s="134"/>
      <c r="G137" s="134"/>
      <c r="H137" s="134"/>
      <c r="I137" s="134"/>
      <c r="J137" s="134"/>
      <c r="K137" s="134"/>
      <c r="L137" s="134"/>
      <c r="M137" s="134"/>
      <c r="N137" s="134"/>
      <c r="O137" s="134"/>
      <c r="P137" s="134"/>
      <c r="Q137" s="134"/>
      <c r="R137" s="134"/>
      <c r="S137" s="134"/>
      <c r="T137" s="134"/>
    </row>
    <row r="138" spans="1:20">
      <c r="A138" s="134"/>
      <c r="B138" s="139"/>
      <c r="C138" s="134"/>
      <c r="D138" s="175"/>
      <c r="E138" s="134"/>
      <c r="F138" s="134"/>
      <c r="G138" s="134"/>
      <c r="H138" s="134"/>
      <c r="I138" s="134"/>
      <c r="J138" s="134"/>
      <c r="K138" s="134"/>
      <c r="L138" s="134"/>
      <c r="M138" s="134"/>
      <c r="N138" s="134"/>
      <c r="O138" s="134"/>
      <c r="P138" s="134"/>
      <c r="Q138" s="134"/>
      <c r="R138" s="134"/>
      <c r="S138" s="134"/>
      <c r="T138" s="134"/>
    </row>
    <row r="139" spans="1:20">
      <c r="A139" s="134"/>
      <c r="B139" s="139"/>
      <c r="C139" s="134"/>
      <c r="D139" s="175"/>
      <c r="E139" s="134"/>
      <c r="F139" s="134"/>
      <c r="G139" s="134"/>
      <c r="H139" s="134"/>
      <c r="I139" s="134"/>
      <c r="J139" s="134"/>
      <c r="K139" s="134"/>
      <c r="L139" s="134"/>
      <c r="M139" s="134"/>
      <c r="N139" s="134"/>
      <c r="O139" s="134"/>
      <c r="P139" s="134"/>
      <c r="Q139" s="134"/>
      <c r="R139" s="134"/>
      <c r="S139" s="134"/>
      <c r="T139" s="134"/>
    </row>
    <row r="140" spans="1:20">
      <c r="A140" s="134"/>
      <c r="B140" s="139"/>
      <c r="C140" s="134"/>
      <c r="D140" s="175"/>
      <c r="E140" s="134"/>
      <c r="F140" s="134"/>
      <c r="G140" s="134"/>
      <c r="H140" s="134"/>
      <c r="I140" s="134"/>
      <c r="J140" s="134"/>
      <c r="K140" s="134"/>
      <c r="L140" s="134"/>
      <c r="M140" s="134"/>
      <c r="N140" s="134"/>
      <c r="O140" s="134"/>
      <c r="P140" s="134"/>
      <c r="Q140" s="134"/>
      <c r="R140" s="134"/>
      <c r="S140" s="134"/>
      <c r="T140" s="134"/>
    </row>
    <row r="141" spans="1:20">
      <c r="A141" s="134"/>
      <c r="B141" s="139"/>
      <c r="C141" s="134"/>
      <c r="D141" s="175"/>
      <c r="E141" s="134"/>
      <c r="F141" s="134"/>
      <c r="G141" s="134"/>
      <c r="H141" s="134"/>
      <c r="I141" s="134"/>
      <c r="J141" s="134"/>
      <c r="K141" s="134"/>
      <c r="L141" s="134"/>
      <c r="M141" s="134"/>
      <c r="N141" s="134"/>
      <c r="O141" s="134"/>
      <c r="P141" s="134"/>
      <c r="Q141" s="134"/>
      <c r="R141" s="134"/>
      <c r="S141" s="134"/>
      <c r="T141" s="134"/>
    </row>
    <row r="142" spans="1:20">
      <c r="A142" s="134"/>
      <c r="B142" s="139"/>
      <c r="C142" s="134"/>
      <c r="D142" s="175"/>
      <c r="E142" s="134"/>
      <c r="F142" s="134"/>
      <c r="G142" s="134"/>
      <c r="H142" s="134"/>
      <c r="I142" s="134"/>
      <c r="J142" s="134"/>
      <c r="K142" s="134"/>
      <c r="L142" s="134"/>
      <c r="M142" s="134"/>
      <c r="N142" s="134"/>
      <c r="O142" s="134"/>
      <c r="P142" s="134"/>
      <c r="Q142" s="134"/>
      <c r="R142" s="134"/>
      <c r="S142" s="134"/>
      <c r="T142" s="134"/>
    </row>
    <row r="143" spans="1:20">
      <c r="A143" s="134"/>
      <c r="B143" s="139"/>
      <c r="C143" s="134"/>
      <c r="D143" s="175"/>
      <c r="E143" s="134"/>
      <c r="F143" s="134"/>
      <c r="G143" s="134"/>
      <c r="H143" s="134"/>
      <c r="I143" s="134"/>
      <c r="J143" s="134"/>
      <c r="K143" s="134"/>
      <c r="L143" s="134"/>
      <c r="M143" s="134"/>
      <c r="N143" s="134"/>
      <c r="O143" s="134"/>
      <c r="P143" s="134"/>
      <c r="Q143" s="134"/>
      <c r="R143" s="134"/>
      <c r="S143" s="134"/>
      <c r="T143" s="134"/>
    </row>
    <row r="144" spans="1:20">
      <c r="A144" s="134"/>
      <c r="B144" s="139"/>
      <c r="C144" s="134"/>
      <c r="D144" s="175"/>
      <c r="E144" s="134"/>
      <c r="F144" s="134"/>
      <c r="G144" s="134"/>
      <c r="H144" s="134"/>
      <c r="I144" s="134"/>
      <c r="J144" s="134"/>
      <c r="K144" s="134"/>
      <c r="L144" s="134"/>
      <c r="M144" s="134"/>
      <c r="N144" s="134"/>
      <c r="O144" s="134"/>
      <c r="P144" s="134"/>
      <c r="Q144" s="134"/>
      <c r="R144" s="134"/>
      <c r="S144" s="134"/>
      <c r="T144" s="134"/>
    </row>
    <row r="145" spans="1:20">
      <c r="A145" s="134"/>
      <c r="B145" s="139"/>
      <c r="C145" s="134"/>
      <c r="D145" s="175"/>
      <c r="E145" s="134"/>
      <c r="F145" s="134"/>
      <c r="G145" s="134"/>
      <c r="H145" s="134"/>
      <c r="I145" s="134"/>
      <c r="J145" s="134"/>
      <c r="K145" s="134"/>
      <c r="L145" s="134"/>
      <c r="M145" s="134"/>
      <c r="N145" s="134"/>
      <c r="O145" s="134"/>
      <c r="P145" s="134"/>
      <c r="Q145" s="134"/>
      <c r="R145" s="134"/>
      <c r="S145" s="134"/>
      <c r="T145" s="134"/>
    </row>
  </sheetData>
  <mergeCells count="3">
    <mergeCell ref="A1:C1"/>
    <mergeCell ref="G6:G10"/>
    <mergeCell ref="K6:K10"/>
  </mergeCells>
  <phoneticPr fontId="47" type="noConversion"/>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907A7-3B47-428B-A2CB-7A1420FB5B69}">
  <sheetPr codeName="Sheet20"/>
  <dimension ref="A1:O49"/>
  <sheetViews>
    <sheetView topLeftCell="A16" zoomScaleNormal="100" workbookViewId="0">
      <selection activeCell="G15" sqref="G15"/>
    </sheetView>
  </sheetViews>
  <sheetFormatPr defaultColWidth="9.08203125" defaultRowHeight="16.5"/>
  <cols>
    <col min="1" max="2" width="9.08203125" style="7"/>
    <col min="3" max="3" width="13" style="7" customWidth="1"/>
    <col min="4" max="4" width="11.33203125" style="7" customWidth="1"/>
    <col min="5" max="5" width="11.08203125" style="7" bestFit="1" customWidth="1"/>
    <col min="6" max="6" width="9.08203125" style="7"/>
    <col min="7" max="7" width="11.08203125" style="7" bestFit="1" customWidth="1"/>
    <col min="8" max="8" width="9" style="7" bestFit="1" customWidth="1"/>
    <col min="9" max="16384" width="9.08203125" style="7"/>
  </cols>
  <sheetData>
    <row r="1" spans="1:8">
      <c r="A1" s="350" t="s">
        <v>683</v>
      </c>
      <c r="B1" s="351"/>
      <c r="C1" s="351"/>
      <c r="D1" s="351"/>
      <c r="E1" s="351"/>
      <c r="F1" s="369"/>
      <c r="G1" s="358"/>
      <c r="H1" s="358"/>
    </row>
    <row r="2" spans="1:8">
      <c r="A2" s="352" t="s">
        <v>684</v>
      </c>
      <c r="B2" s="353"/>
      <c r="C2" s="353"/>
      <c r="D2" s="353"/>
      <c r="E2" s="353"/>
      <c r="F2" s="351"/>
      <c r="G2" s="358"/>
      <c r="H2" s="358"/>
    </row>
    <row r="3" spans="1:8">
      <c r="A3" s="354" t="s">
        <v>685</v>
      </c>
      <c r="B3" s="353"/>
      <c r="C3" s="351"/>
      <c r="D3" s="355" t="s">
        <v>83</v>
      </c>
      <c r="E3" s="356"/>
      <c r="F3" s="351"/>
      <c r="G3" s="358"/>
      <c r="H3" s="358"/>
    </row>
    <row r="4" spans="1:8">
      <c r="A4" s="354"/>
      <c r="B4" s="351" t="s">
        <v>686</v>
      </c>
      <c r="C4" s="351"/>
      <c r="D4" s="357" t="s">
        <v>687</v>
      </c>
      <c r="E4" s="358">
        <f>+HLOOKUP($D$3,B_BT,3,0)*$E$24</f>
        <v>14.5</v>
      </c>
      <c r="F4" s="359" t="s">
        <v>733</v>
      </c>
      <c r="G4" s="361">
        <f>E4*100</f>
        <v>1450</v>
      </c>
      <c r="H4" s="358" t="s">
        <v>731</v>
      </c>
    </row>
    <row r="5" spans="1:8">
      <c r="A5" s="354"/>
      <c r="B5" s="351" t="s">
        <v>688</v>
      </c>
      <c r="C5" s="351"/>
      <c r="D5" s="357" t="s">
        <v>689</v>
      </c>
      <c r="E5" s="358">
        <f>+HLOOKUP($D$3,B_BT,4,0)*$E$24</f>
        <v>1.05</v>
      </c>
      <c r="F5" s="359" t="s">
        <v>733</v>
      </c>
      <c r="G5" s="361">
        <f>E5*100</f>
        <v>105</v>
      </c>
      <c r="H5" s="358" t="s">
        <v>731</v>
      </c>
    </row>
    <row r="6" spans="1:8">
      <c r="A6" s="354"/>
      <c r="B6" s="351" t="s">
        <v>690</v>
      </c>
      <c r="C6" s="351"/>
      <c r="D6" s="357" t="s">
        <v>691</v>
      </c>
      <c r="E6" s="360">
        <f>+HLOOKUP($D$3,B_BT,5,0)</f>
        <v>30000</v>
      </c>
      <c r="F6" s="359" t="s">
        <v>733</v>
      </c>
      <c r="G6" s="360">
        <f>E6*100</f>
        <v>3000000</v>
      </c>
      <c r="H6" s="358" t="s">
        <v>731</v>
      </c>
    </row>
    <row r="7" spans="1:8">
      <c r="A7" s="354" t="s">
        <v>734</v>
      </c>
      <c r="B7" s="353"/>
      <c r="C7" s="351"/>
      <c r="D7" s="355" t="s">
        <v>379</v>
      </c>
      <c r="E7" s="356"/>
      <c r="F7" s="351"/>
      <c r="G7" s="358"/>
      <c r="H7" s="358"/>
    </row>
    <row r="8" spans="1:8">
      <c r="A8" s="354"/>
      <c r="B8" s="351" t="s">
        <v>688</v>
      </c>
      <c r="C8" s="351"/>
      <c r="D8" s="357" t="s">
        <v>692</v>
      </c>
      <c r="E8" s="361">
        <f>+HLOOKUP(D7,B_CT,3,0)</f>
        <v>225</v>
      </c>
      <c r="F8" s="359" t="s">
        <v>733</v>
      </c>
      <c r="G8" s="361">
        <f>E8*100</f>
        <v>22500</v>
      </c>
      <c r="H8" s="358" t="s">
        <v>731</v>
      </c>
    </row>
    <row r="9" spans="1:8">
      <c r="A9" s="354"/>
      <c r="B9" s="351" t="s">
        <v>686</v>
      </c>
      <c r="C9" s="351"/>
      <c r="D9" s="357" t="s">
        <v>693</v>
      </c>
      <c r="E9" s="361">
        <f>+HLOOKUP(D7,B_CT,4,0)</f>
        <v>175</v>
      </c>
      <c r="F9" s="359" t="s">
        <v>733</v>
      </c>
      <c r="G9" s="361">
        <f>E9*100</f>
        <v>17500</v>
      </c>
      <c r="H9" s="358" t="s">
        <v>731</v>
      </c>
    </row>
    <row r="10" spans="1:8" ht="19.5">
      <c r="A10" s="354" t="s">
        <v>694</v>
      </c>
      <c r="B10" s="351" t="s">
        <v>695</v>
      </c>
      <c r="C10" s="362"/>
      <c r="D10" s="363" t="s">
        <v>728</v>
      </c>
      <c r="E10" s="364">
        <v>1</v>
      </c>
      <c r="F10" s="351"/>
      <c r="G10" s="358"/>
      <c r="H10" s="358"/>
    </row>
    <row r="11" spans="1:8">
      <c r="A11" s="354"/>
      <c r="B11" s="351" t="s">
        <v>696</v>
      </c>
      <c r="C11" s="365"/>
      <c r="D11" s="366"/>
      <c r="E11" s="366"/>
      <c r="F11" s="359"/>
      <c r="G11" s="358"/>
      <c r="H11" s="358"/>
    </row>
    <row r="12" spans="1:8" ht="19.5">
      <c r="A12" s="354" t="s">
        <v>694</v>
      </c>
      <c r="B12" s="351" t="s">
        <v>697</v>
      </c>
      <c r="C12" s="351"/>
      <c r="D12" s="363" t="s">
        <v>729</v>
      </c>
      <c r="E12" s="364">
        <v>0.2</v>
      </c>
      <c r="F12" s="359" t="s">
        <v>698</v>
      </c>
      <c r="G12" s="358"/>
      <c r="H12" s="358"/>
    </row>
    <row r="13" spans="1:8" ht="19.5">
      <c r="A13" s="354"/>
      <c r="B13" s="351"/>
      <c r="C13" s="351"/>
      <c r="D13" s="367" t="s">
        <v>730</v>
      </c>
      <c r="E13" s="368">
        <f>(0.85-0.008*$E$4)/(1+E8*(1-(0.85-0.008*$E$4)/1.1)/400)</f>
        <v>0.61828276060112941</v>
      </c>
      <c r="F13" s="359"/>
      <c r="G13" s="358"/>
      <c r="H13" s="358"/>
    </row>
    <row r="14" spans="1:8">
      <c r="A14" s="354" t="s">
        <v>735</v>
      </c>
      <c r="B14" s="353"/>
      <c r="C14" s="351"/>
      <c r="D14" s="355" t="s">
        <v>380</v>
      </c>
      <c r="E14" s="356"/>
      <c r="F14" s="351"/>
      <c r="G14" s="358"/>
      <c r="H14" s="358"/>
    </row>
    <row r="15" spans="1:8">
      <c r="A15" s="354"/>
      <c r="B15" s="351" t="s">
        <v>688</v>
      </c>
      <c r="C15" s="351"/>
      <c r="D15" s="357" t="s">
        <v>692</v>
      </c>
      <c r="E15" s="361">
        <f>+HLOOKUP(D14,B_CT,3,0)</f>
        <v>280</v>
      </c>
      <c r="F15" s="359" t="s">
        <v>733</v>
      </c>
      <c r="G15" s="361">
        <f>E15*100</f>
        <v>28000</v>
      </c>
      <c r="H15" s="358" t="s">
        <v>731</v>
      </c>
    </row>
    <row r="16" spans="1:8">
      <c r="A16" s="354"/>
      <c r="B16" s="351" t="s">
        <v>686</v>
      </c>
      <c r="C16" s="351"/>
      <c r="D16" s="357" t="s">
        <v>693</v>
      </c>
      <c r="E16" s="361">
        <f>+HLOOKUP(D14,B_CT,4,0)</f>
        <v>225</v>
      </c>
      <c r="F16" s="359" t="s">
        <v>733</v>
      </c>
      <c r="G16" s="361">
        <f>E16*100</f>
        <v>22500</v>
      </c>
      <c r="H16" s="358" t="s">
        <v>731</v>
      </c>
    </row>
    <row r="17" spans="1:8" ht="19.5">
      <c r="A17" s="354" t="s">
        <v>694</v>
      </c>
      <c r="B17" s="351" t="s">
        <v>695</v>
      </c>
      <c r="C17" s="362"/>
      <c r="D17" s="363" t="s">
        <v>728</v>
      </c>
      <c r="E17" s="364">
        <v>1</v>
      </c>
      <c r="F17" s="351"/>
      <c r="G17" s="358"/>
      <c r="H17" s="358"/>
    </row>
    <row r="18" spans="1:8">
      <c r="A18" s="354"/>
      <c r="B18" s="351" t="s">
        <v>696</v>
      </c>
      <c r="C18" s="365"/>
      <c r="D18" s="366"/>
      <c r="E18" s="366"/>
      <c r="F18" s="359"/>
      <c r="G18" s="358"/>
      <c r="H18" s="358"/>
    </row>
    <row r="19" spans="1:8" ht="19.5">
      <c r="A19" s="354" t="s">
        <v>694</v>
      </c>
      <c r="B19" s="351" t="s">
        <v>697</v>
      </c>
      <c r="C19" s="351"/>
      <c r="D19" s="363" t="s">
        <v>729</v>
      </c>
      <c r="E19" s="364">
        <v>0.2</v>
      </c>
      <c r="F19" s="359" t="s">
        <v>698</v>
      </c>
      <c r="G19" s="358"/>
      <c r="H19" s="358"/>
    </row>
    <row r="20" spans="1:8" ht="19.5">
      <c r="A20" s="354"/>
      <c r="B20" s="351"/>
      <c r="C20" s="351"/>
      <c r="D20" s="367" t="s">
        <v>730</v>
      </c>
      <c r="E20" s="368">
        <f>(0.85-0.008*$E$4)/(1+E15*(1-(0.85-0.008*$E$4)/1.1)/400)</f>
        <v>0.59533992036572769</v>
      </c>
      <c r="F20" s="359"/>
      <c r="G20" s="358"/>
      <c r="H20" s="358"/>
    </row>
    <row r="21" spans="1:8">
      <c r="A21" s="354" t="s">
        <v>735</v>
      </c>
      <c r="B21" s="353"/>
      <c r="C21" s="351"/>
      <c r="D21" s="355" t="s">
        <v>381</v>
      </c>
      <c r="E21" s="356"/>
      <c r="F21" s="351"/>
      <c r="G21" s="358"/>
      <c r="H21" s="358"/>
    </row>
    <row r="22" spans="1:8">
      <c r="A22" s="354"/>
      <c r="B22" s="351" t="s">
        <v>688</v>
      </c>
      <c r="C22" s="351"/>
      <c r="D22" s="357" t="s">
        <v>692</v>
      </c>
      <c r="E22" s="361">
        <f>+HLOOKUP(D21,B_CT,3,0)</f>
        <v>365</v>
      </c>
      <c r="F22" s="359" t="s">
        <v>733</v>
      </c>
      <c r="G22" s="361">
        <f>E22*100</f>
        <v>36500</v>
      </c>
      <c r="H22" s="358" t="s">
        <v>731</v>
      </c>
    </row>
    <row r="23" spans="1:8">
      <c r="A23" s="354"/>
      <c r="B23" s="351" t="s">
        <v>686</v>
      </c>
      <c r="C23" s="351"/>
      <c r="D23" s="357" t="s">
        <v>693</v>
      </c>
      <c r="E23" s="361">
        <f>+HLOOKUP(D21,B_CT,4,0)</f>
        <v>290</v>
      </c>
      <c r="F23" s="359" t="s">
        <v>733</v>
      </c>
      <c r="G23" s="361">
        <f>E23*100</f>
        <v>29000</v>
      </c>
      <c r="H23" s="358" t="s">
        <v>731</v>
      </c>
    </row>
    <row r="24" spans="1:8" ht="19.5">
      <c r="A24" s="354" t="s">
        <v>694</v>
      </c>
      <c r="B24" s="351" t="s">
        <v>695</v>
      </c>
      <c r="C24" s="362"/>
      <c r="D24" s="363" t="s">
        <v>728</v>
      </c>
      <c r="E24" s="364">
        <v>1</v>
      </c>
      <c r="F24" s="351"/>
      <c r="G24" s="358"/>
      <c r="H24" s="358"/>
    </row>
    <row r="25" spans="1:8">
      <c r="A25" s="354"/>
      <c r="B25" s="351" t="s">
        <v>696</v>
      </c>
      <c r="C25" s="365"/>
      <c r="D25" s="366"/>
      <c r="E25" s="366"/>
      <c r="F25" s="359"/>
      <c r="G25" s="358"/>
      <c r="H25" s="358"/>
    </row>
    <row r="26" spans="1:8" ht="19.5">
      <c r="A26" s="354" t="s">
        <v>694</v>
      </c>
      <c r="B26" s="351" t="s">
        <v>697</v>
      </c>
      <c r="C26" s="351"/>
      <c r="D26" s="363" t="s">
        <v>729</v>
      </c>
      <c r="E26" s="364">
        <v>0.2</v>
      </c>
      <c r="F26" s="359" t="s">
        <v>698</v>
      </c>
      <c r="G26" s="358"/>
      <c r="H26" s="358"/>
    </row>
    <row r="27" spans="1:8" ht="19.5">
      <c r="A27" s="354"/>
      <c r="B27" s="351"/>
      <c r="C27" s="351"/>
      <c r="D27" s="367" t="s">
        <v>730</v>
      </c>
      <c r="E27" s="368">
        <f>(0.85-0.008*$E$4)/(1+E22*(1-(0.85-0.008*$E$4)/1.1)/400)</f>
        <v>0.56305026238253808</v>
      </c>
      <c r="F27" s="359"/>
      <c r="G27" s="358"/>
      <c r="H27" s="358"/>
    </row>
    <row r="28" spans="1:8">
      <c r="A28" s="354" t="s">
        <v>736</v>
      </c>
      <c r="B28" s="354"/>
      <c r="C28" s="354"/>
      <c r="D28" s="354"/>
      <c r="E28" s="354"/>
      <c r="F28" s="354"/>
      <c r="G28" s="354"/>
      <c r="H28" s="354"/>
    </row>
    <row r="29" spans="1:8">
      <c r="A29" s="354"/>
      <c r="B29" s="354" t="s">
        <v>737</v>
      </c>
      <c r="C29" s="354"/>
      <c r="D29" s="370" t="s">
        <v>738</v>
      </c>
      <c r="E29" s="371">
        <v>20</v>
      </c>
      <c r="F29" s="354" t="s">
        <v>741</v>
      </c>
      <c r="G29" s="371">
        <f>E29*0.1</f>
        <v>2</v>
      </c>
      <c r="H29" s="358" t="s">
        <v>732</v>
      </c>
    </row>
    <row r="30" spans="1:8">
      <c r="A30" s="354"/>
      <c r="B30" s="354" t="s">
        <v>739</v>
      </c>
      <c r="C30" s="354"/>
      <c r="D30" s="370" t="s">
        <v>738</v>
      </c>
      <c r="E30" s="371">
        <v>20</v>
      </c>
      <c r="F30" s="354" t="s">
        <v>741</v>
      </c>
      <c r="G30" s="371">
        <f t="shared" ref="G30:G31" si="0">E30*0.1</f>
        <v>2</v>
      </c>
      <c r="H30" s="358" t="s">
        <v>732</v>
      </c>
    </row>
    <row r="31" spans="1:8">
      <c r="A31" s="354"/>
      <c r="B31" s="354" t="s">
        <v>740</v>
      </c>
      <c r="C31" s="354"/>
      <c r="D31" s="370" t="s">
        <v>738</v>
      </c>
      <c r="E31" s="371">
        <v>18</v>
      </c>
      <c r="F31" s="354" t="s">
        <v>741</v>
      </c>
      <c r="G31" s="371">
        <f t="shared" si="0"/>
        <v>1.8</v>
      </c>
      <c r="H31" s="358" t="s">
        <v>732</v>
      </c>
    </row>
    <row r="33" spans="1:15">
      <c r="A33" s="1107" t="s">
        <v>699</v>
      </c>
      <c r="B33" s="1107"/>
      <c r="C33" s="1107"/>
      <c r="D33" s="1107"/>
      <c r="E33" s="1107"/>
      <c r="F33" s="1107"/>
      <c r="G33" s="1107"/>
      <c r="H33" s="1107"/>
      <c r="I33" s="1107"/>
      <c r="J33" s="1107"/>
      <c r="K33" s="1107"/>
      <c r="L33" s="1107"/>
      <c r="M33" s="1107"/>
      <c r="N33" s="1107"/>
      <c r="O33" s="1107"/>
    </row>
    <row r="34" spans="1:15" ht="17" thickBot="1">
      <c r="A34" s="336" t="s">
        <v>700</v>
      </c>
      <c r="B34" s="336"/>
      <c r="C34" s="336"/>
      <c r="D34" s="336"/>
      <c r="E34" s="336"/>
      <c r="F34" s="336"/>
      <c r="G34" s="336"/>
      <c r="H34" s="336"/>
      <c r="I34" s="336"/>
      <c r="J34" s="336"/>
      <c r="K34" s="336"/>
      <c r="L34" s="336"/>
      <c r="M34" s="336"/>
      <c r="N34" s="336"/>
      <c r="O34" s="336"/>
    </row>
    <row r="35" spans="1:15">
      <c r="A35" s="337"/>
      <c r="B35" s="1104" t="s">
        <v>701</v>
      </c>
      <c r="C35" s="1105"/>
      <c r="D35" s="1105"/>
      <c r="E35" s="1105"/>
      <c r="F35" s="1105"/>
      <c r="G35" s="1105"/>
      <c r="H35" s="1105"/>
      <c r="I35" s="1105"/>
      <c r="J35" s="1105"/>
      <c r="K35" s="1105"/>
      <c r="L35" s="1105"/>
      <c r="M35" s="1105"/>
      <c r="N35" s="1105"/>
      <c r="O35" s="1106"/>
    </row>
    <row r="36" spans="1:15">
      <c r="A36" s="338"/>
      <c r="B36" s="1098" t="s">
        <v>702</v>
      </c>
      <c r="C36" s="1099"/>
      <c r="D36" s="1100"/>
      <c r="E36" s="339" t="s">
        <v>703</v>
      </c>
      <c r="F36" s="339" t="s">
        <v>704</v>
      </c>
      <c r="G36" s="339" t="s">
        <v>705</v>
      </c>
      <c r="H36" s="339" t="s">
        <v>706</v>
      </c>
      <c r="I36" s="339" t="s">
        <v>707</v>
      </c>
      <c r="J36" s="339" t="s">
        <v>708</v>
      </c>
      <c r="K36" s="339" t="s">
        <v>83</v>
      </c>
      <c r="L36" s="339" t="s">
        <v>709</v>
      </c>
      <c r="M36" s="339" t="s">
        <v>710</v>
      </c>
      <c r="N36" s="339" t="s">
        <v>711</v>
      </c>
      <c r="O36" s="340" t="s">
        <v>712</v>
      </c>
    </row>
    <row r="37" spans="1:15">
      <c r="A37" s="341"/>
      <c r="B37" s="1098" t="s">
        <v>713</v>
      </c>
      <c r="C37" s="1099"/>
      <c r="D37" s="1100"/>
      <c r="E37" s="339">
        <v>100</v>
      </c>
      <c r="F37" s="339">
        <v>150</v>
      </c>
      <c r="G37" s="339">
        <v>150</v>
      </c>
      <c r="H37" s="339">
        <v>200</v>
      </c>
      <c r="I37" s="339">
        <v>250</v>
      </c>
      <c r="J37" s="339">
        <v>300</v>
      </c>
      <c r="K37" s="339">
        <v>350</v>
      </c>
      <c r="L37" s="339">
        <v>400</v>
      </c>
      <c r="M37" s="339">
        <v>450</v>
      </c>
      <c r="N37" s="339">
        <v>500</v>
      </c>
      <c r="O37" s="340">
        <v>600</v>
      </c>
    </row>
    <row r="38" spans="1:15">
      <c r="A38" s="341"/>
      <c r="B38" s="1098" t="s">
        <v>714</v>
      </c>
      <c r="C38" s="1099"/>
      <c r="D38" s="1100"/>
      <c r="E38" s="339">
        <v>4.5</v>
      </c>
      <c r="F38" s="339">
        <v>6</v>
      </c>
      <c r="G38" s="339">
        <v>7.5</v>
      </c>
      <c r="H38" s="339">
        <v>8.5</v>
      </c>
      <c r="I38" s="339">
        <v>11.5</v>
      </c>
      <c r="J38" s="339">
        <v>13</v>
      </c>
      <c r="K38" s="339">
        <v>14.5</v>
      </c>
      <c r="L38" s="339">
        <v>17</v>
      </c>
      <c r="M38" s="339">
        <v>19.5</v>
      </c>
      <c r="N38" s="339">
        <v>22</v>
      </c>
      <c r="O38" s="340">
        <v>25</v>
      </c>
    </row>
    <row r="39" spans="1:15">
      <c r="A39" s="341"/>
      <c r="B39" s="1098" t="s">
        <v>715</v>
      </c>
      <c r="C39" s="1099"/>
      <c r="D39" s="1100"/>
      <c r="E39" s="339">
        <v>0.48</v>
      </c>
      <c r="F39" s="339">
        <v>0.56999999999999995</v>
      </c>
      <c r="G39" s="339">
        <v>0.66</v>
      </c>
      <c r="H39" s="339">
        <v>0.75</v>
      </c>
      <c r="I39" s="339">
        <v>0.9</v>
      </c>
      <c r="J39" s="339">
        <v>1</v>
      </c>
      <c r="K39" s="339">
        <v>1.05</v>
      </c>
      <c r="L39" s="339">
        <v>1.2</v>
      </c>
      <c r="M39" s="339">
        <v>1.3</v>
      </c>
      <c r="N39" s="339">
        <v>1.4</v>
      </c>
      <c r="O39" s="340">
        <v>1.5</v>
      </c>
    </row>
    <row r="40" spans="1:15" ht="17" thickBot="1">
      <c r="A40" s="341"/>
      <c r="B40" s="1101" t="s">
        <v>726</v>
      </c>
      <c r="C40" s="1102"/>
      <c r="D40" s="1103"/>
      <c r="E40" s="342">
        <v>16000</v>
      </c>
      <c r="F40" s="342">
        <v>18000</v>
      </c>
      <c r="G40" s="342">
        <v>21000</v>
      </c>
      <c r="H40" s="342">
        <v>23000</v>
      </c>
      <c r="I40" s="342">
        <v>27000</v>
      </c>
      <c r="J40" s="342">
        <v>29000</v>
      </c>
      <c r="K40" s="342">
        <v>30000</v>
      </c>
      <c r="L40" s="342">
        <v>32500</v>
      </c>
      <c r="M40" s="342">
        <v>34500</v>
      </c>
      <c r="N40" s="342">
        <v>36000</v>
      </c>
      <c r="O40" s="343">
        <v>375000</v>
      </c>
    </row>
    <row r="41" spans="1:15">
      <c r="A41" s="341"/>
      <c r="B41" s="344"/>
      <c r="C41" s="336"/>
      <c r="D41" s="345"/>
      <c r="E41" s="346"/>
      <c r="F41" s="336"/>
      <c r="G41" s="336"/>
      <c r="H41" s="336"/>
      <c r="I41" s="336"/>
      <c r="J41" s="336"/>
      <c r="K41" s="336"/>
      <c r="L41" s="336"/>
      <c r="M41" s="336"/>
      <c r="N41" s="336"/>
      <c r="O41" s="336"/>
    </row>
    <row r="42" spans="1:15" ht="17" thickBot="1">
      <c r="A42" s="341" t="s">
        <v>716</v>
      </c>
      <c r="B42" s="336"/>
      <c r="C42" s="336"/>
      <c r="D42" s="347"/>
      <c r="E42" s="348"/>
      <c r="F42" s="349"/>
      <c r="G42" s="336"/>
      <c r="H42" s="336"/>
      <c r="I42" s="336"/>
      <c r="J42" s="336"/>
      <c r="K42" s="336"/>
      <c r="L42" s="336"/>
      <c r="M42" s="336"/>
      <c r="N42" s="336"/>
      <c r="O42" s="336"/>
    </row>
    <row r="43" spans="1:15">
      <c r="A43" s="341"/>
      <c r="B43" s="1104" t="s">
        <v>717</v>
      </c>
      <c r="C43" s="1105"/>
      <c r="D43" s="1105"/>
      <c r="E43" s="1105"/>
      <c r="F43" s="1105"/>
      <c r="G43" s="1105"/>
      <c r="H43" s="1105"/>
      <c r="I43" s="1105"/>
      <c r="J43" s="1105"/>
      <c r="K43" s="1106"/>
      <c r="L43" s="336"/>
      <c r="M43" s="336"/>
      <c r="N43" s="336"/>
      <c r="O43" s="336"/>
    </row>
    <row r="44" spans="1:15">
      <c r="A44" s="341"/>
      <c r="B44" s="1098" t="s">
        <v>718</v>
      </c>
      <c r="C44" s="1099"/>
      <c r="D44" s="1100"/>
      <c r="E44" s="339" t="s">
        <v>379</v>
      </c>
      <c r="F44" s="339" t="s">
        <v>380</v>
      </c>
      <c r="G44" s="339" t="s">
        <v>381</v>
      </c>
      <c r="H44" s="339" t="s">
        <v>382</v>
      </c>
      <c r="I44" s="339" t="s">
        <v>719</v>
      </c>
      <c r="J44" s="339" t="s">
        <v>720</v>
      </c>
      <c r="K44" s="340" t="s">
        <v>721</v>
      </c>
      <c r="L44" s="336"/>
      <c r="M44" s="336"/>
      <c r="N44" s="336"/>
      <c r="O44" s="336"/>
    </row>
    <row r="45" spans="1:15">
      <c r="A45" s="341"/>
      <c r="B45" s="1098" t="s">
        <v>722</v>
      </c>
      <c r="C45" s="1099"/>
      <c r="D45" s="1100"/>
      <c r="E45" s="339" t="s">
        <v>374</v>
      </c>
      <c r="F45" s="339" t="s">
        <v>375</v>
      </c>
      <c r="G45" s="339" t="s">
        <v>376</v>
      </c>
      <c r="H45" s="339" t="s">
        <v>377</v>
      </c>
      <c r="I45" s="339"/>
      <c r="J45" s="339"/>
      <c r="K45" s="340"/>
      <c r="L45" s="336"/>
      <c r="M45" s="336"/>
      <c r="N45" s="336"/>
      <c r="O45" s="336"/>
    </row>
    <row r="46" spans="1:15">
      <c r="A46" s="341"/>
      <c r="B46" s="1098" t="s">
        <v>723</v>
      </c>
      <c r="C46" s="1099"/>
      <c r="D46" s="1100"/>
      <c r="E46" s="339">
        <v>225</v>
      </c>
      <c r="F46" s="339">
        <v>280</v>
      </c>
      <c r="G46" s="339">
        <v>365</v>
      </c>
      <c r="H46" s="339">
        <v>510</v>
      </c>
      <c r="I46" s="339">
        <v>680</v>
      </c>
      <c r="J46" s="339">
        <v>815</v>
      </c>
      <c r="K46" s="340">
        <v>980</v>
      </c>
      <c r="L46" s="336"/>
      <c r="M46" s="336"/>
      <c r="N46" s="336"/>
      <c r="O46" s="336"/>
    </row>
    <row r="47" spans="1:15">
      <c r="A47" s="341"/>
      <c r="B47" s="1098" t="s">
        <v>724</v>
      </c>
      <c r="C47" s="1099"/>
      <c r="D47" s="1100"/>
      <c r="E47" s="339">
        <v>175</v>
      </c>
      <c r="F47" s="339">
        <v>225</v>
      </c>
      <c r="G47" s="339">
        <v>290</v>
      </c>
      <c r="H47" s="339">
        <v>405</v>
      </c>
      <c r="I47" s="339">
        <v>545</v>
      </c>
      <c r="J47" s="339">
        <v>650</v>
      </c>
      <c r="K47" s="340">
        <v>785</v>
      </c>
      <c r="L47" s="336"/>
      <c r="M47" s="336"/>
      <c r="N47" s="336"/>
      <c r="O47" s="336"/>
    </row>
    <row r="48" spans="1:15">
      <c r="A48" s="341"/>
      <c r="B48" s="1098" t="s">
        <v>725</v>
      </c>
      <c r="C48" s="1099"/>
      <c r="D48" s="1100"/>
      <c r="E48" s="339">
        <v>225</v>
      </c>
      <c r="F48" s="339">
        <v>280</v>
      </c>
      <c r="G48" s="339">
        <v>365</v>
      </c>
      <c r="H48" s="339">
        <v>450</v>
      </c>
      <c r="I48" s="339">
        <v>500</v>
      </c>
      <c r="J48" s="339">
        <v>500</v>
      </c>
      <c r="K48" s="340">
        <v>500</v>
      </c>
      <c r="L48" s="336"/>
      <c r="M48" s="336"/>
      <c r="N48" s="336"/>
      <c r="O48" s="336"/>
    </row>
    <row r="49" spans="1:15" ht="17" thickBot="1">
      <c r="A49" s="338"/>
      <c r="B49" s="1101" t="s">
        <v>727</v>
      </c>
      <c r="C49" s="1102"/>
      <c r="D49" s="1103"/>
      <c r="E49" s="342">
        <v>210000</v>
      </c>
      <c r="F49" s="342">
        <v>210000</v>
      </c>
      <c r="G49" s="342">
        <v>200000</v>
      </c>
      <c r="H49" s="342">
        <v>190000</v>
      </c>
      <c r="I49" s="342">
        <v>190000</v>
      </c>
      <c r="J49" s="342">
        <v>190000</v>
      </c>
      <c r="K49" s="343">
        <v>190000</v>
      </c>
      <c r="L49" s="336"/>
      <c r="M49" s="336"/>
      <c r="N49" s="336"/>
      <c r="O49" s="336"/>
    </row>
  </sheetData>
  <mergeCells count="14">
    <mergeCell ref="B39:D39"/>
    <mergeCell ref="A33:O33"/>
    <mergeCell ref="B35:O35"/>
    <mergeCell ref="B36:D36"/>
    <mergeCell ref="B37:D37"/>
    <mergeCell ref="B38:D38"/>
    <mergeCell ref="B48:D48"/>
    <mergeCell ref="B49:D49"/>
    <mergeCell ref="B40:D40"/>
    <mergeCell ref="B43:K43"/>
    <mergeCell ref="B44:D44"/>
    <mergeCell ref="B45:D45"/>
    <mergeCell ref="B46:D46"/>
    <mergeCell ref="B47:D47"/>
  </mergeCells>
  <phoneticPr fontId="47" type="noConversion"/>
  <dataValidations count="2">
    <dataValidation type="list" allowBlank="1" showInputMessage="1" showErrorMessage="1" sqref="D21 D14 D7 D28" xr:uid="{7D58640B-45A0-42D4-9FF9-D16068DC7951}">
      <formula1>MT</formula1>
    </dataValidation>
    <dataValidation type="list" showInputMessage="1" showErrorMessage="1" sqref="D3" xr:uid="{467BB584-A599-4B53-8F64-CD3FCDEE4821}">
      <formula1>MBT</formula1>
    </dataValidation>
  </dataValidations>
  <pageMargins left="0.7" right="0.7" top="0.75" bottom="0.75" header="0.3" footer="0.3"/>
  <pageSetup paperSize="9"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AC23C-C58A-42AC-A277-14C5101DC0C1}">
  <sheetPr codeName="Sheet21"/>
  <dimension ref="A1:O100"/>
  <sheetViews>
    <sheetView topLeftCell="B28" zoomScale="85" zoomScaleNormal="85" workbookViewId="0">
      <selection activeCell="F36" sqref="F36:G36"/>
    </sheetView>
  </sheetViews>
  <sheetFormatPr defaultColWidth="8.83203125" defaultRowHeight="16.5"/>
  <cols>
    <col min="1" max="1" width="25.6640625" style="406" customWidth="1"/>
    <col min="2" max="2" width="22.83203125" style="406" customWidth="1"/>
    <col min="3" max="3" width="9.08203125" style="406"/>
    <col min="4" max="4" width="16" style="406" customWidth="1"/>
    <col min="5" max="5" width="14.4140625" style="406" customWidth="1"/>
    <col min="6" max="6" width="14.83203125" style="406" customWidth="1"/>
    <col min="7" max="7" width="15" style="406" customWidth="1"/>
    <col min="8" max="8" width="14.4140625" style="487" customWidth="1"/>
    <col min="9" max="9" width="13.6640625" style="406" customWidth="1"/>
    <col min="10" max="10" width="14.6640625" style="406" customWidth="1"/>
    <col min="11" max="11" width="14.4140625" style="406" customWidth="1"/>
    <col min="12" max="13" width="14.08203125" style="406" customWidth="1"/>
    <col min="14" max="14" width="15.33203125" style="406" customWidth="1"/>
    <col min="15" max="15" width="15.83203125" style="406" customWidth="1"/>
    <col min="16" max="256" width="9.08203125" style="406"/>
    <col min="257" max="257" width="25.6640625" style="406" customWidth="1"/>
    <col min="258" max="258" width="22.83203125" style="406" customWidth="1"/>
    <col min="259" max="259" width="9.08203125" style="406"/>
    <col min="260" max="260" width="16" style="406" customWidth="1"/>
    <col min="261" max="261" width="14.4140625" style="406" customWidth="1"/>
    <col min="262" max="262" width="14.83203125" style="406" customWidth="1"/>
    <col min="263" max="263" width="15" style="406" customWidth="1"/>
    <col min="264" max="264" width="14.4140625" style="406" customWidth="1"/>
    <col min="265" max="265" width="13.6640625" style="406" customWidth="1"/>
    <col min="266" max="266" width="14.6640625" style="406" customWidth="1"/>
    <col min="267" max="267" width="14.4140625" style="406" customWidth="1"/>
    <col min="268" max="269" width="14.08203125" style="406" customWidth="1"/>
    <col min="270" max="270" width="15.33203125" style="406" customWidth="1"/>
    <col min="271" max="271" width="15.83203125" style="406" customWidth="1"/>
    <col min="272" max="512" width="9.08203125" style="406"/>
    <col min="513" max="513" width="25.6640625" style="406" customWidth="1"/>
    <col min="514" max="514" width="22.83203125" style="406" customWidth="1"/>
    <col min="515" max="515" width="9.08203125" style="406"/>
    <col min="516" max="516" width="16" style="406" customWidth="1"/>
    <col min="517" max="517" width="14.4140625" style="406" customWidth="1"/>
    <col min="518" max="518" width="14.83203125" style="406" customWidth="1"/>
    <col min="519" max="519" width="15" style="406" customWidth="1"/>
    <col min="520" max="520" width="14.4140625" style="406" customWidth="1"/>
    <col min="521" max="521" width="13.6640625" style="406" customWidth="1"/>
    <col min="522" max="522" width="14.6640625" style="406" customWidth="1"/>
    <col min="523" max="523" width="14.4140625" style="406" customWidth="1"/>
    <col min="524" max="525" width="14.08203125" style="406" customWidth="1"/>
    <col min="526" max="526" width="15.33203125" style="406" customWidth="1"/>
    <col min="527" max="527" width="15.83203125" style="406" customWidth="1"/>
    <col min="528" max="768" width="9.08203125" style="406"/>
    <col min="769" max="769" width="25.6640625" style="406" customWidth="1"/>
    <col min="770" max="770" width="22.83203125" style="406" customWidth="1"/>
    <col min="771" max="771" width="9.08203125" style="406"/>
    <col min="772" max="772" width="16" style="406" customWidth="1"/>
    <col min="773" max="773" width="14.4140625" style="406" customWidth="1"/>
    <col min="774" max="774" width="14.83203125" style="406" customWidth="1"/>
    <col min="775" max="775" width="15" style="406" customWidth="1"/>
    <col min="776" max="776" width="14.4140625" style="406" customWidth="1"/>
    <col min="777" max="777" width="13.6640625" style="406" customWidth="1"/>
    <col min="778" max="778" width="14.6640625" style="406" customWidth="1"/>
    <col min="779" max="779" width="14.4140625" style="406" customWidth="1"/>
    <col min="780" max="781" width="14.08203125" style="406" customWidth="1"/>
    <col min="782" max="782" width="15.33203125" style="406" customWidth="1"/>
    <col min="783" max="783" width="15.83203125" style="406" customWidth="1"/>
    <col min="784" max="1024" width="9.08203125" style="406"/>
    <col min="1025" max="1025" width="25.6640625" style="406" customWidth="1"/>
    <col min="1026" max="1026" width="22.83203125" style="406" customWidth="1"/>
    <col min="1027" max="1027" width="9.08203125" style="406"/>
    <col min="1028" max="1028" width="16" style="406" customWidth="1"/>
    <col min="1029" max="1029" width="14.4140625" style="406" customWidth="1"/>
    <col min="1030" max="1030" width="14.83203125" style="406" customWidth="1"/>
    <col min="1031" max="1031" width="15" style="406" customWidth="1"/>
    <col min="1032" max="1032" width="14.4140625" style="406" customWidth="1"/>
    <col min="1033" max="1033" width="13.6640625" style="406" customWidth="1"/>
    <col min="1034" max="1034" width="14.6640625" style="406" customWidth="1"/>
    <col min="1035" max="1035" width="14.4140625" style="406" customWidth="1"/>
    <col min="1036" max="1037" width="14.08203125" style="406" customWidth="1"/>
    <col min="1038" max="1038" width="15.33203125" style="406" customWidth="1"/>
    <col min="1039" max="1039" width="15.83203125" style="406" customWidth="1"/>
    <col min="1040" max="1280" width="9.08203125" style="406"/>
    <col min="1281" max="1281" width="25.6640625" style="406" customWidth="1"/>
    <col min="1282" max="1282" width="22.83203125" style="406" customWidth="1"/>
    <col min="1283" max="1283" width="9.08203125" style="406"/>
    <col min="1284" max="1284" width="16" style="406" customWidth="1"/>
    <col min="1285" max="1285" width="14.4140625" style="406" customWidth="1"/>
    <col min="1286" max="1286" width="14.83203125" style="406" customWidth="1"/>
    <col min="1287" max="1287" width="15" style="406" customWidth="1"/>
    <col min="1288" max="1288" width="14.4140625" style="406" customWidth="1"/>
    <col min="1289" max="1289" width="13.6640625" style="406" customWidth="1"/>
    <col min="1290" max="1290" width="14.6640625" style="406" customWidth="1"/>
    <col min="1291" max="1291" width="14.4140625" style="406" customWidth="1"/>
    <col min="1292" max="1293" width="14.08203125" style="406" customWidth="1"/>
    <col min="1294" max="1294" width="15.33203125" style="406" customWidth="1"/>
    <col min="1295" max="1295" width="15.83203125" style="406" customWidth="1"/>
    <col min="1296" max="1536" width="9.08203125" style="406"/>
    <col min="1537" max="1537" width="25.6640625" style="406" customWidth="1"/>
    <col min="1538" max="1538" width="22.83203125" style="406" customWidth="1"/>
    <col min="1539" max="1539" width="9.08203125" style="406"/>
    <col min="1540" max="1540" width="16" style="406" customWidth="1"/>
    <col min="1541" max="1541" width="14.4140625" style="406" customWidth="1"/>
    <col min="1542" max="1542" width="14.83203125" style="406" customWidth="1"/>
    <col min="1543" max="1543" width="15" style="406" customWidth="1"/>
    <col min="1544" max="1544" width="14.4140625" style="406" customWidth="1"/>
    <col min="1545" max="1545" width="13.6640625" style="406" customWidth="1"/>
    <col min="1546" max="1546" width="14.6640625" style="406" customWidth="1"/>
    <col min="1547" max="1547" width="14.4140625" style="406" customWidth="1"/>
    <col min="1548" max="1549" width="14.08203125" style="406" customWidth="1"/>
    <col min="1550" max="1550" width="15.33203125" style="406" customWidth="1"/>
    <col min="1551" max="1551" width="15.83203125" style="406" customWidth="1"/>
    <col min="1552" max="1792" width="9.08203125" style="406"/>
    <col min="1793" max="1793" width="25.6640625" style="406" customWidth="1"/>
    <col min="1794" max="1794" width="22.83203125" style="406" customWidth="1"/>
    <col min="1795" max="1795" width="9.08203125" style="406"/>
    <col min="1796" max="1796" width="16" style="406" customWidth="1"/>
    <col min="1797" max="1797" width="14.4140625" style="406" customWidth="1"/>
    <col min="1798" max="1798" width="14.83203125" style="406" customWidth="1"/>
    <col min="1799" max="1799" width="15" style="406" customWidth="1"/>
    <col min="1800" max="1800" width="14.4140625" style="406" customWidth="1"/>
    <col min="1801" max="1801" width="13.6640625" style="406" customWidth="1"/>
    <col min="1802" max="1802" width="14.6640625" style="406" customWidth="1"/>
    <col min="1803" max="1803" width="14.4140625" style="406" customWidth="1"/>
    <col min="1804" max="1805" width="14.08203125" style="406" customWidth="1"/>
    <col min="1806" max="1806" width="15.33203125" style="406" customWidth="1"/>
    <col min="1807" max="1807" width="15.83203125" style="406" customWidth="1"/>
    <col min="1808" max="2048" width="9.08203125" style="406"/>
    <col min="2049" max="2049" width="25.6640625" style="406" customWidth="1"/>
    <col min="2050" max="2050" width="22.83203125" style="406" customWidth="1"/>
    <col min="2051" max="2051" width="9.08203125" style="406"/>
    <col min="2052" max="2052" width="16" style="406" customWidth="1"/>
    <col min="2053" max="2053" width="14.4140625" style="406" customWidth="1"/>
    <col min="2054" max="2054" width="14.83203125" style="406" customWidth="1"/>
    <col min="2055" max="2055" width="15" style="406" customWidth="1"/>
    <col min="2056" max="2056" width="14.4140625" style="406" customWidth="1"/>
    <col min="2057" max="2057" width="13.6640625" style="406" customWidth="1"/>
    <col min="2058" max="2058" width="14.6640625" style="406" customWidth="1"/>
    <col min="2059" max="2059" width="14.4140625" style="406" customWidth="1"/>
    <col min="2060" max="2061" width="14.08203125" style="406" customWidth="1"/>
    <col min="2062" max="2062" width="15.33203125" style="406" customWidth="1"/>
    <col min="2063" max="2063" width="15.83203125" style="406" customWidth="1"/>
    <col min="2064" max="2304" width="9.08203125" style="406"/>
    <col min="2305" max="2305" width="25.6640625" style="406" customWidth="1"/>
    <col min="2306" max="2306" width="22.83203125" style="406" customWidth="1"/>
    <col min="2307" max="2307" width="9.08203125" style="406"/>
    <col min="2308" max="2308" width="16" style="406" customWidth="1"/>
    <col min="2309" max="2309" width="14.4140625" style="406" customWidth="1"/>
    <col min="2310" max="2310" width="14.83203125" style="406" customWidth="1"/>
    <col min="2311" max="2311" width="15" style="406" customWidth="1"/>
    <col min="2312" max="2312" width="14.4140625" style="406" customWidth="1"/>
    <col min="2313" max="2313" width="13.6640625" style="406" customWidth="1"/>
    <col min="2314" max="2314" width="14.6640625" style="406" customWidth="1"/>
    <col min="2315" max="2315" width="14.4140625" style="406" customWidth="1"/>
    <col min="2316" max="2317" width="14.08203125" style="406" customWidth="1"/>
    <col min="2318" max="2318" width="15.33203125" style="406" customWidth="1"/>
    <col min="2319" max="2319" width="15.83203125" style="406" customWidth="1"/>
    <col min="2320" max="2560" width="9.08203125" style="406"/>
    <col min="2561" max="2561" width="25.6640625" style="406" customWidth="1"/>
    <col min="2562" max="2562" width="22.83203125" style="406" customWidth="1"/>
    <col min="2563" max="2563" width="9.08203125" style="406"/>
    <col min="2564" max="2564" width="16" style="406" customWidth="1"/>
    <col min="2565" max="2565" width="14.4140625" style="406" customWidth="1"/>
    <col min="2566" max="2566" width="14.83203125" style="406" customWidth="1"/>
    <col min="2567" max="2567" width="15" style="406" customWidth="1"/>
    <col min="2568" max="2568" width="14.4140625" style="406" customWidth="1"/>
    <col min="2569" max="2569" width="13.6640625" style="406" customWidth="1"/>
    <col min="2570" max="2570" width="14.6640625" style="406" customWidth="1"/>
    <col min="2571" max="2571" width="14.4140625" style="406" customWidth="1"/>
    <col min="2572" max="2573" width="14.08203125" style="406" customWidth="1"/>
    <col min="2574" max="2574" width="15.33203125" style="406" customWidth="1"/>
    <col min="2575" max="2575" width="15.83203125" style="406" customWidth="1"/>
    <col min="2576" max="2816" width="9.08203125" style="406"/>
    <col min="2817" max="2817" width="25.6640625" style="406" customWidth="1"/>
    <col min="2818" max="2818" width="22.83203125" style="406" customWidth="1"/>
    <col min="2819" max="2819" width="9.08203125" style="406"/>
    <col min="2820" max="2820" width="16" style="406" customWidth="1"/>
    <col min="2821" max="2821" width="14.4140625" style="406" customWidth="1"/>
    <col min="2822" max="2822" width="14.83203125" style="406" customWidth="1"/>
    <col min="2823" max="2823" width="15" style="406" customWidth="1"/>
    <col min="2824" max="2824" width="14.4140625" style="406" customWidth="1"/>
    <col min="2825" max="2825" width="13.6640625" style="406" customWidth="1"/>
    <col min="2826" max="2826" width="14.6640625" style="406" customWidth="1"/>
    <col min="2827" max="2827" width="14.4140625" style="406" customWidth="1"/>
    <col min="2828" max="2829" width="14.08203125" style="406" customWidth="1"/>
    <col min="2830" max="2830" width="15.33203125" style="406" customWidth="1"/>
    <col min="2831" max="2831" width="15.83203125" style="406" customWidth="1"/>
    <col min="2832" max="3072" width="9.08203125" style="406"/>
    <col min="3073" max="3073" width="25.6640625" style="406" customWidth="1"/>
    <col min="3074" max="3074" width="22.83203125" style="406" customWidth="1"/>
    <col min="3075" max="3075" width="9.08203125" style="406"/>
    <col min="3076" max="3076" width="16" style="406" customWidth="1"/>
    <col min="3077" max="3077" width="14.4140625" style="406" customWidth="1"/>
    <col min="3078" max="3078" width="14.83203125" style="406" customWidth="1"/>
    <col min="3079" max="3079" width="15" style="406" customWidth="1"/>
    <col min="3080" max="3080" width="14.4140625" style="406" customWidth="1"/>
    <col min="3081" max="3081" width="13.6640625" style="406" customWidth="1"/>
    <col min="3082" max="3082" width="14.6640625" style="406" customWidth="1"/>
    <col min="3083" max="3083" width="14.4140625" style="406" customWidth="1"/>
    <col min="3084" max="3085" width="14.08203125" style="406" customWidth="1"/>
    <col min="3086" max="3086" width="15.33203125" style="406" customWidth="1"/>
    <col min="3087" max="3087" width="15.83203125" style="406" customWidth="1"/>
    <col min="3088" max="3328" width="9.08203125" style="406"/>
    <col min="3329" max="3329" width="25.6640625" style="406" customWidth="1"/>
    <col min="3330" max="3330" width="22.83203125" style="406" customWidth="1"/>
    <col min="3331" max="3331" width="9.08203125" style="406"/>
    <col min="3332" max="3332" width="16" style="406" customWidth="1"/>
    <col min="3333" max="3333" width="14.4140625" style="406" customWidth="1"/>
    <col min="3334" max="3334" width="14.83203125" style="406" customWidth="1"/>
    <col min="3335" max="3335" width="15" style="406" customWidth="1"/>
    <col min="3336" max="3336" width="14.4140625" style="406" customWidth="1"/>
    <col min="3337" max="3337" width="13.6640625" style="406" customWidth="1"/>
    <col min="3338" max="3338" width="14.6640625" style="406" customWidth="1"/>
    <col min="3339" max="3339" width="14.4140625" style="406" customWidth="1"/>
    <col min="3340" max="3341" width="14.08203125" style="406" customWidth="1"/>
    <col min="3342" max="3342" width="15.33203125" style="406" customWidth="1"/>
    <col min="3343" max="3343" width="15.83203125" style="406" customWidth="1"/>
    <col min="3344" max="3584" width="9.08203125" style="406"/>
    <col min="3585" max="3585" width="25.6640625" style="406" customWidth="1"/>
    <col min="3586" max="3586" width="22.83203125" style="406" customWidth="1"/>
    <col min="3587" max="3587" width="9.08203125" style="406"/>
    <col min="3588" max="3588" width="16" style="406" customWidth="1"/>
    <col min="3589" max="3589" width="14.4140625" style="406" customWidth="1"/>
    <col min="3590" max="3590" width="14.83203125" style="406" customWidth="1"/>
    <col min="3591" max="3591" width="15" style="406" customWidth="1"/>
    <col min="3592" max="3592" width="14.4140625" style="406" customWidth="1"/>
    <col min="3593" max="3593" width="13.6640625" style="406" customWidth="1"/>
    <col min="3594" max="3594" width="14.6640625" style="406" customWidth="1"/>
    <col min="3595" max="3595" width="14.4140625" style="406" customWidth="1"/>
    <col min="3596" max="3597" width="14.08203125" style="406" customWidth="1"/>
    <col min="3598" max="3598" width="15.33203125" style="406" customWidth="1"/>
    <col min="3599" max="3599" width="15.83203125" style="406" customWidth="1"/>
    <col min="3600" max="3840" width="9.08203125" style="406"/>
    <col min="3841" max="3841" width="25.6640625" style="406" customWidth="1"/>
    <col min="3842" max="3842" width="22.83203125" style="406" customWidth="1"/>
    <col min="3843" max="3843" width="9.08203125" style="406"/>
    <col min="3844" max="3844" width="16" style="406" customWidth="1"/>
    <col min="3845" max="3845" width="14.4140625" style="406" customWidth="1"/>
    <col min="3846" max="3846" width="14.83203125" style="406" customWidth="1"/>
    <col min="3847" max="3847" width="15" style="406" customWidth="1"/>
    <col min="3848" max="3848" width="14.4140625" style="406" customWidth="1"/>
    <col min="3849" max="3849" width="13.6640625" style="406" customWidth="1"/>
    <col min="3850" max="3850" width="14.6640625" style="406" customWidth="1"/>
    <col min="3851" max="3851" width="14.4140625" style="406" customWidth="1"/>
    <col min="3852" max="3853" width="14.08203125" style="406" customWidth="1"/>
    <col min="3854" max="3854" width="15.33203125" style="406" customWidth="1"/>
    <col min="3855" max="3855" width="15.83203125" style="406" customWidth="1"/>
    <col min="3856" max="4096" width="9.08203125" style="406"/>
    <col min="4097" max="4097" width="25.6640625" style="406" customWidth="1"/>
    <col min="4098" max="4098" width="22.83203125" style="406" customWidth="1"/>
    <col min="4099" max="4099" width="9.08203125" style="406"/>
    <col min="4100" max="4100" width="16" style="406" customWidth="1"/>
    <col min="4101" max="4101" width="14.4140625" style="406" customWidth="1"/>
    <col min="4102" max="4102" width="14.83203125" style="406" customWidth="1"/>
    <col min="4103" max="4103" width="15" style="406" customWidth="1"/>
    <col min="4104" max="4104" width="14.4140625" style="406" customWidth="1"/>
    <col min="4105" max="4105" width="13.6640625" style="406" customWidth="1"/>
    <col min="4106" max="4106" width="14.6640625" style="406" customWidth="1"/>
    <col min="4107" max="4107" width="14.4140625" style="406" customWidth="1"/>
    <col min="4108" max="4109" width="14.08203125" style="406" customWidth="1"/>
    <col min="4110" max="4110" width="15.33203125" style="406" customWidth="1"/>
    <col min="4111" max="4111" width="15.83203125" style="406" customWidth="1"/>
    <col min="4112" max="4352" width="9.08203125" style="406"/>
    <col min="4353" max="4353" width="25.6640625" style="406" customWidth="1"/>
    <col min="4354" max="4354" width="22.83203125" style="406" customWidth="1"/>
    <col min="4355" max="4355" width="9.08203125" style="406"/>
    <col min="4356" max="4356" width="16" style="406" customWidth="1"/>
    <col min="4357" max="4357" width="14.4140625" style="406" customWidth="1"/>
    <col min="4358" max="4358" width="14.83203125" style="406" customWidth="1"/>
    <col min="4359" max="4359" width="15" style="406" customWidth="1"/>
    <col min="4360" max="4360" width="14.4140625" style="406" customWidth="1"/>
    <col min="4361" max="4361" width="13.6640625" style="406" customWidth="1"/>
    <col min="4362" max="4362" width="14.6640625" style="406" customWidth="1"/>
    <col min="4363" max="4363" width="14.4140625" style="406" customWidth="1"/>
    <col min="4364" max="4365" width="14.08203125" style="406" customWidth="1"/>
    <col min="4366" max="4366" width="15.33203125" style="406" customWidth="1"/>
    <col min="4367" max="4367" width="15.83203125" style="406" customWidth="1"/>
    <col min="4368" max="4608" width="9.08203125" style="406"/>
    <col min="4609" max="4609" width="25.6640625" style="406" customWidth="1"/>
    <col min="4610" max="4610" width="22.83203125" style="406" customWidth="1"/>
    <col min="4611" max="4611" width="9.08203125" style="406"/>
    <col min="4612" max="4612" width="16" style="406" customWidth="1"/>
    <col min="4613" max="4613" width="14.4140625" style="406" customWidth="1"/>
    <col min="4614" max="4614" width="14.83203125" style="406" customWidth="1"/>
    <col min="4615" max="4615" width="15" style="406" customWidth="1"/>
    <col min="4616" max="4616" width="14.4140625" style="406" customWidth="1"/>
    <col min="4617" max="4617" width="13.6640625" style="406" customWidth="1"/>
    <col min="4618" max="4618" width="14.6640625" style="406" customWidth="1"/>
    <col min="4619" max="4619" width="14.4140625" style="406" customWidth="1"/>
    <col min="4620" max="4621" width="14.08203125" style="406" customWidth="1"/>
    <col min="4622" max="4622" width="15.33203125" style="406" customWidth="1"/>
    <col min="4623" max="4623" width="15.83203125" style="406" customWidth="1"/>
    <col min="4624" max="4864" width="9.08203125" style="406"/>
    <col min="4865" max="4865" width="25.6640625" style="406" customWidth="1"/>
    <col min="4866" max="4866" width="22.83203125" style="406" customWidth="1"/>
    <col min="4867" max="4867" width="9.08203125" style="406"/>
    <col min="4868" max="4868" width="16" style="406" customWidth="1"/>
    <col min="4869" max="4869" width="14.4140625" style="406" customWidth="1"/>
    <col min="4870" max="4870" width="14.83203125" style="406" customWidth="1"/>
    <col min="4871" max="4871" width="15" style="406" customWidth="1"/>
    <col min="4872" max="4872" width="14.4140625" style="406" customWidth="1"/>
    <col min="4873" max="4873" width="13.6640625" style="406" customWidth="1"/>
    <col min="4874" max="4874" width="14.6640625" style="406" customWidth="1"/>
    <col min="4875" max="4875" width="14.4140625" style="406" customWidth="1"/>
    <col min="4876" max="4877" width="14.08203125" style="406" customWidth="1"/>
    <col min="4878" max="4878" width="15.33203125" style="406" customWidth="1"/>
    <col min="4879" max="4879" width="15.83203125" style="406" customWidth="1"/>
    <col min="4880" max="5120" width="9.08203125" style="406"/>
    <col min="5121" max="5121" width="25.6640625" style="406" customWidth="1"/>
    <col min="5122" max="5122" width="22.83203125" style="406" customWidth="1"/>
    <col min="5123" max="5123" width="9.08203125" style="406"/>
    <col min="5124" max="5124" width="16" style="406" customWidth="1"/>
    <col min="5125" max="5125" width="14.4140625" style="406" customWidth="1"/>
    <col min="5126" max="5126" width="14.83203125" style="406" customWidth="1"/>
    <col min="5127" max="5127" width="15" style="406" customWidth="1"/>
    <col min="5128" max="5128" width="14.4140625" style="406" customWidth="1"/>
    <col min="5129" max="5129" width="13.6640625" style="406" customWidth="1"/>
    <col min="5130" max="5130" width="14.6640625" style="406" customWidth="1"/>
    <col min="5131" max="5131" width="14.4140625" style="406" customWidth="1"/>
    <col min="5132" max="5133" width="14.08203125" style="406" customWidth="1"/>
    <col min="5134" max="5134" width="15.33203125" style="406" customWidth="1"/>
    <col min="5135" max="5135" width="15.83203125" style="406" customWidth="1"/>
    <col min="5136" max="5376" width="9.08203125" style="406"/>
    <col min="5377" max="5377" width="25.6640625" style="406" customWidth="1"/>
    <col min="5378" max="5378" width="22.83203125" style="406" customWidth="1"/>
    <col min="5379" max="5379" width="9.08203125" style="406"/>
    <col min="5380" max="5380" width="16" style="406" customWidth="1"/>
    <col min="5381" max="5381" width="14.4140625" style="406" customWidth="1"/>
    <col min="5382" max="5382" width="14.83203125" style="406" customWidth="1"/>
    <col min="5383" max="5383" width="15" style="406" customWidth="1"/>
    <col min="5384" max="5384" width="14.4140625" style="406" customWidth="1"/>
    <col min="5385" max="5385" width="13.6640625" style="406" customWidth="1"/>
    <col min="5386" max="5386" width="14.6640625" style="406" customWidth="1"/>
    <col min="5387" max="5387" width="14.4140625" style="406" customWidth="1"/>
    <col min="5388" max="5389" width="14.08203125" style="406" customWidth="1"/>
    <col min="5390" max="5390" width="15.33203125" style="406" customWidth="1"/>
    <col min="5391" max="5391" width="15.83203125" style="406" customWidth="1"/>
    <col min="5392" max="5632" width="9.08203125" style="406"/>
    <col min="5633" max="5633" width="25.6640625" style="406" customWidth="1"/>
    <col min="5634" max="5634" width="22.83203125" style="406" customWidth="1"/>
    <col min="5635" max="5635" width="9.08203125" style="406"/>
    <col min="5636" max="5636" width="16" style="406" customWidth="1"/>
    <col min="5637" max="5637" width="14.4140625" style="406" customWidth="1"/>
    <col min="5638" max="5638" width="14.83203125" style="406" customWidth="1"/>
    <col min="5639" max="5639" width="15" style="406" customWidth="1"/>
    <col min="5640" max="5640" width="14.4140625" style="406" customWidth="1"/>
    <col min="5641" max="5641" width="13.6640625" style="406" customWidth="1"/>
    <col min="5642" max="5642" width="14.6640625" style="406" customWidth="1"/>
    <col min="5643" max="5643" width="14.4140625" style="406" customWidth="1"/>
    <col min="5644" max="5645" width="14.08203125" style="406" customWidth="1"/>
    <col min="5646" max="5646" width="15.33203125" style="406" customWidth="1"/>
    <col min="5647" max="5647" width="15.83203125" style="406" customWidth="1"/>
    <col min="5648" max="5888" width="9.08203125" style="406"/>
    <col min="5889" max="5889" width="25.6640625" style="406" customWidth="1"/>
    <col min="5890" max="5890" width="22.83203125" style="406" customWidth="1"/>
    <col min="5891" max="5891" width="9.08203125" style="406"/>
    <col min="5892" max="5892" width="16" style="406" customWidth="1"/>
    <col min="5893" max="5893" width="14.4140625" style="406" customWidth="1"/>
    <col min="5894" max="5894" width="14.83203125" style="406" customWidth="1"/>
    <col min="5895" max="5895" width="15" style="406" customWidth="1"/>
    <col min="5896" max="5896" width="14.4140625" style="406" customWidth="1"/>
    <col min="5897" max="5897" width="13.6640625" style="406" customWidth="1"/>
    <col min="5898" max="5898" width="14.6640625" style="406" customWidth="1"/>
    <col min="5899" max="5899" width="14.4140625" style="406" customWidth="1"/>
    <col min="5900" max="5901" width="14.08203125" style="406" customWidth="1"/>
    <col min="5902" max="5902" width="15.33203125" style="406" customWidth="1"/>
    <col min="5903" max="5903" width="15.83203125" style="406" customWidth="1"/>
    <col min="5904" max="6144" width="9.08203125" style="406"/>
    <col min="6145" max="6145" width="25.6640625" style="406" customWidth="1"/>
    <col min="6146" max="6146" width="22.83203125" style="406" customWidth="1"/>
    <col min="6147" max="6147" width="9.08203125" style="406"/>
    <col min="6148" max="6148" width="16" style="406" customWidth="1"/>
    <col min="6149" max="6149" width="14.4140625" style="406" customWidth="1"/>
    <col min="6150" max="6150" width="14.83203125" style="406" customWidth="1"/>
    <col min="6151" max="6151" width="15" style="406" customWidth="1"/>
    <col min="6152" max="6152" width="14.4140625" style="406" customWidth="1"/>
    <col min="6153" max="6153" width="13.6640625" style="406" customWidth="1"/>
    <col min="6154" max="6154" width="14.6640625" style="406" customWidth="1"/>
    <col min="6155" max="6155" width="14.4140625" style="406" customWidth="1"/>
    <col min="6156" max="6157" width="14.08203125" style="406" customWidth="1"/>
    <col min="6158" max="6158" width="15.33203125" style="406" customWidth="1"/>
    <col min="6159" max="6159" width="15.83203125" style="406" customWidth="1"/>
    <col min="6160" max="6400" width="9.08203125" style="406"/>
    <col min="6401" max="6401" width="25.6640625" style="406" customWidth="1"/>
    <col min="6402" max="6402" width="22.83203125" style="406" customWidth="1"/>
    <col min="6403" max="6403" width="9.08203125" style="406"/>
    <col min="6404" max="6404" width="16" style="406" customWidth="1"/>
    <col min="6405" max="6405" width="14.4140625" style="406" customWidth="1"/>
    <col min="6406" max="6406" width="14.83203125" style="406" customWidth="1"/>
    <col min="6407" max="6407" width="15" style="406" customWidth="1"/>
    <col min="6408" max="6408" width="14.4140625" style="406" customWidth="1"/>
    <col min="6409" max="6409" width="13.6640625" style="406" customWidth="1"/>
    <col min="6410" max="6410" width="14.6640625" style="406" customWidth="1"/>
    <col min="6411" max="6411" width="14.4140625" style="406" customWidth="1"/>
    <col min="6412" max="6413" width="14.08203125" style="406" customWidth="1"/>
    <col min="6414" max="6414" width="15.33203125" style="406" customWidth="1"/>
    <col min="6415" max="6415" width="15.83203125" style="406" customWidth="1"/>
    <col min="6416" max="6656" width="9.08203125" style="406"/>
    <col min="6657" max="6657" width="25.6640625" style="406" customWidth="1"/>
    <col min="6658" max="6658" width="22.83203125" style="406" customWidth="1"/>
    <col min="6659" max="6659" width="9.08203125" style="406"/>
    <col min="6660" max="6660" width="16" style="406" customWidth="1"/>
    <col min="6661" max="6661" width="14.4140625" style="406" customWidth="1"/>
    <col min="6662" max="6662" width="14.83203125" style="406" customWidth="1"/>
    <col min="6663" max="6663" width="15" style="406" customWidth="1"/>
    <col min="6664" max="6664" width="14.4140625" style="406" customWidth="1"/>
    <col min="6665" max="6665" width="13.6640625" style="406" customWidth="1"/>
    <col min="6666" max="6666" width="14.6640625" style="406" customWidth="1"/>
    <col min="6667" max="6667" width="14.4140625" style="406" customWidth="1"/>
    <col min="6668" max="6669" width="14.08203125" style="406" customWidth="1"/>
    <col min="6670" max="6670" width="15.33203125" style="406" customWidth="1"/>
    <col min="6671" max="6671" width="15.83203125" style="406" customWidth="1"/>
    <col min="6672" max="6912" width="9.08203125" style="406"/>
    <col min="6913" max="6913" width="25.6640625" style="406" customWidth="1"/>
    <col min="6914" max="6914" width="22.83203125" style="406" customWidth="1"/>
    <col min="6915" max="6915" width="9.08203125" style="406"/>
    <col min="6916" max="6916" width="16" style="406" customWidth="1"/>
    <col min="6917" max="6917" width="14.4140625" style="406" customWidth="1"/>
    <col min="6918" max="6918" width="14.83203125" style="406" customWidth="1"/>
    <col min="6919" max="6919" width="15" style="406" customWidth="1"/>
    <col min="6920" max="6920" width="14.4140625" style="406" customWidth="1"/>
    <col min="6921" max="6921" width="13.6640625" style="406" customWidth="1"/>
    <col min="6922" max="6922" width="14.6640625" style="406" customWidth="1"/>
    <col min="6923" max="6923" width="14.4140625" style="406" customWidth="1"/>
    <col min="6924" max="6925" width="14.08203125" style="406" customWidth="1"/>
    <col min="6926" max="6926" width="15.33203125" style="406" customWidth="1"/>
    <col min="6927" max="6927" width="15.83203125" style="406" customWidth="1"/>
    <col min="6928" max="7168" width="9.08203125" style="406"/>
    <col min="7169" max="7169" width="25.6640625" style="406" customWidth="1"/>
    <col min="7170" max="7170" width="22.83203125" style="406" customWidth="1"/>
    <col min="7171" max="7171" width="9.08203125" style="406"/>
    <col min="7172" max="7172" width="16" style="406" customWidth="1"/>
    <col min="7173" max="7173" width="14.4140625" style="406" customWidth="1"/>
    <col min="7174" max="7174" width="14.83203125" style="406" customWidth="1"/>
    <col min="7175" max="7175" width="15" style="406" customWidth="1"/>
    <col min="7176" max="7176" width="14.4140625" style="406" customWidth="1"/>
    <col min="7177" max="7177" width="13.6640625" style="406" customWidth="1"/>
    <col min="7178" max="7178" width="14.6640625" style="406" customWidth="1"/>
    <col min="7179" max="7179" width="14.4140625" style="406" customWidth="1"/>
    <col min="7180" max="7181" width="14.08203125" style="406" customWidth="1"/>
    <col min="7182" max="7182" width="15.33203125" style="406" customWidth="1"/>
    <col min="7183" max="7183" width="15.83203125" style="406" customWidth="1"/>
    <col min="7184" max="7424" width="9.08203125" style="406"/>
    <col min="7425" max="7425" width="25.6640625" style="406" customWidth="1"/>
    <col min="7426" max="7426" width="22.83203125" style="406" customWidth="1"/>
    <col min="7427" max="7427" width="9.08203125" style="406"/>
    <col min="7428" max="7428" width="16" style="406" customWidth="1"/>
    <col min="7429" max="7429" width="14.4140625" style="406" customWidth="1"/>
    <col min="7430" max="7430" width="14.83203125" style="406" customWidth="1"/>
    <col min="7431" max="7431" width="15" style="406" customWidth="1"/>
    <col min="7432" max="7432" width="14.4140625" style="406" customWidth="1"/>
    <col min="7433" max="7433" width="13.6640625" style="406" customWidth="1"/>
    <col min="7434" max="7434" width="14.6640625" style="406" customWidth="1"/>
    <col min="7435" max="7435" width="14.4140625" style="406" customWidth="1"/>
    <col min="7436" max="7437" width="14.08203125" style="406" customWidth="1"/>
    <col min="7438" max="7438" width="15.33203125" style="406" customWidth="1"/>
    <col min="7439" max="7439" width="15.83203125" style="406" customWidth="1"/>
    <col min="7440" max="7680" width="9.08203125" style="406"/>
    <col min="7681" max="7681" width="25.6640625" style="406" customWidth="1"/>
    <col min="7682" max="7682" width="22.83203125" style="406" customWidth="1"/>
    <col min="7683" max="7683" width="9.08203125" style="406"/>
    <col min="7684" max="7684" width="16" style="406" customWidth="1"/>
    <col min="7685" max="7685" width="14.4140625" style="406" customWidth="1"/>
    <col min="7686" max="7686" width="14.83203125" style="406" customWidth="1"/>
    <col min="7687" max="7687" width="15" style="406" customWidth="1"/>
    <col min="7688" max="7688" width="14.4140625" style="406" customWidth="1"/>
    <col min="7689" max="7689" width="13.6640625" style="406" customWidth="1"/>
    <col min="7690" max="7690" width="14.6640625" style="406" customWidth="1"/>
    <col min="7691" max="7691" width="14.4140625" style="406" customWidth="1"/>
    <col min="7692" max="7693" width="14.08203125" style="406" customWidth="1"/>
    <col min="7694" max="7694" width="15.33203125" style="406" customWidth="1"/>
    <col min="7695" max="7695" width="15.83203125" style="406" customWidth="1"/>
    <col min="7696" max="7936" width="9.08203125" style="406"/>
    <col min="7937" max="7937" width="25.6640625" style="406" customWidth="1"/>
    <col min="7938" max="7938" width="22.83203125" style="406" customWidth="1"/>
    <col min="7939" max="7939" width="9.08203125" style="406"/>
    <col min="7940" max="7940" width="16" style="406" customWidth="1"/>
    <col min="7941" max="7941" width="14.4140625" style="406" customWidth="1"/>
    <col min="7942" max="7942" width="14.83203125" style="406" customWidth="1"/>
    <col min="7943" max="7943" width="15" style="406" customWidth="1"/>
    <col min="7944" max="7944" width="14.4140625" style="406" customWidth="1"/>
    <col min="7945" max="7945" width="13.6640625" style="406" customWidth="1"/>
    <col min="7946" max="7946" width="14.6640625" style="406" customWidth="1"/>
    <col min="7947" max="7947" width="14.4140625" style="406" customWidth="1"/>
    <col min="7948" max="7949" width="14.08203125" style="406" customWidth="1"/>
    <col min="7950" max="7950" width="15.33203125" style="406" customWidth="1"/>
    <col min="7951" max="7951" width="15.83203125" style="406" customWidth="1"/>
    <col min="7952" max="8192" width="9.08203125" style="406"/>
    <col min="8193" max="8193" width="25.6640625" style="406" customWidth="1"/>
    <col min="8194" max="8194" width="22.83203125" style="406" customWidth="1"/>
    <col min="8195" max="8195" width="9.08203125" style="406"/>
    <col min="8196" max="8196" width="16" style="406" customWidth="1"/>
    <col min="8197" max="8197" width="14.4140625" style="406" customWidth="1"/>
    <col min="8198" max="8198" width="14.83203125" style="406" customWidth="1"/>
    <col min="8199" max="8199" width="15" style="406" customWidth="1"/>
    <col min="8200" max="8200" width="14.4140625" style="406" customWidth="1"/>
    <col min="8201" max="8201" width="13.6640625" style="406" customWidth="1"/>
    <col min="8202" max="8202" width="14.6640625" style="406" customWidth="1"/>
    <col min="8203" max="8203" width="14.4140625" style="406" customWidth="1"/>
    <col min="8204" max="8205" width="14.08203125" style="406" customWidth="1"/>
    <col min="8206" max="8206" width="15.33203125" style="406" customWidth="1"/>
    <col min="8207" max="8207" width="15.83203125" style="406" customWidth="1"/>
    <col min="8208" max="8448" width="9.08203125" style="406"/>
    <col min="8449" max="8449" width="25.6640625" style="406" customWidth="1"/>
    <col min="8450" max="8450" width="22.83203125" style="406" customWidth="1"/>
    <col min="8451" max="8451" width="9.08203125" style="406"/>
    <col min="8452" max="8452" width="16" style="406" customWidth="1"/>
    <col min="8453" max="8453" width="14.4140625" style="406" customWidth="1"/>
    <col min="8454" max="8454" width="14.83203125" style="406" customWidth="1"/>
    <col min="8455" max="8455" width="15" style="406" customWidth="1"/>
    <col min="8456" max="8456" width="14.4140625" style="406" customWidth="1"/>
    <col min="8457" max="8457" width="13.6640625" style="406" customWidth="1"/>
    <col min="8458" max="8458" width="14.6640625" style="406" customWidth="1"/>
    <col min="8459" max="8459" width="14.4140625" style="406" customWidth="1"/>
    <col min="8460" max="8461" width="14.08203125" style="406" customWidth="1"/>
    <col min="8462" max="8462" width="15.33203125" style="406" customWidth="1"/>
    <col min="8463" max="8463" width="15.83203125" style="406" customWidth="1"/>
    <col min="8464" max="8704" width="9.08203125" style="406"/>
    <col min="8705" max="8705" width="25.6640625" style="406" customWidth="1"/>
    <col min="8706" max="8706" width="22.83203125" style="406" customWidth="1"/>
    <col min="8707" max="8707" width="9.08203125" style="406"/>
    <col min="8708" max="8708" width="16" style="406" customWidth="1"/>
    <col min="8709" max="8709" width="14.4140625" style="406" customWidth="1"/>
    <col min="8710" max="8710" width="14.83203125" style="406" customWidth="1"/>
    <col min="8711" max="8711" width="15" style="406" customWidth="1"/>
    <col min="8712" max="8712" width="14.4140625" style="406" customWidth="1"/>
    <col min="8713" max="8713" width="13.6640625" style="406" customWidth="1"/>
    <col min="8714" max="8714" width="14.6640625" style="406" customWidth="1"/>
    <col min="8715" max="8715" width="14.4140625" style="406" customWidth="1"/>
    <col min="8716" max="8717" width="14.08203125" style="406" customWidth="1"/>
    <col min="8718" max="8718" width="15.33203125" style="406" customWidth="1"/>
    <col min="8719" max="8719" width="15.83203125" style="406" customWidth="1"/>
    <col min="8720" max="8960" width="9.08203125" style="406"/>
    <col min="8961" max="8961" width="25.6640625" style="406" customWidth="1"/>
    <col min="8962" max="8962" width="22.83203125" style="406" customWidth="1"/>
    <col min="8963" max="8963" width="9.08203125" style="406"/>
    <col min="8964" max="8964" width="16" style="406" customWidth="1"/>
    <col min="8965" max="8965" width="14.4140625" style="406" customWidth="1"/>
    <col min="8966" max="8966" width="14.83203125" style="406" customWidth="1"/>
    <col min="8967" max="8967" width="15" style="406" customWidth="1"/>
    <col min="8968" max="8968" width="14.4140625" style="406" customWidth="1"/>
    <col min="8969" max="8969" width="13.6640625" style="406" customWidth="1"/>
    <col min="8970" max="8970" width="14.6640625" style="406" customWidth="1"/>
    <col min="8971" max="8971" width="14.4140625" style="406" customWidth="1"/>
    <col min="8972" max="8973" width="14.08203125" style="406" customWidth="1"/>
    <col min="8974" max="8974" width="15.33203125" style="406" customWidth="1"/>
    <col min="8975" max="8975" width="15.83203125" style="406" customWidth="1"/>
    <col min="8976" max="9216" width="9.08203125" style="406"/>
    <col min="9217" max="9217" width="25.6640625" style="406" customWidth="1"/>
    <col min="9218" max="9218" width="22.83203125" style="406" customWidth="1"/>
    <col min="9219" max="9219" width="9.08203125" style="406"/>
    <col min="9220" max="9220" width="16" style="406" customWidth="1"/>
    <col min="9221" max="9221" width="14.4140625" style="406" customWidth="1"/>
    <col min="9222" max="9222" width="14.83203125" style="406" customWidth="1"/>
    <col min="9223" max="9223" width="15" style="406" customWidth="1"/>
    <col min="9224" max="9224" width="14.4140625" style="406" customWidth="1"/>
    <col min="9225" max="9225" width="13.6640625" style="406" customWidth="1"/>
    <col min="9226" max="9226" width="14.6640625" style="406" customWidth="1"/>
    <col min="9227" max="9227" width="14.4140625" style="406" customWidth="1"/>
    <col min="9228" max="9229" width="14.08203125" style="406" customWidth="1"/>
    <col min="9230" max="9230" width="15.33203125" style="406" customWidth="1"/>
    <col min="9231" max="9231" width="15.83203125" style="406" customWidth="1"/>
    <col min="9232" max="9472" width="9.08203125" style="406"/>
    <col min="9473" max="9473" width="25.6640625" style="406" customWidth="1"/>
    <col min="9474" max="9474" width="22.83203125" style="406" customWidth="1"/>
    <col min="9475" max="9475" width="9.08203125" style="406"/>
    <col min="9476" max="9476" width="16" style="406" customWidth="1"/>
    <col min="9477" max="9477" width="14.4140625" style="406" customWidth="1"/>
    <col min="9478" max="9478" width="14.83203125" style="406" customWidth="1"/>
    <col min="9479" max="9479" width="15" style="406" customWidth="1"/>
    <col min="9480" max="9480" width="14.4140625" style="406" customWidth="1"/>
    <col min="9481" max="9481" width="13.6640625" style="406" customWidth="1"/>
    <col min="9482" max="9482" width="14.6640625" style="406" customWidth="1"/>
    <col min="9483" max="9483" width="14.4140625" style="406" customWidth="1"/>
    <col min="9484" max="9485" width="14.08203125" style="406" customWidth="1"/>
    <col min="9486" max="9486" width="15.33203125" style="406" customWidth="1"/>
    <col min="9487" max="9487" width="15.83203125" style="406" customWidth="1"/>
    <col min="9488" max="9728" width="9.08203125" style="406"/>
    <col min="9729" max="9729" width="25.6640625" style="406" customWidth="1"/>
    <col min="9730" max="9730" width="22.83203125" style="406" customWidth="1"/>
    <col min="9731" max="9731" width="9.08203125" style="406"/>
    <col min="9732" max="9732" width="16" style="406" customWidth="1"/>
    <col min="9733" max="9733" width="14.4140625" style="406" customWidth="1"/>
    <col min="9734" max="9734" width="14.83203125" style="406" customWidth="1"/>
    <col min="9735" max="9735" width="15" style="406" customWidth="1"/>
    <col min="9736" max="9736" width="14.4140625" style="406" customWidth="1"/>
    <col min="9737" max="9737" width="13.6640625" style="406" customWidth="1"/>
    <col min="9738" max="9738" width="14.6640625" style="406" customWidth="1"/>
    <col min="9739" max="9739" width="14.4140625" style="406" customWidth="1"/>
    <col min="9740" max="9741" width="14.08203125" style="406" customWidth="1"/>
    <col min="9742" max="9742" width="15.33203125" style="406" customWidth="1"/>
    <col min="9743" max="9743" width="15.83203125" style="406" customWidth="1"/>
    <col min="9744" max="9984" width="9.08203125" style="406"/>
    <col min="9985" max="9985" width="25.6640625" style="406" customWidth="1"/>
    <col min="9986" max="9986" width="22.83203125" style="406" customWidth="1"/>
    <col min="9987" max="9987" width="9.08203125" style="406"/>
    <col min="9988" max="9988" width="16" style="406" customWidth="1"/>
    <col min="9989" max="9989" width="14.4140625" style="406" customWidth="1"/>
    <col min="9990" max="9990" width="14.83203125" style="406" customWidth="1"/>
    <col min="9991" max="9991" width="15" style="406" customWidth="1"/>
    <col min="9992" max="9992" width="14.4140625" style="406" customWidth="1"/>
    <col min="9993" max="9993" width="13.6640625" style="406" customWidth="1"/>
    <col min="9994" max="9994" width="14.6640625" style="406" customWidth="1"/>
    <col min="9995" max="9995" width="14.4140625" style="406" customWidth="1"/>
    <col min="9996" max="9997" width="14.08203125" style="406" customWidth="1"/>
    <col min="9998" max="9998" width="15.33203125" style="406" customWidth="1"/>
    <col min="9999" max="9999" width="15.83203125" style="406" customWidth="1"/>
    <col min="10000" max="10240" width="9.08203125" style="406"/>
    <col min="10241" max="10241" width="25.6640625" style="406" customWidth="1"/>
    <col min="10242" max="10242" width="22.83203125" style="406" customWidth="1"/>
    <col min="10243" max="10243" width="9.08203125" style="406"/>
    <col min="10244" max="10244" width="16" style="406" customWidth="1"/>
    <col min="10245" max="10245" width="14.4140625" style="406" customWidth="1"/>
    <col min="10246" max="10246" width="14.83203125" style="406" customWidth="1"/>
    <col min="10247" max="10247" width="15" style="406" customWidth="1"/>
    <col min="10248" max="10248" width="14.4140625" style="406" customWidth="1"/>
    <col min="10249" max="10249" width="13.6640625" style="406" customWidth="1"/>
    <col min="10250" max="10250" width="14.6640625" style="406" customWidth="1"/>
    <col min="10251" max="10251" width="14.4140625" style="406" customWidth="1"/>
    <col min="10252" max="10253" width="14.08203125" style="406" customWidth="1"/>
    <col min="10254" max="10254" width="15.33203125" style="406" customWidth="1"/>
    <col min="10255" max="10255" width="15.83203125" style="406" customWidth="1"/>
    <col min="10256" max="10496" width="9.08203125" style="406"/>
    <col min="10497" max="10497" width="25.6640625" style="406" customWidth="1"/>
    <col min="10498" max="10498" width="22.83203125" style="406" customWidth="1"/>
    <col min="10499" max="10499" width="9.08203125" style="406"/>
    <col min="10500" max="10500" width="16" style="406" customWidth="1"/>
    <col min="10501" max="10501" width="14.4140625" style="406" customWidth="1"/>
    <col min="10502" max="10502" width="14.83203125" style="406" customWidth="1"/>
    <col min="10503" max="10503" width="15" style="406" customWidth="1"/>
    <col min="10504" max="10504" width="14.4140625" style="406" customWidth="1"/>
    <col min="10505" max="10505" width="13.6640625" style="406" customWidth="1"/>
    <col min="10506" max="10506" width="14.6640625" style="406" customWidth="1"/>
    <col min="10507" max="10507" width="14.4140625" style="406" customWidth="1"/>
    <col min="10508" max="10509" width="14.08203125" style="406" customWidth="1"/>
    <col min="10510" max="10510" width="15.33203125" style="406" customWidth="1"/>
    <col min="10511" max="10511" width="15.83203125" style="406" customWidth="1"/>
    <col min="10512" max="10752" width="9.08203125" style="406"/>
    <col min="10753" max="10753" width="25.6640625" style="406" customWidth="1"/>
    <col min="10754" max="10754" width="22.83203125" style="406" customWidth="1"/>
    <col min="10755" max="10755" width="9.08203125" style="406"/>
    <col min="10756" max="10756" width="16" style="406" customWidth="1"/>
    <col min="10757" max="10757" width="14.4140625" style="406" customWidth="1"/>
    <col min="10758" max="10758" width="14.83203125" style="406" customWidth="1"/>
    <col min="10759" max="10759" width="15" style="406" customWidth="1"/>
    <col min="10760" max="10760" width="14.4140625" style="406" customWidth="1"/>
    <col min="10761" max="10761" width="13.6640625" style="406" customWidth="1"/>
    <col min="10762" max="10762" width="14.6640625" style="406" customWidth="1"/>
    <col min="10763" max="10763" width="14.4140625" style="406" customWidth="1"/>
    <col min="10764" max="10765" width="14.08203125" style="406" customWidth="1"/>
    <col min="10766" max="10766" width="15.33203125" style="406" customWidth="1"/>
    <col min="10767" max="10767" width="15.83203125" style="406" customWidth="1"/>
    <col min="10768" max="11008" width="9.08203125" style="406"/>
    <col min="11009" max="11009" width="25.6640625" style="406" customWidth="1"/>
    <col min="11010" max="11010" width="22.83203125" style="406" customWidth="1"/>
    <col min="11011" max="11011" width="9.08203125" style="406"/>
    <col min="11012" max="11012" width="16" style="406" customWidth="1"/>
    <col min="11013" max="11013" width="14.4140625" style="406" customWidth="1"/>
    <col min="11014" max="11014" width="14.83203125" style="406" customWidth="1"/>
    <col min="11015" max="11015" width="15" style="406" customWidth="1"/>
    <col min="11016" max="11016" width="14.4140625" style="406" customWidth="1"/>
    <col min="11017" max="11017" width="13.6640625" style="406" customWidth="1"/>
    <col min="11018" max="11018" width="14.6640625" style="406" customWidth="1"/>
    <col min="11019" max="11019" width="14.4140625" style="406" customWidth="1"/>
    <col min="11020" max="11021" width="14.08203125" style="406" customWidth="1"/>
    <col min="11022" max="11022" width="15.33203125" style="406" customWidth="1"/>
    <col min="11023" max="11023" width="15.83203125" style="406" customWidth="1"/>
    <col min="11024" max="11264" width="9.08203125" style="406"/>
    <col min="11265" max="11265" width="25.6640625" style="406" customWidth="1"/>
    <col min="11266" max="11266" width="22.83203125" style="406" customWidth="1"/>
    <col min="11267" max="11267" width="9.08203125" style="406"/>
    <col min="11268" max="11268" width="16" style="406" customWidth="1"/>
    <col min="11269" max="11269" width="14.4140625" style="406" customWidth="1"/>
    <col min="11270" max="11270" width="14.83203125" style="406" customWidth="1"/>
    <col min="11271" max="11271" width="15" style="406" customWidth="1"/>
    <col min="11272" max="11272" width="14.4140625" style="406" customWidth="1"/>
    <col min="11273" max="11273" width="13.6640625" style="406" customWidth="1"/>
    <col min="11274" max="11274" width="14.6640625" style="406" customWidth="1"/>
    <col min="11275" max="11275" width="14.4140625" style="406" customWidth="1"/>
    <col min="11276" max="11277" width="14.08203125" style="406" customWidth="1"/>
    <col min="11278" max="11278" width="15.33203125" style="406" customWidth="1"/>
    <col min="11279" max="11279" width="15.83203125" style="406" customWidth="1"/>
    <col min="11280" max="11520" width="9.08203125" style="406"/>
    <col min="11521" max="11521" width="25.6640625" style="406" customWidth="1"/>
    <col min="11522" max="11522" width="22.83203125" style="406" customWidth="1"/>
    <col min="11523" max="11523" width="9.08203125" style="406"/>
    <col min="11524" max="11524" width="16" style="406" customWidth="1"/>
    <col min="11525" max="11525" width="14.4140625" style="406" customWidth="1"/>
    <col min="11526" max="11526" width="14.83203125" style="406" customWidth="1"/>
    <col min="11527" max="11527" width="15" style="406" customWidth="1"/>
    <col min="11528" max="11528" width="14.4140625" style="406" customWidth="1"/>
    <col min="11529" max="11529" width="13.6640625" style="406" customWidth="1"/>
    <col min="11530" max="11530" width="14.6640625" style="406" customWidth="1"/>
    <col min="11531" max="11531" width="14.4140625" style="406" customWidth="1"/>
    <col min="11532" max="11533" width="14.08203125" style="406" customWidth="1"/>
    <col min="11534" max="11534" width="15.33203125" style="406" customWidth="1"/>
    <col min="11535" max="11535" width="15.83203125" style="406" customWidth="1"/>
    <col min="11536" max="11776" width="9.08203125" style="406"/>
    <col min="11777" max="11777" width="25.6640625" style="406" customWidth="1"/>
    <col min="11778" max="11778" width="22.83203125" style="406" customWidth="1"/>
    <col min="11779" max="11779" width="9.08203125" style="406"/>
    <col min="11780" max="11780" width="16" style="406" customWidth="1"/>
    <col min="11781" max="11781" width="14.4140625" style="406" customWidth="1"/>
    <col min="11782" max="11782" width="14.83203125" style="406" customWidth="1"/>
    <col min="11783" max="11783" width="15" style="406" customWidth="1"/>
    <col min="11784" max="11784" width="14.4140625" style="406" customWidth="1"/>
    <col min="11785" max="11785" width="13.6640625" style="406" customWidth="1"/>
    <col min="11786" max="11786" width="14.6640625" style="406" customWidth="1"/>
    <col min="11787" max="11787" width="14.4140625" style="406" customWidth="1"/>
    <col min="11788" max="11789" width="14.08203125" style="406" customWidth="1"/>
    <col min="11790" max="11790" width="15.33203125" style="406" customWidth="1"/>
    <col min="11791" max="11791" width="15.83203125" style="406" customWidth="1"/>
    <col min="11792" max="12032" width="9.08203125" style="406"/>
    <col min="12033" max="12033" width="25.6640625" style="406" customWidth="1"/>
    <col min="12034" max="12034" width="22.83203125" style="406" customWidth="1"/>
    <col min="12035" max="12035" width="9.08203125" style="406"/>
    <col min="12036" max="12036" width="16" style="406" customWidth="1"/>
    <col min="12037" max="12037" width="14.4140625" style="406" customWidth="1"/>
    <col min="12038" max="12038" width="14.83203125" style="406" customWidth="1"/>
    <col min="12039" max="12039" width="15" style="406" customWidth="1"/>
    <col min="12040" max="12040" width="14.4140625" style="406" customWidth="1"/>
    <col min="12041" max="12041" width="13.6640625" style="406" customWidth="1"/>
    <col min="12042" max="12042" width="14.6640625" style="406" customWidth="1"/>
    <col min="12043" max="12043" width="14.4140625" style="406" customWidth="1"/>
    <col min="12044" max="12045" width="14.08203125" style="406" customWidth="1"/>
    <col min="12046" max="12046" width="15.33203125" style="406" customWidth="1"/>
    <col min="12047" max="12047" width="15.83203125" style="406" customWidth="1"/>
    <col min="12048" max="12288" width="9.08203125" style="406"/>
    <col min="12289" max="12289" width="25.6640625" style="406" customWidth="1"/>
    <col min="12290" max="12290" width="22.83203125" style="406" customWidth="1"/>
    <col min="12291" max="12291" width="9.08203125" style="406"/>
    <col min="12292" max="12292" width="16" style="406" customWidth="1"/>
    <col min="12293" max="12293" width="14.4140625" style="406" customWidth="1"/>
    <col min="12294" max="12294" width="14.83203125" style="406" customWidth="1"/>
    <col min="12295" max="12295" width="15" style="406" customWidth="1"/>
    <col min="12296" max="12296" width="14.4140625" style="406" customWidth="1"/>
    <col min="12297" max="12297" width="13.6640625" style="406" customWidth="1"/>
    <col min="12298" max="12298" width="14.6640625" style="406" customWidth="1"/>
    <col min="12299" max="12299" width="14.4140625" style="406" customWidth="1"/>
    <col min="12300" max="12301" width="14.08203125" style="406" customWidth="1"/>
    <col min="12302" max="12302" width="15.33203125" style="406" customWidth="1"/>
    <col min="12303" max="12303" width="15.83203125" style="406" customWidth="1"/>
    <col min="12304" max="12544" width="9.08203125" style="406"/>
    <col min="12545" max="12545" width="25.6640625" style="406" customWidth="1"/>
    <col min="12546" max="12546" width="22.83203125" style="406" customWidth="1"/>
    <col min="12547" max="12547" width="9.08203125" style="406"/>
    <col min="12548" max="12548" width="16" style="406" customWidth="1"/>
    <col min="12549" max="12549" width="14.4140625" style="406" customWidth="1"/>
    <col min="12550" max="12550" width="14.83203125" style="406" customWidth="1"/>
    <col min="12551" max="12551" width="15" style="406" customWidth="1"/>
    <col min="12552" max="12552" width="14.4140625" style="406" customWidth="1"/>
    <col min="12553" max="12553" width="13.6640625" style="406" customWidth="1"/>
    <col min="12554" max="12554" width="14.6640625" style="406" customWidth="1"/>
    <col min="12555" max="12555" width="14.4140625" style="406" customWidth="1"/>
    <col min="12556" max="12557" width="14.08203125" style="406" customWidth="1"/>
    <col min="12558" max="12558" width="15.33203125" style="406" customWidth="1"/>
    <col min="12559" max="12559" width="15.83203125" style="406" customWidth="1"/>
    <col min="12560" max="12800" width="9.08203125" style="406"/>
    <col min="12801" max="12801" width="25.6640625" style="406" customWidth="1"/>
    <col min="12802" max="12802" width="22.83203125" style="406" customWidth="1"/>
    <col min="12803" max="12803" width="9.08203125" style="406"/>
    <col min="12804" max="12804" width="16" style="406" customWidth="1"/>
    <col min="12805" max="12805" width="14.4140625" style="406" customWidth="1"/>
    <col min="12806" max="12806" width="14.83203125" style="406" customWidth="1"/>
    <col min="12807" max="12807" width="15" style="406" customWidth="1"/>
    <col min="12808" max="12808" width="14.4140625" style="406" customWidth="1"/>
    <col min="12809" max="12809" width="13.6640625" style="406" customWidth="1"/>
    <col min="12810" max="12810" width="14.6640625" style="406" customWidth="1"/>
    <col min="12811" max="12811" width="14.4140625" style="406" customWidth="1"/>
    <col min="12812" max="12813" width="14.08203125" style="406" customWidth="1"/>
    <col min="12814" max="12814" width="15.33203125" style="406" customWidth="1"/>
    <col min="12815" max="12815" width="15.83203125" style="406" customWidth="1"/>
    <col min="12816" max="13056" width="9.08203125" style="406"/>
    <col min="13057" max="13057" width="25.6640625" style="406" customWidth="1"/>
    <col min="13058" max="13058" width="22.83203125" style="406" customWidth="1"/>
    <col min="13059" max="13059" width="9.08203125" style="406"/>
    <col min="13060" max="13060" width="16" style="406" customWidth="1"/>
    <col min="13061" max="13061" width="14.4140625" style="406" customWidth="1"/>
    <col min="13062" max="13062" width="14.83203125" style="406" customWidth="1"/>
    <col min="13063" max="13063" width="15" style="406" customWidth="1"/>
    <col min="13064" max="13064" width="14.4140625" style="406" customWidth="1"/>
    <col min="13065" max="13065" width="13.6640625" style="406" customWidth="1"/>
    <col min="13066" max="13066" width="14.6640625" style="406" customWidth="1"/>
    <col min="13067" max="13067" width="14.4140625" style="406" customWidth="1"/>
    <col min="13068" max="13069" width="14.08203125" style="406" customWidth="1"/>
    <col min="13070" max="13070" width="15.33203125" style="406" customWidth="1"/>
    <col min="13071" max="13071" width="15.83203125" style="406" customWidth="1"/>
    <col min="13072" max="13312" width="9.08203125" style="406"/>
    <col min="13313" max="13313" width="25.6640625" style="406" customWidth="1"/>
    <col min="13314" max="13314" width="22.83203125" style="406" customWidth="1"/>
    <col min="13315" max="13315" width="9.08203125" style="406"/>
    <col min="13316" max="13316" width="16" style="406" customWidth="1"/>
    <col min="13317" max="13317" width="14.4140625" style="406" customWidth="1"/>
    <col min="13318" max="13318" width="14.83203125" style="406" customWidth="1"/>
    <col min="13319" max="13319" width="15" style="406" customWidth="1"/>
    <col min="13320" max="13320" width="14.4140625" style="406" customWidth="1"/>
    <col min="13321" max="13321" width="13.6640625" style="406" customWidth="1"/>
    <col min="13322" max="13322" width="14.6640625" style="406" customWidth="1"/>
    <col min="13323" max="13323" width="14.4140625" style="406" customWidth="1"/>
    <col min="13324" max="13325" width="14.08203125" style="406" customWidth="1"/>
    <col min="13326" max="13326" width="15.33203125" style="406" customWidth="1"/>
    <col min="13327" max="13327" width="15.83203125" style="406" customWidth="1"/>
    <col min="13328" max="13568" width="9.08203125" style="406"/>
    <col min="13569" max="13569" width="25.6640625" style="406" customWidth="1"/>
    <col min="13570" max="13570" width="22.83203125" style="406" customWidth="1"/>
    <col min="13571" max="13571" width="9.08203125" style="406"/>
    <col min="13572" max="13572" width="16" style="406" customWidth="1"/>
    <col min="13573" max="13573" width="14.4140625" style="406" customWidth="1"/>
    <col min="13574" max="13574" width="14.83203125" style="406" customWidth="1"/>
    <col min="13575" max="13575" width="15" style="406" customWidth="1"/>
    <col min="13576" max="13576" width="14.4140625" style="406" customWidth="1"/>
    <col min="13577" max="13577" width="13.6640625" style="406" customWidth="1"/>
    <col min="13578" max="13578" width="14.6640625" style="406" customWidth="1"/>
    <col min="13579" max="13579" width="14.4140625" style="406" customWidth="1"/>
    <col min="13580" max="13581" width="14.08203125" style="406" customWidth="1"/>
    <col min="13582" max="13582" width="15.33203125" style="406" customWidth="1"/>
    <col min="13583" max="13583" width="15.83203125" style="406" customWidth="1"/>
    <col min="13584" max="13824" width="9.08203125" style="406"/>
    <col min="13825" max="13825" width="25.6640625" style="406" customWidth="1"/>
    <col min="13826" max="13826" width="22.83203125" style="406" customWidth="1"/>
    <col min="13827" max="13827" width="9.08203125" style="406"/>
    <col min="13828" max="13828" width="16" style="406" customWidth="1"/>
    <col min="13829" max="13829" width="14.4140625" style="406" customWidth="1"/>
    <col min="13830" max="13830" width="14.83203125" style="406" customWidth="1"/>
    <col min="13831" max="13831" width="15" style="406" customWidth="1"/>
    <col min="13832" max="13832" width="14.4140625" style="406" customWidth="1"/>
    <col min="13833" max="13833" width="13.6640625" style="406" customWidth="1"/>
    <col min="13834" max="13834" width="14.6640625" style="406" customWidth="1"/>
    <col min="13835" max="13835" width="14.4140625" style="406" customWidth="1"/>
    <col min="13836" max="13837" width="14.08203125" style="406" customWidth="1"/>
    <col min="13838" max="13838" width="15.33203125" style="406" customWidth="1"/>
    <col min="13839" max="13839" width="15.83203125" style="406" customWidth="1"/>
    <col min="13840" max="14080" width="9.08203125" style="406"/>
    <col min="14081" max="14081" width="25.6640625" style="406" customWidth="1"/>
    <col min="14082" max="14082" width="22.83203125" style="406" customWidth="1"/>
    <col min="14083" max="14083" width="9.08203125" style="406"/>
    <col min="14084" max="14084" width="16" style="406" customWidth="1"/>
    <col min="14085" max="14085" width="14.4140625" style="406" customWidth="1"/>
    <col min="14086" max="14086" width="14.83203125" style="406" customWidth="1"/>
    <col min="14087" max="14087" width="15" style="406" customWidth="1"/>
    <col min="14088" max="14088" width="14.4140625" style="406" customWidth="1"/>
    <col min="14089" max="14089" width="13.6640625" style="406" customWidth="1"/>
    <col min="14090" max="14090" width="14.6640625" style="406" customWidth="1"/>
    <col min="14091" max="14091" width="14.4140625" style="406" customWidth="1"/>
    <col min="14092" max="14093" width="14.08203125" style="406" customWidth="1"/>
    <col min="14094" max="14094" width="15.33203125" style="406" customWidth="1"/>
    <col min="14095" max="14095" width="15.83203125" style="406" customWidth="1"/>
    <col min="14096" max="14336" width="9.08203125" style="406"/>
    <col min="14337" max="14337" width="25.6640625" style="406" customWidth="1"/>
    <col min="14338" max="14338" width="22.83203125" style="406" customWidth="1"/>
    <col min="14339" max="14339" width="9.08203125" style="406"/>
    <col min="14340" max="14340" width="16" style="406" customWidth="1"/>
    <col min="14341" max="14341" width="14.4140625" style="406" customWidth="1"/>
    <col min="14342" max="14342" width="14.83203125" style="406" customWidth="1"/>
    <col min="14343" max="14343" width="15" style="406" customWidth="1"/>
    <col min="14344" max="14344" width="14.4140625" style="406" customWidth="1"/>
    <col min="14345" max="14345" width="13.6640625" style="406" customWidth="1"/>
    <col min="14346" max="14346" width="14.6640625" style="406" customWidth="1"/>
    <col min="14347" max="14347" width="14.4140625" style="406" customWidth="1"/>
    <col min="14348" max="14349" width="14.08203125" style="406" customWidth="1"/>
    <col min="14350" max="14350" width="15.33203125" style="406" customWidth="1"/>
    <col min="14351" max="14351" width="15.83203125" style="406" customWidth="1"/>
    <col min="14352" max="14592" width="9.08203125" style="406"/>
    <col min="14593" max="14593" width="25.6640625" style="406" customWidth="1"/>
    <col min="14594" max="14594" width="22.83203125" style="406" customWidth="1"/>
    <col min="14595" max="14595" width="9.08203125" style="406"/>
    <col min="14596" max="14596" width="16" style="406" customWidth="1"/>
    <col min="14597" max="14597" width="14.4140625" style="406" customWidth="1"/>
    <col min="14598" max="14598" width="14.83203125" style="406" customWidth="1"/>
    <col min="14599" max="14599" width="15" style="406" customWidth="1"/>
    <col min="14600" max="14600" width="14.4140625" style="406" customWidth="1"/>
    <col min="14601" max="14601" width="13.6640625" style="406" customWidth="1"/>
    <col min="14602" max="14602" width="14.6640625" style="406" customWidth="1"/>
    <col min="14603" max="14603" width="14.4140625" style="406" customWidth="1"/>
    <col min="14604" max="14605" width="14.08203125" style="406" customWidth="1"/>
    <col min="14606" max="14606" width="15.33203125" style="406" customWidth="1"/>
    <col min="14607" max="14607" width="15.83203125" style="406" customWidth="1"/>
    <col min="14608" max="14848" width="9.08203125" style="406"/>
    <col min="14849" max="14849" width="25.6640625" style="406" customWidth="1"/>
    <col min="14850" max="14850" width="22.83203125" style="406" customWidth="1"/>
    <col min="14851" max="14851" width="9.08203125" style="406"/>
    <col min="14852" max="14852" width="16" style="406" customWidth="1"/>
    <col min="14853" max="14853" width="14.4140625" style="406" customWidth="1"/>
    <col min="14854" max="14854" width="14.83203125" style="406" customWidth="1"/>
    <col min="14855" max="14855" width="15" style="406" customWidth="1"/>
    <col min="14856" max="14856" width="14.4140625" style="406" customWidth="1"/>
    <col min="14857" max="14857" width="13.6640625" style="406" customWidth="1"/>
    <col min="14858" max="14858" width="14.6640625" style="406" customWidth="1"/>
    <col min="14859" max="14859" width="14.4140625" style="406" customWidth="1"/>
    <col min="14860" max="14861" width="14.08203125" style="406" customWidth="1"/>
    <col min="14862" max="14862" width="15.33203125" style="406" customWidth="1"/>
    <col min="14863" max="14863" width="15.83203125" style="406" customWidth="1"/>
    <col min="14864" max="15104" width="9.08203125" style="406"/>
    <col min="15105" max="15105" width="25.6640625" style="406" customWidth="1"/>
    <col min="15106" max="15106" width="22.83203125" style="406" customWidth="1"/>
    <col min="15107" max="15107" width="9.08203125" style="406"/>
    <col min="15108" max="15108" width="16" style="406" customWidth="1"/>
    <col min="15109" max="15109" width="14.4140625" style="406" customWidth="1"/>
    <col min="15110" max="15110" width="14.83203125" style="406" customWidth="1"/>
    <col min="15111" max="15111" width="15" style="406" customWidth="1"/>
    <col min="15112" max="15112" width="14.4140625" style="406" customWidth="1"/>
    <col min="15113" max="15113" width="13.6640625" style="406" customWidth="1"/>
    <col min="15114" max="15114" width="14.6640625" style="406" customWidth="1"/>
    <col min="15115" max="15115" width="14.4140625" style="406" customWidth="1"/>
    <col min="15116" max="15117" width="14.08203125" style="406" customWidth="1"/>
    <col min="15118" max="15118" width="15.33203125" style="406" customWidth="1"/>
    <col min="15119" max="15119" width="15.83203125" style="406" customWidth="1"/>
    <col min="15120" max="15360" width="9.08203125" style="406"/>
    <col min="15361" max="15361" width="25.6640625" style="406" customWidth="1"/>
    <col min="15362" max="15362" width="22.83203125" style="406" customWidth="1"/>
    <col min="15363" max="15363" width="9.08203125" style="406"/>
    <col min="15364" max="15364" width="16" style="406" customWidth="1"/>
    <col min="15365" max="15365" width="14.4140625" style="406" customWidth="1"/>
    <col min="15366" max="15366" width="14.83203125" style="406" customWidth="1"/>
    <col min="15367" max="15367" width="15" style="406" customWidth="1"/>
    <col min="15368" max="15368" width="14.4140625" style="406" customWidth="1"/>
    <col min="15369" max="15369" width="13.6640625" style="406" customWidth="1"/>
    <col min="15370" max="15370" width="14.6640625" style="406" customWidth="1"/>
    <col min="15371" max="15371" width="14.4140625" style="406" customWidth="1"/>
    <col min="15372" max="15373" width="14.08203125" style="406" customWidth="1"/>
    <col min="15374" max="15374" width="15.33203125" style="406" customWidth="1"/>
    <col min="15375" max="15375" width="15.83203125" style="406" customWidth="1"/>
    <col min="15376" max="15616" width="9.08203125" style="406"/>
    <col min="15617" max="15617" width="25.6640625" style="406" customWidth="1"/>
    <col min="15618" max="15618" width="22.83203125" style="406" customWidth="1"/>
    <col min="15619" max="15619" width="9.08203125" style="406"/>
    <col min="15620" max="15620" width="16" style="406" customWidth="1"/>
    <col min="15621" max="15621" width="14.4140625" style="406" customWidth="1"/>
    <col min="15622" max="15622" width="14.83203125" style="406" customWidth="1"/>
    <col min="15623" max="15623" width="15" style="406" customWidth="1"/>
    <col min="15624" max="15624" width="14.4140625" style="406" customWidth="1"/>
    <col min="15625" max="15625" width="13.6640625" style="406" customWidth="1"/>
    <col min="15626" max="15626" width="14.6640625" style="406" customWidth="1"/>
    <col min="15627" max="15627" width="14.4140625" style="406" customWidth="1"/>
    <col min="15628" max="15629" width="14.08203125" style="406" customWidth="1"/>
    <col min="15630" max="15630" width="15.33203125" style="406" customWidth="1"/>
    <col min="15631" max="15631" width="15.83203125" style="406" customWidth="1"/>
    <col min="15632" max="15872" width="9.08203125" style="406"/>
    <col min="15873" max="15873" width="25.6640625" style="406" customWidth="1"/>
    <col min="15874" max="15874" width="22.83203125" style="406" customWidth="1"/>
    <col min="15875" max="15875" width="9.08203125" style="406"/>
    <col min="15876" max="15876" width="16" style="406" customWidth="1"/>
    <col min="15877" max="15877" width="14.4140625" style="406" customWidth="1"/>
    <col min="15878" max="15878" width="14.83203125" style="406" customWidth="1"/>
    <col min="15879" max="15879" width="15" style="406" customWidth="1"/>
    <col min="15880" max="15880" width="14.4140625" style="406" customWidth="1"/>
    <col min="15881" max="15881" width="13.6640625" style="406" customWidth="1"/>
    <col min="15882" max="15882" width="14.6640625" style="406" customWidth="1"/>
    <col min="15883" max="15883" width="14.4140625" style="406" customWidth="1"/>
    <col min="15884" max="15885" width="14.08203125" style="406" customWidth="1"/>
    <col min="15886" max="15886" width="15.33203125" style="406" customWidth="1"/>
    <col min="15887" max="15887" width="15.83203125" style="406" customWidth="1"/>
    <col min="15888" max="16128" width="9.08203125" style="406"/>
    <col min="16129" max="16129" width="25.6640625" style="406" customWidth="1"/>
    <col min="16130" max="16130" width="22.83203125" style="406" customWidth="1"/>
    <col min="16131" max="16131" width="9.08203125" style="406"/>
    <col min="16132" max="16132" width="16" style="406" customWidth="1"/>
    <col min="16133" max="16133" width="14.4140625" style="406" customWidth="1"/>
    <col min="16134" max="16134" width="14.83203125" style="406" customWidth="1"/>
    <col min="16135" max="16135" width="15" style="406" customWidth="1"/>
    <col min="16136" max="16136" width="14.4140625" style="406" customWidth="1"/>
    <col min="16137" max="16137" width="13.6640625" style="406" customWidth="1"/>
    <col min="16138" max="16138" width="14.6640625" style="406" customWidth="1"/>
    <col min="16139" max="16139" width="14.4140625" style="406" customWidth="1"/>
    <col min="16140" max="16141" width="14.08203125" style="406" customWidth="1"/>
    <col min="16142" max="16142" width="15.33203125" style="406" customWidth="1"/>
    <col min="16143" max="16143" width="15.83203125" style="406" customWidth="1"/>
    <col min="16144" max="16384" width="9.08203125" style="406"/>
  </cols>
  <sheetData>
    <row r="1" spans="1:15" ht="18" customHeight="1">
      <c r="A1" s="1108" t="s">
        <v>751</v>
      </c>
      <c r="B1" s="1108"/>
      <c r="C1" s="1108"/>
      <c r="D1" s="1108"/>
      <c r="E1" s="1108"/>
      <c r="F1" s="1108"/>
      <c r="G1" s="1108"/>
      <c r="H1" s="1108"/>
      <c r="I1" s="1108"/>
      <c r="J1" s="1108"/>
      <c r="K1" s="1108"/>
      <c r="L1" s="1108"/>
    </row>
    <row r="2" spans="1:15" ht="18" customHeight="1">
      <c r="A2" s="1108"/>
      <c r="B2" s="1108"/>
      <c r="C2" s="1108"/>
      <c r="D2" s="1108"/>
      <c r="E2" s="1108"/>
      <c r="F2" s="1108"/>
      <c r="G2" s="1108"/>
      <c r="H2" s="1108"/>
      <c r="I2" s="1108"/>
      <c r="J2" s="1108"/>
      <c r="K2" s="1108"/>
      <c r="L2" s="1108"/>
    </row>
    <row r="3" spans="1:15" ht="17" thickBot="1">
      <c r="H3" s="406"/>
    </row>
    <row r="4" spans="1:15">
      <c r="A4" s="1109" t="s">
        <v>752</v>
      </c>
      <c r="B4" s="1111" t="s">
        <v>753</v>
      </c>
      <c r="C4" s="1112"/>
      <c r="D4" s="1115" t="s">
        <v>754</v>
      </c>
      <c r="E4" s="1116"/>
      <c r="F4" s="1116"/>
      <c r="G4" s="1116"/>
      <c r="H4" s="1116"/>
      <c r="I4" s="1116"/>
      <c r="J4" s="1116"/>
      <c r="K4" s="1116"/>
      <c r="L4" s="1116"/>
      <c r="M4" s="1116"/>
      <c r="N4" s="1116"/>
      <c r="O4" s="1117"/>
    </row>
    <row r="5" spans="1:15">
      <c r="A5" s="1110"/>
      <c r="B5" s="1113"/>
      <c r="C5" s="1114"/>
      <c r="D5" s="407" t="s">
        <v>905</v>
      </c>
      <c r="E5" s="407" t="s">
        <v>906</v>
      </c>
      <c r="F5" s="407" t="s">
        <v>907</v>
      </c>
      <c r="G5" s="452" t="s">
        <v>908</v>
      </c>
      <c r="H5" s="407" t="s">
        <v>909</v>
      </c>
      <c r="I5" s="407" t="s">
        <v>910</v>
      </c>
      <c r="J5" s="407" t="s">
        <v>911</v>
      </c>
      <c r="K5" s="407" t="s">
        <v>912</v>
      </c>
      <c r="L5" s="407" t="s">
        <v>913</v>
      </c>
      <c r="M5" s="453" t="s">
        <v>914</v>
      </c>
      <c r="N5" s="407" t="s">
        <v>915</v>
      </c>
      <c r="O5" s="407" t="s">
        <v>916</v>
      </c>
    </row>
    <row r="6" spans="1:15" ht="18" customHeight="1">
      <c r="A6" s="1118" t="s">
        <v>755</v>
      </c>
      <c r="B6" s="1121" t="s">
        <v>756</v>
      </c>
      <c r="C6" s="1122"/>
      <c r="D6" s="1125">
        <v>7.5</v>
      </c>
      <c r="E6" s="1125">
        <v>8.5</v>
      </c>
      <c r="F6" s="1125">
        <v>11.5</v>
      </c>
      <c r="G6" s="1127">
        <v>13</v>
      </c>
      <c r="H6" s="1125">
        <v>14.5</v>
      </c>
      <c r="I6" s="1129">
        <v>17</v>
      </c>
      <c r="J6" s="1129">
        <v>19.5</v>
      </c>
      <c r="K6" s="1129">
        <v>22</v>
      </c>
      <c r="L6" s="1129">
        <v>25</v>
      </c>
      <c r="M6" s="1129">
        <v>27.5</v>
      </c>
      <c r="N6" s="1129">
        <v>30</v>
      </c>
      <c r="O6" s="1129">
        <v>33</v>
      </c>
    </row>
    <row r="7" spans="1:15">
      <c r="A7" s="1119"/>
      <c r="B7" s="1123"/>
      <c r="C7" s="1124"/>
      <c r="D7" s="1126"/>
      <c r="E7" s="1126"/>
      <c r="F7" s="1126"/>
      <c r="G7" s="1128"/>
      <c r="H7" s="1126"/>
      <c r="I7" s="1125"/>
      <c r="J7" s="1125"/>
      <c r="K7" s="1125"/>
      <c r="L7" s="1125"/>
      <c r="M7" s="1125"/>
      <c r="N7" s="1125"/>
      <c r="O7" s="1125"/>
    </row>
    <row r="8" spans="1:15">
      <c r="A8" s="1119"/>
      <c r="B8" s="1130" t="s">
        <v>757</v>
      </c>
      <c r="C8" s="1131"/>
      <c r="D8" s="407">
        <v>7.5</v>
      </c>
      <c r="E8" s="407">
        <v>8.5</v>
      </c>
      <c r="F8" s="407">
        <v>11.5</v>
      </c>
      <c r="G8" s="454"/>
      <c r="H8" s="407">
        <v>14.5</v>
      </c>
      <c r="I8" s="407">
        <v>17</v>
      </c>
      <c r="J8" s="407">
        <v>19.5</v>
      </c>
      <c r="K8" s="407">
        <v>22</v>
      </c>
      <c r="L8" s="408" t="s">
        <v>694</v>
      </c>
      <c r="M8" s="455" t="s">
        <v>694</v>
      </c>
      <c r="N8" s="456" t="s">
        <v>694</v>
      </c>
      <c r="O8" s="456" t="s">
        <v>694</v>
      </c>
    </row>
    <row r="9" spans="1:15" ht="17" thickBot="1">
      <c r="A9" s="1120"/>
      <c r="B9" s="1132" t="s">
        <v>758</v>
      </c>
      <c r="C9" s="1133"/>
      <c r="D9" s="457">
        <v>7</v>
      </c>
      <c r="E9" s="457">
        <v>7.7</v>
      </c>
      <c r="F9" s="458" t="s">
        <v>694</v>
      </c>
      <c r="G9" s="454"/>
      <c r="H9" s="458" t="s">
        <v>694</v>
      </c>
      <c r="I9" s="458" t="s">
        <v>694</v>
      </c>
      <c r="J9" s="458" t="s">
        <v>694</v>
      </c>
      <c r="K9" s="459" t="s">
        <v>694</v>
      </c>
      <c r="L9" s="458" t="s">
        <v>694</v>
      </c>
      <c r="M9" s="460" t="s">
        <v>694</v>
      </c>
      <c r="N9" s="408" t="s">
        <v>694</v>
      </c>
      <c r="O9" s="408" t="s">
        <v>694</v>
      </c>
    </row>
    <row r="10" spans="1:15">
      <c r="A10" s="1138" t="s">
        <v>759</v>
      </c>
      <c r="B10" s="1140" t="s">
        <v>760</v>
      </c>
      <c r="C10" s="1141"/>
      <c r="D10" s="461">
        <v>0.66</v>
      </c>
      <c r="E10" s="461">
        <v>0.75</v>
      </c>
      <c r="F10" s="461">
        <v>0.9</v>
      </c>
      <c r="G10" s="462">
        <v>0.98</v>
      </c>
      <c r="H10" s="461">
        <v>1.05</v>
      </c>
      <c r="I10" s="461">
        <v>1.2</v>
      </c>
      <c r="J10" s="461">
        <v>1.3</v>
      </c>
      <c r="K10" s="407">
        <v>1.4</v>
      </c>
      <c r="L10" s="461">
        <v>1.45</v>
      </c>
      <c r="M10" s="463">
        <v>1.55</v>
      </c>
      <c r="N10" s="407">
        <v>1.6</v>
      </c>
      <c r="O10" s="407">
        <v>1.65</v>
      </c>
    </row>
    <row r="11" spans="1:15" ht="18" customHeight="1">
      <c r="A11" s="1139"/>
      <c r="B11" s="1142" t="s">
        <v>761</v>
      </c>
      <c r="C11" s="407" t="s">
        <v>515</v>
      </c>
      <c r="D11" s="407">
        <v>0.66</v>
      </c>
      <c r="E11" s="407">
        <v>0.75</v>
      </c>
      <c r="F11" s="407">
        <v>0.9</v>
      </c>
      <c r="G11" s="454"/>
      <c r="H11" s="407">
        <v>1.05</v>
      </c>
      <c r="I11" s="407">
        <v>1.2</v>
      </c>
      <c r="J11" s="407">
        <v>1.3</v>
      </c>
      <c r="K11" s="407">
        <v>1.4</v>
      </c>
      <c r="L11" s="408" t="s">
        <v>694</v>
      </c>
      <c r="M11" s="455" t="s">
        <v>694</v>
      </c>
      <c r="N11" s="456" t="s">
        <v>694</v>
      </c>
      <c r="O11" s="456" t="s">
        <v>694</v>
      </c>
    </row>
    <row r="12" spans="1:15">
      <c r="A12" s="1139"/>
      <c r="B12" s="1142"/>
      <c r="C12" s="407" t="s">
        <v>621</v>
      </c>
      <c r="D12" s="407">
        <v>0.51</v>
      </c>
      <c r="E12" s="407">
        <v>0.64</v>
      </c>
      <c r="F12" s="407">
        <v>0.77</v>
      </c>
      <c r="G12" s="454"/>
      <c r="H12" s="407">
        <v>0.9</v>
      </c>
      <c r="I12" s="407">
        <v>1</v>
      </c>
      <c r="J12" s="408" t="s">
        <v>694</v>
      </c>
      <c r="K12" s="408" t="s">
        <v>694</v>
      </c>
      <c r="L12" s="408" t="s">
        <v>694</v>
      </c>
      <c r="M12" s="455" t="s">
        <v>694</v>
      </c>
      <c r="N12" s="408" t="s">
        <v>694</v>
      </c>
      <c r="O12" s="408" t="s">
        <v>694</v>
      </c>
    </row>
    <row r="13" spans="1:15">
      <c r="A13" s="1139"/>
      <c r="B13" s="1142"/>
      <c r="C13" s="407" t="s">
        <v>597</v>
      </c>
      <c r="D13" s="408" t="s">
        <v>694</v>
      </c>
      <c r="E13" s="407">
        <v>0.75</v>
      </c>
      <c r="F13" s="407">
        <v>0.9</v>
      </c>
      <c r="G13" s="454"/>
      <c r="H13" s="407">
        <v>1.05</v>
      </c>
      <c r="I13" s="407">
        <v>1.2</v>
      </c>
      <c r="J13" s="407">
        <v>1.3</v>
      </c>
      <c r="K13" s="407">
        <v>1.4</v>
      </c>
      <c r="L13" s="407">
        <v>1.45</v>
      </c>
      <c r="M13" s="453">
        <v>1.55</v>
      </c>
      <c r="N13" s="407">
        <v>1.6</v>
      </c>
      <c r="O13" s="407">
        <v>1.65</v>
      </c>
    </row>
    <row r="14" spans="1:15">
      <c r="A14" s="1139"/>
      <c r="B14" s="1142" t="s">
        <v>762</v>
      </c>
      <c r="C14" s="407" t="s">
        <v>763</v>
      </c>
      <c r="D14" s="407">
        <v>0.66</v>
      </c>
      <c r="E14" s="407">
        <v>0.75</v>
      </c>
      <c r="F14" s="407">
        <v>0.9</v>
      </c>
      <c r="G14" s="454"/>
      <c r="H14" s="407">
        <v>1.05</v>
      </c>
      <c r="I14" s="407">
        <v>1.2</v>
      </c>
      <c r="J14" s="407">
        <v>1.3</v>
      </c>
      <c r="K14" s="407">
        <v>1.4</v>
      </c>
      <c r="L14" s="408" t="s">
        <v>694</v>
      </c>
      <c r="M14" s="455" t="s">
        <v>694</v>
      </c>
      <c r="N14" s="456" t="s">
        <v>694</v>
      </c>
      <c r="O14" s="456" t="s">
        <v>694</v>
      </c>
    </row>
    <row r="15" spans="1:15">
      <c r="A15" s="1139"/>
      <c r="B15" s="1142"/>
      <c r="C15" s="407" t="s">
        <v>764</v>
      </c>
      <c r="D15" s="407">
        <v>0.66</v>
      </c>
      <c r="E15" s="407">
        <v>0.74</v>
      </c>
      <c r="F15" s="407">
        <v>0.8</v>
      </c>
      <c r="G15" s="454"/>
      <c r="H15" s="407">
        <v>0.9</v>
      </c>
      <c r="I15" s="407">
        <v>1</v>
      </c>
      <c r="J15" s="407">
        <v>1.1000000000000001</v>
      </c>
      <c r="K15" s="408">
        <v>1.2</v>
      </c>
      <c r="L15" s="408" t="s">
        <v>694</v>
      </c>
      <c r="M15" s="455" t="s">
        <v>694</v>
      </c>
      <c r="N15" s="456" t="s">
        <v>694</v>
      </c>
      <c r="O15" s="408" t="s">
        <v>694</v>
      </c>
    </row>
    <row r="16" spans="1:15">
      <c r="A16" s="1139"/>
      <c r="B16" s="1149" t="s">
        <v>758</v>
      </c>
      <c r="C16" s="1129"/>
      <c r="D16" s="464">
        <v>0.44</v>
      </c>
      <c r="E16" s="464">
        <v>0.46</v>
      </c>
      <c r="F16" s="459" t="s">
        <v>694</v>
      </c>
      <c r="G16" s="465"/>
      <c r="H16" s="459" t="s">
        <v>694</v>
      </c>
      <c r="I16" s="459" t="s">
        <v>694</v>
      </c>
      <c r="J16" s="459" t="s">
        <v>694</v>
      </c>
      <c r="K16" s="408" t="s">
        <v>694</v>
      </c>
      <c r="L16" s="408" t="s">
        <v>694</v>
      </c>
      <c r="M16" s="408" t="s">
        <v>694</v>
      </c>
      <c r="N16" s="408" t="s">
        <v>694</v>
      </c>
      <c r="O16" s="408" t="s">
        <v>694</v>
      </c>
    </row>
    <row r="17" spans="1:15" ht="17">
      <c r="A17" s="1143" t="s">
        <v>765</v>
      </c>
      <c r="B17" s="1145" t="s">
        <v>917</v>
      </c>
      <c r="C17" s="1145"/>
      <c r="D17" s="1145"/>
      <c r="E17" s="1145"/>
      <c r="F17" s="1145"/>
      <c r="G17" s="1145"/>
      <c r="H17" s="1145"/>
      <c r="I17" s="466"/>
      <c r="J17" s="466"/>
      <c r="O17" s="467"/>
    </row>
    <row r="18" spans="1:15" ht="18" customHeight="1">
      <c r="A18" s="1144"/>
      <c r="B18" s="1146" t="s">
        <v>918</v>
      </c>
      <c r="C18" s="1146"/>
      <c r="D18" s="1146"/>
      <c r="E18" s="1146"/>
      <c r="F18" s="1146"/>
      <c r="G18" s="1146"/>
      <c r="H18" s="1146"/>
      <c r="I18" s="1146"/>
      <c r="J18" s="1146"/>
      <c r="O18" s="467"/>
    </row>
    <row r="19" spans="1:15">
      <c r="A19" s="1144"/>
      <c r="B19" s="1146"/>
      <c r="C19" s="1146"/>
      <c r="D19" s="1146"/>
      <c r="E19" s="1146"/>
      <c r="F19" s="1146"/>
      <c r="G19" s="1146"/>
      <c r="H19" s="1146"/>
      <c r="I19" s="1146"/>
      <c r="J19" s="1146"/>
      <c r="O19" s="467"/>
    </row>
    <row r="20" spans="1:15">
      <c r="A20" s="1144"/>
      <c r="B20" s="468" t="s">
        <v>919</v>
      </c>
      <c r="H20" s="406"/>
      <c r="O20" s="467"/>
    </row>
    <row r="21" spans="1:15">
      <c r="A21" s="1144"/>
      <c r="B21" s="1147" t="s">
        <v>920</v>
      </c>
      <c r="C21" s="1147"/>
      <c r="D21" s="1147"/>
      <c r="E21" s="1147"/>
      <c r="F21" s="1147"/>
      <c r="G21" s="1147"/>
      <c r="H21" s="1147"/>
      <c r="I21" s="1147"/>
      <c r="J21" s="1147"/>
      <c r="O21" s="467"/>
    </row>
    <row r="22" spans="1:15">
      <c r="A22" s="1144"/>
      <c r="B22" s="1147"/>
      <c r="C22" s="1147"/>
      <c r="D22" s="1147"/>
      <c r="E22" s="1147"/>
      <c r="F22" s="1147"/>
      <c r="G22" s="1147"/>
      <c r="H22" s="1147"/>
      <c r="I22" s="1147"/>
      <c r="J22" s="1147"/>
      <c r="O22" s="467"/>
    </row>
    <row r="23" spans="1:15">
      <c r="A23" s="1144"/>
      <c r="B23" s="1148" t="s">
        <v>921</v>
      </c>
      <c r="C23" s="1148"/>
      <c r="D23" s="1148"/>
      <c r="E23" s="1148"/>
      <c r="F23" s="1148"/>
      <c r="G23" s="1148"/>
      <c r="H23" s="1148"/>
      <c r="I23" s="1148"/>
      <c r="J23" s="1148"/>
      <c r="O23" s="467"/>
    </row>
    <row r="24" spans="1:15" ht="18" customHeight="1">
      <c r="A24" s="1144"/>
      <c r="B24" s="406" t="s">
        <v>922</v>
      </c>
      <c r="H24" s="406"/>
      <c r="O24" s="467"/>
    </row>
    <row r="25" spans="1:15">
      <c r="A25" s="469"/>
      <c r="B25" s="470"/>
      <c r="C25" s="471"/>
      <c r="D25" s="472"/>
      <c r="E25" s="472" t="s">
        <v>766</v>
      </c>
      <c r="F25" s="471"/>
      <c r="G25" s="471"/>
      <c r="H25" s="466"/>
      <c r="I25" s="466"/>
      <c r="J25" s="466"/>
      <c r="K25" s="466"/>
      <c r="L25" s="466"/>
      <c r="M25" s="466"/>
      <c r="N25" s="466"/>
      <c r="O25" s="473"/>
    </row>
    <row r="26" spans="1:15" ht="18" customHeight="1">
      <c r="A26" s="474"/>
      <c r="B26" s="409"/>
      <c r="C26" s="475" t="s">
        <v>923</v>
      </c>
      <c r="D26" s="475"/>
      <c r="E26" s="476"/>
      <c r="F26" s="475"/>
      <c r="G26" s="475"/>
      <c r="H26" s="406"/>
      <c r="O26" s="467"/>
    </row>
    <row r="27" spans="1:15">
      <c r="A27" s="474"/>
      <c r="C27" s="477" t="s">
        <v>767</v>
      </c>
      <c r="D27" s="409"/>
      <c r="E27" s="409"/>
      <c r="H27" s="406"/>
      <c r="O27" s="467"/>
    </row>
    <row r="28" spans="1:15" ht="17" thickBot="1">
      <c r="A28" s="478"/>
      <c r="B28" s="479"/>
      <c r="C28" s="479"/>
      <c r="D28" s="479"/>
      <c r="E28" s="480"/>
      <c r="F28" s="480"/>
      <c r="G28" s="480"/>
      <c r="H28" s="480"/>
      <c r="I28" s="481"/>
      <c r="J28" s="481"/>
      <c r="K28" s="481"/>
      <c r="L28" s="481"/>
      <c r="M28" s="481"/>
      <c r="N28" s="481"/>
      <c r="O28" s="482"/>
    </row>
    <row r="29" spans="1:15">
      <c r="A29" s="1108" t="s">
        <v>768</v>
      </c>
      <c r="B29" s="1108"/>
      <c r="C29" s="1108"/>
      <c r="D29" s="1108"/>
      <c r="E29" s="1108"/>
      <c r="F29" s="1108"/>
      <c r="G29" s="1108"/>
      <c r="H29" s="406"/>
    </row>
    <row r="30" spans="1:15" ht="17">
      <c r="A30" s="1108"/>
      <c r="B30" s="1108"/>
      <c r="C30" s="1108"/>
      <c r="D30" s="1108"/>
      <c r="E30" s="1108"/>
      <c r="F30" s="1108"/>
      <c r="G30" s="1108"/>
      <c r="H30" s="483"/>
      <c r="I30" s="483"/>
      <c r="J30" s="483"/>
    </row>
    <row r="31" spans="1:15" ht="17">
      <c r="A31" s="483"/>
      <c r="B31" s="483"/>
      <c r="C31" s="483"/>
      <c r="D31" s="483"/>
      <c r="E31" s="483"/>
      <c r="F31" s="483"/>
      <c r="G31" s="483"/>
      <c r="H31" s="483"/>
      <c r="I31" s="483"/>
      <c r="J31" s="483"/>
    </row>
    <row r="32" spans="1:15">
      <c r="A32" s="1126" t="s">
        <v>769</v>
      </c>
      <c r="B32" s="1126"/>
      <c r="C32" s="1126" t="s">
        <v>770</v>
      </c>
      <c r="D32" s="1126"/>
      <c r="E32" s="1126"/>
      <c r="F32" s="1136" t="s">
        <v>771</v>
      </c>
      <c r="G32" s="1137"/>
      <c r="H32" s="484"/>
    </row>
    <row r="33" spans="1:8">
      <c r="A33" s="1126"/>
      <c r="B33" s="1126"/>
      <c r="C33" s="1136" t="s">
        <v>772</v>
      </c>
      <c r="D33" s="1136" t="s">
        <v>773</v>
      </c>
      <c r="E33" s="1136"/>
      <c r="F33" s="1136"/>
      <c r="G33" s="1137"/>
      <c r="H33" s="485"/>
    </row>
    <row r="34" spans="1:8">
      <c r="A34" s="1126"/>
      <c r="B34" s="1126"/>
      <c r="C34" s="1136"/>
      <c r="D34" s="1136"/>
      <c r="E34" s="1136"/>
      <c r="F34" s="1136"/>
      <c r="G34" s="1137"/>
      <c r="H34" s="485"/>
    </row>
    <row r="35" spans="1:8">
      <c r="A35" s="486" t="s">
        <v>374</v>
      </c>
      <c r="B35" s="486" t="s">
        <v>379</v>
      </c>
      <c r="C35" s="487">
        <v>225</v>
      </c>
      <c r="D35" s="1134">
        <v>175</v>
      </c>
      <c r="E35" s="1134"/>
      <c r="F35" s="1134">
        <v>225</v>
      </c>
      <c r="G35" s="1135"/>
      <c r="H35" s="485"/>
    </row>
    <row r="36" spans="1:8">
      <c r="A36" s="486" t="s">
        <v>774</v>
      </c>
      <c r="B36" s="486" t="s">
        <v>380</v>
      </c>
      <c r="C36" s="487">
        <v>280</v>
      </c>
      <c r="D36" s="1134">
        <v>225</v>
      </c>
      <c r="E36" s="1134"/>
      <c r="F36" s="1134">
        <v>280</v>
      </c>
      <c r="G36" s="1135"/>
      <c r="H36" s="485"/>
    </row>
    <row r="37" spans="1:8">
      <c r="A37" s="486" t="s">
        <v>775</v>
      </c>
      <c r="B37" s="486" t="s">
        <v>776</v>
      </c>
      <c r="C37" s="487">
        <v>355</v>
      </c>
      <c r="D37" s="1134" t="s">
        <v>777</v>
      </c>
      <c r="E37" s="1134"/>
      <c r="F37" s="1134">
        <v>355</v>
      </c>
      <c r="G37" s="1135"/>
      <c r="H37" s="485"/>
    </row>
    <row r="38" spans="1:8" ht="36" customHeight="1">
      <c r="A38" s="488" t="s">
        <v>778</v>
      </c>
      <c r="B38" s="488" t="s">
        <v>779</v>
      </c>
      <c r="C38" s="464">
        <v>365</v>
      </c>
      <c r="D38" s="1150" t="s">
        <v>780</v>
      </c>
      <c r="E38" s="1151"/>
      <c r="F38" s="1150">
        <v>365</v>
      </c>
      <c r="G38" s="1151"/>
      <c r="H38" s="485"/>
    </row>
    <row r="39" spans="1:8">
      <c r="A39" s="489" t="s">
        <v>781</v>
      </c>
      <c r="B39" s="407"/>
      <c r="C39" s="487">
        <v>400</v>
      </c>
      <c r="D39" s="1134">
        <v>320</v>
      </c>
      <c r="E39" s="1134"/>
      <c r="F39" s="1134">
        <v>400</v>
      </c>
      <c r="G39" s="1135"/>
      <c r="H39" s="485"/>
    </row>
    <row r="40" spans="1:8">
      <c r="A40" s="486" t="s">
        <v>377</v>
      </c>
      <c r="B40" s="486" t="s">
        <v>382</v>
      </c>
      <c r="C40" s="487">
        <v>510</v>
      </c>
      <c r="D40" s="1134">
        <v>405</v>
      </c>
      <c r="E40" s="1134"/>
      <c r="F40" s="1134" t="s">
        <v>782</v>
      </c>
      <c r="G40" s="1135"/>
      <c r="H40" s="485"/>
    </row>
    <row r="41" spans="1:8">
      <c r="A41" s="486"/>
      <c r="B41" s="486" t="s">
        <v>719</v>
      </c>
      <c r="C41" s="487">
        <v>680</v>
      </c>
      <c r="D41" s="1134">
        <v>545</v>
      </c>
      <c r="E41" s="1134"/>
      <c r="F41" s="1134" t="s">
        <v>783</v>
      </c>
      <c r="G41" s="1135"/>
      <c r="H41" s="485"/>
    </row>
    <row r="42" spans="1:8">
      <c r="A42" s="486"/>
      <c r="B42" s="486" t="s">
        <v>720</v>
      </c>
      <c r="C42" s="487">
        <v>815</v>
      </c>
      <c r="D42" s="1134">
        <v>650</v>
      </c>
      <c r="E42" s="1134"/>
      <c r="F42" s="1134" t="s">
        <v>783</v>
      </c>
      <c r="G42" s="1135"/>
      <c r="H42" s="485"/>
    </row>
    <row r="43" spans="1:8">
      <c r="A43" s="1126" t="s">
        <v>924</v>
      </c>
      <c r="B43" s="1136" t="s">
        <v>784</v>
      </c>
      <c r="C43" s="1126">
        <v>490</v>
      </c>
      <c r="D43" s="1126">
        <v>390</v>
      </c>
      <c r="E43" s="1126"/>
      <c r="F43" s="1126">
        <v>200</v>
      </c>
      <c r="G43" s="1152"/>
      <c r="H43" s="485"/>
    </row>
    <row r="44" spans="1:8" ht="18" customHeight="1">
      <c r="A44" s="1126"/>
      <c r="B44" s="1136"/>
      <c r="C44" s="1126"/>
      <c r="D44" s="1126"/>
      <c r="E44" s="1126"/>
      <c r="F44" s="1126"/>
      <c r="G44" s="1152"/>
      <c r="H44" s="485"/>
    </row>
    <row r="45" spans="1:8" ht="18" customHeight="1">
      <c r="A45" s="1126"/>
      <c r="B45" s="1136" t="s">
        <v>785</v>
      </c>
      <c r="C45" s="1126">
        <v>450</v>
      </c>
      <c r="D45" s="1126">
        <v>360</v>
      </c>
      <c r="E45" s="1126"/>
      <c r="F45" s="1126">
        <v>200</v>
      </c>
      <c r="G45" s="1152"/>
      <c r="H45" s="485"/>
    </row>
    <row r="46" spans="1:8">
      <c r="A46" s="1126"/>
      <c r="B46" s="1136"/>
      <c r="C46" s="1126"/>
      <c r="D46" s="1126"/>
      <c r="E46" s="1126"/>
      <c r="F46" s="1126"/>
      <c r="G46" s="1152"/>
      <c r="H46" s="485"/>
    </row>
    <row r="47" spans="1:8">
      <c r="A47" s="490" t="s">
        <v>786</v>
      </c>
      <c r="B47" s="466"/>
      <c r="C47" s="466"/>
      <c r="D47" s="466"/>
      <c r="E47" s="466"/>
      <c r="F47" s="466"/>
      <c r="G47" s="491"/>
      <c r="H47" s="451"/>
    </row>
    <row r="48" spans="1:8">
      <c r="A48" s="484" t="s">
        <v>787</v>
      </c>
      <c r="G48" s="492"/>
      <c r="H48" s="406"/>
    </row>
    <row r="49" spans="1:9">
      <c r="A49" s="484" t="s">
        <v>788</v>
      </c>
      <c r="G49" s="492"/>
      <c r="H49" s="406"/>
    </row>
    <row r="50" spans="1:9">
      <c r="A50" s="484" t="s">
        <v>789</v>
      </c>
      <c r="G50" s="492"/>
      <c r="H50" s="406"/>
    </row>
    <row r="51" spans="1:9">
      <c r="A51" s="484" t="s">
        <v>790</v>
      </c>
      <c r="G51" s="492"/>
      <c r="H51" s="406"/>
    </row>
    <row r="52" spans="1:9">
      <c r="A52" s="484" t="s">
        <v>791</v>
      </c>
      <c r="G52" s="492"/>
      <c r="H52" s="406"/>
    </row>
    <row r="53" spans="1:9">
      <c r="A53" s="484" t="s">
        <v>792</v>
      </c>
      <c r="G53" s="492"/>
      <c r="H53" s="406"/>
    </row>
    <row r="54" spans="1:9">
      <c r="A54" s="484" t="s">
        <v>793</v>
      </c>
      <c r="G54" s="492"/>
      <c r="H54" s="406"/>
    </row>
    <row r="55" spans="1:9">
      <c r="A55" s="493"/>
      <c r="B55" s="494"/>
      <c r="C55" s="494"/>
      <c r="D55" s="494"/>
      <c r="E55" s="494"/>
      <c r="F55" s="494"/>
      <c r="G55" s="495"/>
      <c r="H55" s="451"/>
    </row>
    <row r="56" spans="1:9">
      <c r="A56" s="1108" t="s">
        <v>794</v>
      </c>
      <c r="B56" s="1108"/>
      <c r="C56" s="1108"/>
      <c r="D56" s="1108"/>
      <c r="E56" s="1108"/>
      <c r="F56" s="1108"/>
      <c r="G56" s="1108"/>
      <c r="H56" s="1108"/>
      <c r="I56" s="1108"/>
    </row>
    <row r="57" spans="1:9">
      <c r="A57" s="1154"/>
      <c r="B57" s="1154"/>
      <c r="C57" s="1154"/>
      <c r="D57" s="1154"/>
      <c r="E57" s="1154"/>
      <c r="F57" s="1154"/>
      <c r="G57" s="1154"/>
      <c r="H57" s="1154"/>
      <c r="I57" s="1154"/>
    </row>
    <row r="58" spans="1:9">
      <c r="A58" s="1129" t="s">
        <v>795</v>
      </c>
      <c r="B58" s="1152" t="s">
        <v>796</v>
      </c>
      <c r="C58" s="1155"/>
      <c r="D58" s="1155"/>
      <c r="E58" s="1155"/>
      <c r="F58" s="1155"/>
      <c r="G58" s="1155"/>
      <c r="H58" s="1155"/>
      <c r="I58" s="1156"/>
    </row>
    <row r="59" spans="1:9">
      <c r="A59" s="1125"/>
      <c r="B59" s="496">
        <v>5</v>
      </c>
      <c r="C59" s="496">
        <v>6</v>
      </c>
      <c r="D59" s="497" t="s">
        <v>797</v>
      </c>
      <c r="E59" s="496">
        <v>8</v>
      </c>
      <c r="F59" s="496" t="s">
        <v>798</v>
      </c>
      <c r="G59" s="496">
        <v>10</v>
      </c>
      <c r="H59" s="496" t="s">
        <v>799</v>
      </c>
      <c r="I59" s="496">
        <v>12</v>
      </c>
    </row>
    <row r="60" spans="1:9">
      <c r="A60" s="496">
        <v>70</v>
      </c>
      <c r="B60" s="407">
        <v>281</v>
      </c>
      <c r="C60" s="407">
        <v>404</v>
      </c>
      <c r="D60" s="407">
        <v>561</v>
      </c>
      <c r="E60" s="407">
        <v>719</v>
      </c>
      <c r="F60" s="407">
        <v>920</v>
      </c>
      <c r="G60" s="407">
        <v>1121</v>
      </c>
      <c r="H60" s="407">
        <v>1368</v>
      </c>
      <c r="I60" s="407">
        <v>1615</v>
      </c>
    </row>
    <row r="61" spans="1:9">
      <c r="A61" s="496">
        <f>A60+10</f>
        <v>80</v>
      </c>
      <c r="B61" s="407">
        <v>245</v>
      </c>
      <c r="C61" s="407">
        <v>354</v>
      </c>
      <c r="D61" s="407">
        <v>491</v>
      </c>
      <c r="E61" s="407">
        <v>629</v>
      </c>
      <c r="F61" s="407">
        <v>805</v>
      </c>
      <c r="G61" s="407">
        <v>981</v>
      </c>
      <c r="H61" s="407">
        <v>1197</v>
      </c>
      <c r="I61" s="407">
        <v>1413</v>
      </c>
    </row>
    <row r="62" spans="1:9">
      <c r="A62" s="496">
        <f t="shared" ref="A62:A73" si="0">A61+10</f>
        <v>90</v>
      </c>
      <c r="B62" s="407">
        <v>218</v>
      </c>
      <c r="C62" s="407">
        <v>314</v>
      </c>
      <c r="D62" s="407">
        <v>437</v>
      </c>
      <c r="E62" s="407">
        <v>559</v>
      </c>
      <c r="F62" s="407">
        <v>716</v>
      </c>
      <c r="G62" s="407">
        <v>872</v>
      </c>
      <c r="H62" s="407">
        <v>1064</v>
      </c>
      <c r="I62" s="407">
        <v>1256</v>
      </c>
    </row>
    <row r="63" spans="1:9">
      <c r="A63" s="496">
        <f t="shared" si="0"/>
        <v>100</v>
      </c>
      <c r="B63" s="407">
        <v>196</v>
      </c>
      <c r="C63" s="407">
        <v>283</v>
      </c>
      <c r="D63" s="407">
        <v>393</v>
      </c>
      <c r="E63" s="407">
        <v>503</v>
      </c>
      <c r="F63" s="407">
        <v>644</v>
      </c>
      <c r="G63" s="407">
        <v>785</v>
      </c>
      <c r="H63" s="407">
        <v>958</v>
      </c>
      <c r="I63" s="407">
        <v>1131</v>
      </c>
    </row>
    <row r="64" spans="1:9">
      <c r="A64" s="496">
        <f t="shared" si="0"/>
        <v>110</v>
      </c>
      <c r="B64" s="407">
        <v>178</v>
      </c>
      <c r="C64" s="407">
        <v>257</v>
      </c>
      <c r="D64" s="407">
        <v>357</v>
      </c>
      <c r="E64" s="407">
        <v>457</v>
      </c>
      <c r="F64" s="407">
        <v>585</v>
      </c>
      <c r="G64" s="407">
        <v>714</v>
      </c>
      <c r="H64" s="407">
        <v>871</v>
      </c>
      <c r="I64" s="407">
        <v>1028</v>
      </c>
    </row>
    <row r="65" spans="1:9">
      <c r="A65" s="496">
        <f t="shared" si="0"/>
        <v>120</v>
      </c>
      <c r="B65" s="407">
        <v>163</v>
      </c>
      <c r="C65" s="407">
        <v>236</v>
      </c>
      <c r="D65" s="407">
        <v>327</v>
      </c>
      <c r="E65" s="407">
        <v>419</v>
      </c>
      <c r="F65" s="407">
        <v>537</v>
      </c>
      <c r="G65" s="407">
        <v>654</v>
      </c>
      <c r="H65" s="407">
        <v>798</v>
      </c>
      <c r="I65" s="407">
        <v>942</v>
      </c>
    </row>
    <row r="66" spans="1:9">
      <c r="A66" s="496">
        <f t="shared" si="0"/>
        <v>130</v>
      </c>
      <c r="B66" s="407">
        <v>151</v>
      </c>
      <c r="C66" s="407">
        <v>218</v>
      </c>
      <c r="D66" s="407">
        <v>302</v>
      </c>
      <c r="E66" s="407">
        <v>387</v>
      </c>
      <c r="F66" s="407">
        <v>495</v>
      </c>
      <c r="G66" s="407">
        <v>604</v>
      </c>
      <c r="H66" s="407">
        <v>737</v>
      </c>
      <c r="I66" s="407">
        <v>870</v>
      </c>
    </row>
    <row r="67" spans="1:9">
      <c r="A67" s="496">
        <f t="shared" si="0"/>
        <v>140</v>
      </c>
      <c r="B67" s="407">
        <v>140</v>
      </c>
      <c r="C67" s="407">
        <v>202</v>
      </c>
      <c r="D67" s="407">
        <v>281</v>
      </c>
      <c r="E67" s="407">
        <v>359</v>
      </c>
      <c r="F67" s="407">
        <v>460</v>
      </c>
      <c r="G67" s="407">
        <v>561</v>
      </c>
      <c r="H67" s="407">
        <v>684</v>
      </c>
      <c r="I67" s="407">
        <v>807</v>
      </c>
    </row>
    <row r="68" spans="1:9">
      <c r="A68" s="496">
        <f t="shared" si="0"/>
        <v>150</v>
      </c>
      <c r="B68" s="407">
        <v>131</v>
      </c>
      <c r="C68" s="407">
        <v>189</v>
      </c>
      <c r="D68" s="407">
        <v>262</v>
      </c>
      <c r="E68" s="407">
        <v>335</v>
      </c>
      <c r="F68" s="407">
        <v>429</v>
      </c>
      <c r="G68" s="407">
        <v>523</v>
      </c>
      <c r="H68" s="407">
        <v>638</v>
      </c>
      <c r="I68" s="407">
        <v>754</v>
      </c>
    </row>
    <row r="69" spans="1:9">
      <c r="A69" s="496">
        <f t="shared" si="0"/>
        <v>160</v>
      </c>
      <c r="B69" s="407">
        <v>123</v>
      </c>
      <c r="C69" s="407">
        <v>177</v>
      </c>
      <c r="D69" s="407">
        <v>246</v>
      </c>
      <c r="E69" s="407">
        <v>314</v>
      </c>
      <c r="F69" s="407">
        <v>403</v>
      </c>
      <c r="G69" s="407">
        <v>491</v>
      </c>
      <c r="H69" s="407">
        <v>598</v>
      </c>
      <c r="I69" s="407">
        <v>706</v>
      </c>
    </row>
    <row r="70" spans="1:9">
      <c r="A70" s="496">
        <f>A69+10</f>
        <v>170</v>
      </c>
      <c r="B70" s="407">
        <v>115</v>
      </c>
      <c r="C70" s="407">
        <v>166</v>
      </c>
      <c r="D70" s="407">
        <v>231</v>
      </c>
      <c r="E70" s="407">
        <v>296</v>
      </c>
      <c r="F70" s="407">
        <v>379</v>
      </c>
      <c r="G70" s="407">
        <v>462</v>
      </c>
      <c r="H70" s="407">
        <v>563</v>
      </c>
      <c r="I70" s="407">
        <v>665</v>
      </c>
    </row>
    <row r="71" spans="1:9">
      <c r="A71" s="496">
        <f t="shared" si="0"/>
        <v>180</v>
      </c>
      <c r="B71" s="407">
        <v>109</v>
      </c>
      <c r="C71" s="407">
        <v>157</v>
      </c>
      <c r="D71" s="407">
        <v>218</v>
      </c>
      <c r="E71" s="407">
        <v>279</v>
      </c>
      <c r="F71" s="407">
        <v>358</v>
      </c>
      <c r="G71" s="407">
        <v>436</v>
      </c>
      <c r="H71" s="407">
        <v>532</v>
      </c>
      <c r="I71" s="407">
        <v>628</v>
      </c>
    </row>
    <row r="72" spans="1:9">
      <c r="A72" s="496">
        <f>A71+10</f>
        <v>190</v>
      </c>
      <c r="B72" s="407">
        <v>103</v>
      </c>
      <c r="C72" s="407">
        <v>149</v>
      </c>
      <c r="D72" s="407">
        <v>207</v>
      </c>
      <c r="E72" s="407">
        <v>265</v>
      </c>
      <c r="F72" s="407">
        <v>339</v>
      </c>
      <c r="G72" s="407">
        <v>413</v>
      </c>
      <c r="H72" s="407">
        <v>504</v>
      </c>
      <c r="I72" s="407">
        <v>595</v>
      </c>
    </row>
    <row r="73" spans="1:9">
      <c r="A73" s="496">
        <f t="shared" si="0"/>
        <v>200</v>
      </c>
      <c r="B73" s="407">
        <v>98</v>
      </c>
      <c r="C73" s="407">
        <v>141</v>
      </c>
      <c r="D73" s="407">
        <v>196</v>
      </c>
      <c r="E73" s="407">
        <v>250</v>
      </c>
      <c r="F73" s="407">
        <v>322</v>
      </c>
      <c r="G73" s="407">
        <v>392</v>
      </c>
      <c r="H73" s="407">
        <v>478</v>
      </c>
      <c r="I73" s="407">
        <v>565</v>
      </c>
    </row>
    <row r="74" spans="1:9">
      <c r="A74" s="1157" t="s">
        <v>800</v>
      </c>
      <c r="B74" s="1158"/>
      <c r="C74" s="1158"/>
      <c r="D74" s="1158"/>
      <c r="E74" s="1158"/>
      <c r="F74" s="1158"/>
      <c r="G74" s="1158"/>
      <c r="H74" s="1158"/>
      <c r="I74" s="1159"/>
    </row>
    <row r="76" spans="1:9">
      <c r="A76" s="1108" t="s">
        <v>801</v>
      </c>
      <c r="B76" s="1108"/>
      <c r="C76" s="1108"/>
      <c r="D76" s="1108"/>
      <c r="E76" s="1108"/>
      <c r="F76" s="1108"/>
      <c r="G76" s="1108"/>
      <c r="H76" s="1108"/>
      <c r="I76" s="1108"/>
    </row>
    <row r="77" spans="1:9">
      <c r="A77" s="1108"/>
      <c r="B77" s="1108"/>
      <c r="C77" s="1108"/>
      <c r="D77" s="1108"/>
      <c r="E77" s="1108"/>
      <c r="F77" s="1108"/>
      <c r="G77" s="1108"/>
      <c r="H77" s="1108"/>
      <c r="I77" s="1108"/>
    </row>
    <row r="78" spans="1:9">
      <c r="H78" s="498"/>
    </row>
    <row r="79" spans="1:9">
      <c r="H79" s="499"/>
    </row>
    <row r="80" spans="1:9">
      <c r="H80" s="1129" t="s">
        <v>708</v>
      </c>
    </row>
    <row r="81" spans="8:8">
      <c r="H81" s="1125"/>
    </row>
    <row r="82" spans="8:8">
      <c r="H82" s="487" t="s">
        <v>802</v>
      </c>
    </row>
    <row r="83" spans="8:8">
      <c r="H83" s="1129">
        <v>29</v>
      </c>
    </row>
    <row r="84" spans="8:8">
      <c r="H84" s="1153"/>
    </row>
    <row r="85" spans="8:8">
      <c r="H85" s="1125"/>
    </row>
    <row r="86" spans="8:8">
      <c r="H86" s="465"/>
    </row>
    <row r="87" spans="8:8">
      <c r="H87" s="465"/>
    </row>
    <row r="88" spans="8:8">
      <c r="H88" s="465"/>
    </row>
    <row r="89" spans="8:8">
      <c r="H89" s="465"/>
    </row>
    <row r="90" spans="8:8">
      <c r="H90" s="465"/>
    </row>
    <row r="91" spans="8:8">
      <c r="H91" s="465"/>
    </row>
    <row r="92" spans="8:8">
      <c r="H92" s="465"/>
    </row>
    <row r="93" spans="8:8">
      <c r="H93" s="465"/>
    </row>
    <row r="94" spans="8:8">
      <c r="H94" s="465"/>
    </row>
    <row r="95" spans="8:8">
      <c r="H95" s="465"/>
    </row>
    <row r="96" spans="8:8">
      <c r="H96" s="465"/>
    </row>
    <row r="97" spans="8:8">
      <c r="H97" s="465"/>
    </row>
    <row r="98" spans="8:8">
      <c r="H98" s="465"/>
    </row>
    <row r="99" spans="8:8">
      <c r="H99" s="465"/>
    </row>
    <row r="100" spans="8:8">
      <c r="H100" s="465"/>
    </row>
  </sheetData>
  <mergeCells count="68">
    <mergeCell ref="H80:H81"/>
    <mergeCell ref="H83:H85"/>
    <mergeCell ref="F45:G46"/>
    <mergeCell ref="A56:I57"/>
    <mergeCell ref="A58:A59"/>
    <mergeCell ref="B58:I58"/>
    <mergeCell ref="A74:I74"/>
    <mergeCell ref="A76:I77"/>
    <mergeCell ref="D41:E41"/>
    <mergeCell ref="F41:G41"/>
    <mergeCell ref="D42:E42"/>
    <mergeCell ref="F42:G42"/>
    <mergeCell ref="A43:A46"/>
    <mergeCell ref="B43:B44"/>
    <mergeCell ref="C43:C44"/>
    <mergeCell ref="D43:E44"/>
    <mergeCell ref="F43:G44"/>
    <mergeCell ref="B45:B46"/>
    <mergeCell ref="C45:C46"/>
    <mergeCell ref="D45:E46"/>
    <mergeCell ref="D38:E38"/>
    <mergeCell ref="F38:G38"/>
    <mergeCell ref="D39:E39"/>
    <mergeCell ref="F39:G39"/>
    <mergeCell ref="D40:E40"/>
    <mergeCell ref="F40:G40"/>
    <mergeCell ref="B16:C16"/>
    <mergeCell ref="D36:E36"/>
    <mergeCell ref="F36:G36"/>
    <mergeCell ref="D37:E37"/>
    <mergeCell ref="F37:G37"/>
    <mergeCell ref="A17:A24"/>
    <mergeCell ref="B17:H17"/>
    <mergeCell ref="B18:J19"/>
    <mergeCell ref="B21:J22"/>
    <mergeCell ref="B23:J23"/>
    <mergeCell ref="K6:K7"/>
    <mergeCell ref="L6:L7"/>
    <mergeCell ref="M6:M7"/>
    <mergeCell ref="I6:I7"/>
    <mergeCell ref="D35:E35"/>
    <mergeCell ref="F35:G35"/>
    <mergeCell ref="A29:G30"/>
    <mergeCell ref="A32:B34"/>
    <mergeCell ref="C32:E32"/>
    <mergeCell ref="F32:G34"/>
    <mergeCell ref="C33:C34"/>
    <mergeCell ref="D33:E34"/>
    <mergeCell ref="A10:A16"/>
    <mergeCell ref="B10:C10"/>
    <mergeCell ref="B11:B13"/>
    <mergeCell ref="B14:B15"/>
    <mergeCell ref="A1:L2"/>
    <mergeCell ref="A4:A5"/>
    <mergeCell ref="B4:C5"/>
    <mergeCell ref="D4:O4"/>
    <mergeCell ref="A6:A9"/>
    <mergeCell ref="B6:C7"/>
    <mergeCell ref="D6:D7"/>
    <mergeCell ref="E6:E7"/>
    <mergeCell ref="F6:F7"/>
    <mergeCell ref="G6:G7"/>
    <mergeCell ref="N6:N7"/>
    <mergeCell ref="O6:O7"/>
    <mergeCell ref="B8:C8"/>
    <mergeCell ref="B9:C9"/>
    <mergeCell ref="H6:H7"/>
    <mergeCell ref="J6:J7"/>
  </mergeCells>
  <pageMargins left="0.7" right="0.7" top="0.75" bottom="0.75" header="0.3" footer="0.3"/>
  <pageSetup paperSize="9" orientation="portrait" verticalDpi="0" r:id="rId1"/>
  <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092A-24E0-41DF-9A7B-04343804415A}">
  <sheetPr codeName="Sheet22"/>
  <dimension ref="A2:T111"/>
  <sheetViews>
    <sheetView workbookViewId="0">
      <selection sqref="A1:XFD1048576"/>
    </sheetView>
  </sheetViews>
  <sheetFormatPr defaultColWidth="8.83203125" defaultRowHeight="14"/>
  <sheetData>
    <row r="2" spans="2:20" ht="20.5">
      <c r="B2" s="387"/>
      <c r="C2" s="387"/>
      <c r="D2" s="387"/>
      <c r="E2" s="387"/>
      <c r="F2" s="387"/>
      <c r="G2" s="387"/>
      <c r="H2" s="387"/>
      <c r="I2" s="387"/>
      <c r="J2" s="387"/>
      <c r="K2" s="387"/>
      <c r="L2" s="387"/>
      <c r="M2" s="1160" t="s">
        <v>803</v>
      </c>
      <c r="N2" s="1160"/>
      <c r="O2" s="1160"/>
    </row>
    <row r="3" spans="2:20">
      <c r="B3" s="388"/>
      <c r="C3" s="388"/>
      <c r="D3" s="388"/>
      <c r="E3" s="388"/>
      <c r="F3" s="388"/>
      <c r="G3" s="388"/>
      <c r="H3" s="388"/>
      <c r="I3" s="388"/>
      <c r="J3" s="388"/>
      <c r="K3" s="388"/>
      <c r="L3" s="389" t="s">
        <v>804</v>
      </c>
      <c r="M3" s="388"/>
      <c r="N3" s="388"/>
    </row>
    <row r="4" spans="2:20">
      <c r="B4" s="390"/>
      <c r="C4" s="388"/>
      <c r="D4" s="388"/>
      <c r="E4" s="388"/>
      <c r="F4" s="388"/>
      <c r="G4" s="388"/>
      <c r="H4" s="388"/>
      <c r="I4" s="388"/>
      <c r="J4" s="388"/>
      <c r="K4" s="388"/>
      <c r="L4" s="388"/>
      <c r="M4" s="1161" t="s">
        <v>805</v>
      </c>
      <c r="N4" s="1161"/>
      <c r="O4" s="1161"/>
    </row>
    <row r="5" spans="2:20">
      <c r="B5" s="388"/>
      <c r="C5" s="388"/>
      <c r="D5" s="388"/>
      <c r="E5" s="388"/>
      <c r="F5" s="388"/>
      <c r="G5" s="388"/>
      <c r="H5" s="388"/>
      <c r="I5" s="388"/>
      <c r="J5" s="388"/>
      <c r="K5" s="388"/>
      <c r="L5" s="388"/>
      <c r="M5" s="388"/>
      <c r="N5" s="388"/>
    </row>
    <row r="6" spans="2:20">
      <c r="B6" s="388"/>
      <c r="C6" s="388"/>
      <c r="D6" s="388"/>
      <c r="E6" s="388"/>
      <c r="F6" s="388"/>
      <c r="G6" s="388"/>
      <c r="H6" s="388"/>
      <c r="I6" s="388"/>
      <c r="J6" s="388"/>
      <c r="K6" s="388"/>
      <c r="L6" s="388"/>
      <c r="M6" s="388"/>
      <c r="N6" s="388"/>
    </row>
    <row r="7" spans="2:20">
      <c r="B7" s="388"/>
      <c r="C7" s="388"/>
      <c r="D7" s="388"/>
      <c r="E7" s="388"/>
      <c r="F7" s="388"/>
      <c r="G7" s="388"/>
      <c r="H7" s="388"/>
      <c r="I7" s="388"/>
      <c r="J7" s="388"/>
      <c r="K7" s="388"/>
      <c r="L7" s="388"/>
      <c r="M7" s="388"/>
      <c r="N7" s="388"/>
    </row>
    <row r="8" spans="2:20">
      <c r="B8" s="388"/>
      <c r="C8" s="388"/>
      <c r="D8" s="388"/>
      <c r="E8" s="388"/>
      <c r="F8" s="388"/>
      <c r="G8" s="388"/>
      <c r="H8" s="388"/>
      <c r="I8" s="388"/>
      <c r="J8" s="388"/>
      <c r="K8" s="388"/>
      <c r="L8" s="388"/>
      <c r="M8" s="388"/>
      <c r="N8" s="388"/>
    </row>
    <row r="9" spans="2:20">
      <c r="B9" s="388"/>
      <c r="C9" s="388"/>
      <c r="D9" s="388"/>
      <c r="E9" s="388"/>
      <c r="F9" s="388"/>
      <c r="G9" s="388"/>
      <c r="H9" s="388"/>
      <c r="I9" s="388"/>
      <c r="J9" s="388"/>
      <c r="K9" s="388"/>
      <c r="L9" s="388"/>
      <c r="M9" s="388"/>
      <c r="N9" s="388"/>
    </row>
    <row r="10" spans="2:20">
      <c r="B10" s="388"/>
      <c r="C10" s="388"/>
      <c r="D10" s="388"/>
      <c r="E10" s="388"/>
      <c r="F10" s="388"/>
      <c r="G10" s="388"/>
      <c r="H10" s="388"/>
      <c r="I10" s="388"/>
      <c r="J10" s="388"/>
      <c r="K10" s="388"/>
      <c r="L10" s="388"/>
      <c r="M10" s="388"/>
      <c r="N10" s="388"/>
    </row>
    <row r="11" spans="2:20">
      <c r="B11" s="388"/>
      <c r="C11" s="388"/>
      <c r="D11" s="388"/>
      <c r="E11" s="388"/>
      <c r="F11" s="388"/>
      <c r="G11" s="388"/>
      <c r="H11" s="388"/>
      <c r="I11" s="388"/>
      <c r="J11" s="388"/>
      <c r="K11" s="388"/>
      <c r="L11" s="388"/>
      <c r="M11" s="388"/>
      <c r="N11" s="388"/>
    </row>
    <row r="12" spans="2:20">
      <c r="B12" s="388"/>
      <c r="C12" s="388"/>
      <c r="D12" s="388"/>
      <c r="E12" s="388"/>
      <c r="F12" s="388"/>
      <c r="G12" s="388"/>
      <c r="H12" s="388"/>
      <c r="I12" s="388"/>
      <c r="J12" s="388"/>
      <c r="K12" s="388"/>
      <c r="L12" s="388"/>
      <c r="M12" s="388"/>
      <c r="N12" s="388"/>
    </row>
    <row r="13" spans="2:20">
      <c r="B13" s="388"/>
      <c r="C13" s="388"/>
      <c r="D13" s="388"/>
      <c r="E13" s="388"/>
      <c r="F13" s="388"/>
      <c r="G13" s="388"/>
      <c r="H13" s="388"/>
      <c r="I13" s="388"/>
      <c r="J13" s="388"/>
      <c r="K13" s="388"/>
      <c r="L13" s="388"/>
      <c r="M13" s="388"/>
      <c r="N13" s="388"/>
    </row>
    <row r="14" spans="2:20">
      <c r="B14" s="388"/>
      <c r="C14" s="388"/>
      <c r="D14" s="388"/>
      <c r="E14" s="388"/>
      <c r="F14" s="388"/>
      <c r="G14" s="388"/>
      <c r="H14" s="388"/>
      <c r="I14" s="388"/>
      <c r="J14" s="388"/>
      <c r="K14" s="388"/>
      <c r="L14" s="388"/>
      <c r="M14" s="388"/>
      <c r="N14" s="388"/>
    </row>
    <row r="15" spans="2:20">
      <c r="B15" s="388"/>
      <c r="C15" s="388"/>
      <c r="D15" s="388"/>
      <c r="E15" s="388"/>
      <c r="F15" s="388"/>
      <c r="G15" s="388"/>
      <c r="H15" s="388"/>
      <c r="I15" s="388"/>
      <c r="J15" s="388"/>
      <c r="K15" s="388"/>
      <c r="L15" s="388"/>
      <c r="M15" s="388"/>
      <c r="N15" s="388"/>
    </row>
    <row r="16" spans="2:20" ht="15">
      <c r="B16" s="388"/>
      <c r="C16" s="388"/>
      <c r="D16" s="388"/>
      <c r="E16" s="388"/>
      <c r="F16" s="388"/>
      <c r="G16" s="388"/>
      <c r="H16" s="388"/>
      <c r="I16" s="388"/>
      <c r="J16" s="388"/>
      <c r="K16" s="388"/>
      <c r="L16" s="1162" t="s">
        <v>806</v>
      </c>
      <c r="M16" s="1164" t="s">
        <v>807</v>
      </c>
      <c r="N16" s="1164"/>
      <c r="O16" s="1164" t="s">
        <v>808</v>
      </c>
      <c r="P16" s="1164"/>
      <c r="Q16" s="1164" t="s">
        <v>809</v>
      </c>
      <c r="R16" s="1164"/>
      <c r="S16" s="1164" t="s">
        <v>810</v>
      </c>
      <c r="T16" s="1164"/>
    </row>
    <row r="17" spans="1:20" ht="18.75" customHeight="1">
      <c r="B17" s="388"/>
      <c r="C17" s="388"/>
      <c r="D17" s="388"/>
      <c r="E17" s="388"/>
      <c r="F17" s="388"/>
      <c r="G17" s="388"/>
      <c r="H17" s="388"/>
      <c r="I17" s="388"/>
      <c r="J17" s="388"/>
      <c r="K17" s="388"/>
      <c r="L17" s="1163"/>
      <c r="M17" s="386"/>
      <c r="N17" s="391"/>
      <c r="O17" s="386"/>
      <c r="P17" s="386"/>
      <c r="Q17" s="386"/>
      <c r="R17" s="386"/>
      <c r="S17" s="386"/>
      <c r="T17" s="386"/>
    </row>
    <row r="18" spans="1:20" ht="15">
      <c r="B18" s="388"/>
      <c r="C18" s="388"/>
      <c r="D18" s="388"/>
      <c r="E18" s="388"/>
      <c r="F18" s="388"/>
      <c r="G18" s="388"/>
      <c r="H18" s="388"/>
      <c r="I18" s="388"/>
      <c r="J18" s="388"/>
      <c r="K18" s="388"/>
      <c r="L18" s="392" t="s">
        <v>444</v>
      </c>
      <c r="M18" s="393">
        <v>7.8E-2</v>
      </c>
      <c r="N18" s="393">
        <v>9.8900000000000002E-2</v>
      </c>
      <c r="O18" s="394">
        <v>7.7100000000000002E-2</v>
      </c>
      <c r="P18" s="394">
        <v>0.98599999999999999</v>
      </c>
      <c r="Q18" s="394">
        <v>0.08</v>
      </c>
      <c r="R18" s="394">
        <v>0.1</v>
      </c>
      <c r="S18" s="394">
        <v>7.0000000000000007E-2</v>
      </c>
      <c r="T18" s="394">
        <v>9.5000000000000001E-2</v>
      </c>
    </row>
    <row r="19" spans="1:20" ht="15">
      <c r="B19" s="388"/>
      <c r="C19" s="388"/>
      <c r="D19" s="388"/>
      <c r="E19" s="388"/>
      <c r="F19" s="388"/>
      <c r="G19" s="388"/>
      <c r="H19" s="388"/>
      <c r="I19" s="388"/>
      <c r="J19" s="388"/>
      <c r="K19" s="388"/>
      <c r="L19" s="392" t="s">
        <v>811</v>
      </c>
      <c r="M19" s="393">
        <v>-0.1053</v>
      </c>
      <c r="N19" s="393">
        <v>-0.1196</v>
      </c>
      <c r="O19" s="394">
        <v>-0.1071</v>
      </c>
      <c r="P19" s="394">
        <v>-0.1205</v>
      </c>
      <c r="Q19" s="394">
        <v>-0.1</v>
      </c>
      <c r="R19" s="394">
        <v>-0.1167</v>
      </c>
      <c r="S19" s="394">
        <v>-0.125</v>
      </c>
      <c r="T19" s="394">
        <v>-0.125</v>
      </c>
    </row>
    <row r="20" spans="1:20" ht="15">
      <c r="B20" s="388"/>
      <c r="C20" s="388"/>
      <c r="D20" s="388"/>
      <c r="E20" s="388"/>
      <c r="F20" s="388"/>
      <c r="G20" s="388"/>
      <c r="H20" s="388"/>
      <c r="I20" s="388"/>
      <c r="J20" s="388"/>
      <c r="K20" s="388"/>
      <c r="L20" s="392" t="s">
        <v>445</v>
      </c>
      <c r="M20" s="393">
        <v>3.3000000000000002E-2</v>
      </c>
      <c r="N20" s="393">
        <v>7.9000000000000001E-2</v>
      </c>
      <c r="O20" s="394">
        <v>3.5700000000000003E-2</v>
      </c>
      <c r="P20" s="394">
        <v>8.0399999999999999E-2</v>
      </c>
      <c r="Q20" s="394">
        <v>2.5000000000000001E-2</v>
      </c>
      <c r="R20" s="394">
        <v>7.4999999999999997E-2</v>
      </c>
      <c r="S20" s="395"/>
      <c r="T20" s="395"/>
    </row>
    <row r="21" spans="1:20" ht="15">
      <c r="B21" s="388"/>
      <c r="C21" s="388"/>
      <c r="D21" s="388"/>
      <c r="E21" s="388"/>
      <c r="F21" s="388"/>
      <c r="G21" s="388"/>
      <c r="H21" s="388"/>
      <c r="I21" s="388"/>
      <c r="J21" s="388"/>
      <c r="K21" s="388"/>
      <c r="L21" s="392" t="s">
        <v>812</v>
      </c>
      <c r="M21" s="393">
        <v>-7.9899999999999999E-2</v>
      </c>
      <c r="N21" s="393">
        <v>-0.11119999999999999</v>
      </c>
      <c r="O21" s="394">
        <v>-7.4099999999999999E-2</v>
      </c>
      <c r="P21" s="394">
        <v>-0.1071</v>
      </c>
      <c r="Q21" s="395"/>
      <c r="R21" s="395"/>
      <c r="S21" s="395"/>
      <c r="T21" s="395"/>
    </row>
    <row r="22" spans="1:20" ht="15">
      <c r="B22" s="388"/>
      <c r="C22" s="388"/>
      <c r="D22" s="388"/>
      <c r="E22" s="388"/>
      <c r="F22" s="388"/>
      <c r="G22" s="388"/>
      <c r="H22" s="388"/>
      <c r="I22" s="388"/>
      <c r="J22" s="388"/>
      <c r="K22" s="388"/>
      <c r="L22" s="392" t="s">
        <v>813</v>
      </c>
      <c r="M22" s="393">
        <v>4.6100000000000002E-2</v>
      </c>
      <c r="N22" s="393">
        <v>8.5500000000000007E-2</v>
      </c>
      <c r="O22" s="396"/>
      <c r="P22" s="396"/>
      <c r="Q22" s="396"/>
      <c r="R22" s="396"/>
      <c r="S22" s="396"/>
      <c r="T22" s="396"/>
    </row>
    <row r="23" spans="1:20">
      <c r="B23" s="388"/>
      <c r="C23" s="388"/>
      <c r="D23" s="388"/>
      <c r="E23" s="388"/>
      <c r="F23" s="388"/>
      <c r="G23" s="388"/>
      <c r="H23" s="388"/>
      <c r="I23" s="388"/>
      <c r="J23" s="388"/>
      <c r="K23" s="388"/>
      <c r="L23" s="388"/>
      <c r="M23" s="388"/>
      <c r="N23" s="388"/>
    </row>
    <row r="24" spans="1:20">
      <c r="B24" s="388"/>
      <c r="C24" s="388"/>
      <c r="D24" s="388"/>
      <c r="E24" s="388"/>
      <c r="F24" s="388"/>
      <c r="G24" s="388"/>
      <c r="H24" s="388"/>
      <c r="I24" s="388"/>
      <c r="J24" s="388"/>
      <c r="K24" s="388"/>
      <c r="L24" s="388"/>
      <c r="M24" s="388"/>
      <c r="N24" s="388"/>
    </row>
    <row r="25" spans="1:20">
      <c r="B25" s="388"/>
      <c r="C25" s="388"/>
      <c r="D25" s="388"/>
      <c r="E25" s="388"/>
      <c r="F25" s="388"/>
      <c r="G25" s="388"/>
      <c r="H25" s="388"/>
      <c r="I25" s="388"/>
      <c r="J25" s="388"/>
      <c r="K25" s="388"/>
      <c r="L25" s="388"/>
      <c r="M25" s="388"/>
      <c r="N25" s="388"/>
    </row>
    <row r="26" spans="1:20">
      <c r="B26" s="388"/>
      <c r="C26" s="388"/>
      <c r="D26" s="388"/>
      <c r="E26" s="388"/>
      <c r="F26" s="388"/>
      <c r="G26" s="388"/>
      <c r="H26" s="388"/>
      <c r="I26" s="388"/>
      <c r="J26" s="388"/>
      <c r="K26" s="388"/>
      <c r="L26" s="388"/>
      <c r="M26" s="388"/>
      <c r="N26" s="388"/>
    </row>
    <row r="27" spans="1:20">
      <c r="B27" s="388"/>
      <c r="C27" s="388"/>
      <c r="D27" s="388"/>
      <c r="E27" s="388"/>
      <c r="F27" s="388"/>
      <c r="G27" s="388"/>
      <c r="H27" s="388"/>
      <c r="I27" s="388"/>
      <c r="J27" s="388"/>
      <c r="K27" s="388"/>
      <c r="L27" s="388"/>
      <c r="M27" s="388"/>
      <c r="N27" s="388"/>
    </row>
    <row r="28" spans="1:20">
      <c r="B28" s="388"/>
      <c r="C28" s="388"/>
      <c r="D28" s="388"/>
      <c r="E28" s="388"/>
      <c r="F28" s="388"/>
      <c r="G28" s="388"/>
      <c r="H28" s="388"/>
      <c r="I28" s="388"/>
      <c r="J28" s="388"/>
      <c r="K28" s="388"/>
      <c r="L28" s="388"/>
      <c r="M28" s="388"/>
      <c r="N28" s="388"/>
    </row>
    <row r="32" spans="1:20" ht="19">
      <c r="A32" s="1165" t="s">
        <v>814</v>
      </c>
      <c r="B32" s="1165"/>
      <c r="C32" s="1165"/>
      <c r="D32" s="1165"/>
      <c r="E32" s="1165"/>
      <c r="F32" s="388"/>
      <c r="G32" s="1165" t="s">
        <v>815</v>
      </c>
      <c r="H32" s="1165"/>
      <c r="I32" s="1165"/>
      <c r="J32" s="1165"/>
      <c r="K32" s="1165"/>
      <c r="L32" s="388"/>
      <c r="M32" s="1165" t="s">
        <v>816</v>
      </c>
      <c r="N32" s="1165"/>
      <c r="O32" s="1165"/>
      <c r="P32" s="1165"/>
      <c r="Q32" s="1165"/>
      <c r="R32" s="388"/>
    </row>
    <row r="33" spans="1:18">
      <c r="A33" s="397" t="s">
        <v>327</v>
      </c>
      <c r="B33" s="398" t="s">
        <v>428</v>
      </c>
      <c r="C33" s="398" t="s">
        <v>3</v>
      </c>
      <c r="D33" s="398" t="s">
        <v>429</v>
      </c>
      <c r="E33" s="398" t="s">
        <v>430</v>
      </c>
      <c r="F33" s="399"/>
      <c r="G33" s="397" t="s">
        <v>327</v>
      </c>
      <c r="H33" s="398" t="s">
        <v>428</v>
      </c>
      <c r="I33" s="398" t="s">
        <v>3</v>
      </c>
      <c r="J33" s="398" t="s">
        <v>429</v>
      </c>
      <c r="K33" s="398" t="s">
        <v>430</v>
      </c>
      <c r="L33" s="399"/>
      <c r="M33" s="397" t="s">
        <v>327</v>
      </c>
      <c r="N33" s="398" t="s">
        <v>428</v>
      </c>
      <c r="O33" s="398" t="s">
        <v>3</v>
      </c>
      <c r="P33" s="398" t="s">
        <v>429</v>
      </c>
      <c r="Q33" s="398" t="s">
        <v>430</v>
      </c>
      <c r="R33" s="399"/>
    </row>
    <row r="34" spans="1:18">
      <c r="A34" s="400">
        <v>1</v>
      </c>
      <c r="B34" s="401">
        <v>3.6499999999999998E-2</v>
      </c>
      <c r="C34" s="401">
        <v>3.6499999999999998E-2</v>
      </c>
      <c r="D34" s="401">
        <v>0</v>
      </c>
      <c r="E34" s="401">
        <v>0</v>
      </c>
      <c r="F34" s="402"/>
      <c r="G34" s="400">
        <v>1</v>
      </c>
      <c r="H34" s="401">
        <v>3.3399999999999999E-2</v>
      </c>
      <c r="I34" s="401">
        <v>2.7300000000000001E-2</v>
      </c>
      <c r="J34" s="401">
        <v>8.9200000000000002E-2</v>
      </c>
      <c r="K34" s="401">
        <v>0</v>
      </c>
      <c r="L34" s="388"/>
      <c r="M34" s="400">
        <v>1</v>
      </c>
      <c r="N34" s="401">
        <v>2.7300000000000001E-2</v>
      </c>
      <c r="O34" s="401">
        <v>3.3399999999999999E-2</v>
      </c>
      <c r="P34" s="401">
        <v>0</v>
      </c>
      <c r="Q34" s="401">
        <v>8.9300000000000004E-2</v>
      </c>
      <c r="R34" s="388"/>
    </row>
    <row r="35" spans="1:18">
      <c r="A35" s="400">
        <v>1.05</v>
      </c>
      <c r="B35" s="401">
        <v>3.8399999999999997E-2</v>
      </c>
      <c r="C35" s="401">
        <v>3.4099999999999998E-2</v>
      </c>
      <c r="D35" s="401">
        <v>0</v>
      </c>
      <c r="E35" s="401">
        <v>0</v>
      </c>
      <c r="F35" s="388"/>
      <c r="G35" s="400">
        <v>1.05</v>
      </c>
      <c r="H35" s="401">
        <v>3.4299999999999997E-2</v>
      </c>
      <c r="I35" s="401">
        <v>2.52E-2</v>
      </c>
      <c r="J35" s="401">
        <v>8.9499999999999996E-2</v>
      </c>
      <c r="K35" s="401">
        <v>0</v>
      </c>
      <c r="L35" s="388"/>
      <c r="M35" s="400">
        <v>1.05</v>
      </c>
      <c r="N35" s="401">
        <v>2.93E-2</v>
      </c>
      <c r="O35" s="401">
        <v>3.2500000000000001E-2</v>
      </c>
      <c r="P35" s="401">
        <v>0</v>
      </c>
      <c r="Q35" s="401">
        <v>8.8300000000000003E-2</v>
      </c>
      <c r="R35" s="388"/>
    </row>
    <row r="36" spans="1:18">
      <c r="A36" s="400">
        <v>1.1000000000000001</v>
      </c>
      <c r="B36" s="401">
        <v>3.9899999999999998E-2</v>
      </c>
      <c r="C36" s="401">
        <v>3.3000000000000002E-2</v>
      </c>
      <c r="D36" s="401">
        <v>0</v>
      </c>
      <c r="E36" s="401">
        <v>0</v>
      </c>
      <c r="F36" s="388"/>
      <c r="G36" s="400">
        <v>1.1000000000000001</v>
      </c>
      <c r="H36" s="401">
        <v>3.49E-2</v>
      </c>
      <c r="I36" s="401">
        <v>2.3099999999999999E-2</v>
      </c>
      <c r="J36" s="401">
        <v>8.9200000000000002E-2</v>
      </c>
      <c r="K36" s="401">
        <v>0</v>
      </c>
      <c r="L36" s="388"/>
      <c r="M36" s="400">
        <v>1.1000000000000001</v>
      </c>
      <c r="N36" s="401">
        <v>3.1300000000000001E-2</v>
      </c>
      <c r="O36" s="401">
        <v>3.1300000000000001E-2</v>
      </c>
      <c r="P36" s="401">
        <v>0</v>
      </c>
      <c r="Q36" s="401">
        <v>8.6699999999999999E-2</v>
      </c>
      <c r="R36" s="388"/>
    </row>
    <row r="37" spans="1:18">
      <c r="A37" s="400">
        <v>1.1499999999999999</v>
      </c>
      <c r="B37" s="401">
        <v>4.1399999999999999E-2</v>
      </c>
      <c r="C37" s="401">
        <v>3.1399999999999997E-2</v>
      </c>
      <c r="D37" s="401">
        <v>0</v>
      </c>
      <c r="E37" s="401">
        <v>0</v>
      </c>
      <c r="F37" s="388"/>
      <c r="G37" s="400">
        <v>1.1499999999999999</v>
      </c>
      <c r="H37" s="401">
        <v>3.5299999999999998E-2</v>
      </c>
      <c r="I37" s="401">
        <v>2.1299999999999999E-2</v>
      </c>
      <c r="J37" s="401">
        <v>8.8499999999999995E-2</v>
      </c>
      <c r="K37" s="401">
        <v>0</v>
      </c>
      <c r="L37" s="388"/>
      <c r="M37" s="400">
        <v>1.1499999999999999</v>
      </c>
      <c r="N37" s="401">
        <v>3.32E-2</v>
      </c>
      <c r="O37" s="401">
        <v>3.0200000000000001E-2</v>
      </c>
      <c r="P37" s="401">
        <v>0</v>
      </c>
      <c r="Q37" s="401">
        <v>8.4400000000000003E-2</v>
      </c>
      <c r="R37" s="388"/>
    </row>
    <row r="38" spans="1:18">
      <c r="A38" s="400">
        <v>1.2</v>
      </c>
      <c r="B38" s="401">
        <v>4.2799999999999998E-2</v>
      </c>
      <c r="C38" s="401">
        <v>2.98E-2</v>
      </c>
      <c r="D38" s="401">
        <v>0</v>
      </c>
      <c r="E38" s="401">
        <v>0</v>
      </c>
      <c r="F38" s="388"/>
      <c r="G38" s="400">
        <v>1.2</v>
      </c>
      <c r="H38" s="401">
        <v>3.5700000000000003E-2</v>
      </c>
      <c r="I38" s="401">
        <v>1.9599999999999999E-2</v>
      </c>
      <c r="J38" s="401">
        <v>8.72E-2</v>
      </c>
      <c r="K38" s="401">
        <v>0</v>
      </c>
      <c r="L38" s="388"/>
      <c r="M38" s="400">
        <v>1.2</v>
      </c>
      <c r="N38" s="401">
        <v>3.4799999999999998E-2</v>
      </c>
      <c r="O38" s="401">
        <v>2.92E-2</v>
      </c>
      <c r="P38" s="401">
        <v>0</v>
      </c>
      <c r="Q38" s="401">
        <v>8.2000000000000003E-2</v>
      </c>
      <c r="R38" s="388"/>
    </row>
    <row r="39" spans="1:18">
      <c r="A39" s="400">
        <v>1.25</v>
      </c>
      <c r="B39" s="401">
        <v>4.3999999999999997E-2</v>
      </c>
      <c r="C39" s="401">
        <v>2.8199999999999999E-2</v>
      </c>
      <c r="D39" s="401">
        <v>0</v>
      </c>
      <c r="E39" s="401">
        <v>0</v>
      </c>
      <c r="F39" s="388"/>
      <c r="G39" s="400">
        <v>1.25</v>
      </c>
      <c r="H39" s="401">
        <v>3.5900000000000001E-2</v>
      </c>
      <c r="I39" s="401">
        <v>1.7899999999999999E-2</v>
      </c>
      <c r="J39" s="401">
        <v>8.5900000000000004E-2</v>
      </c>
      <c r="K39" s="401">
        <v>0</v>
      </c>
      <c r="L39" s="388"/>
      <c r="M39" s="400">
        <v>1.25</v>
      </c>
      <c r="N39" s="401">
        <v>3.6299999999999999E-2</v>
      </c>
      <c r="O39" s="401">
        <v>2.8000000000000001E-2</v>
      </c>
      <c r="P39" s="401">
        <v>0</v>
      </c>
      <c r="Q39" s="401">
        <v>7.9100000000000004E-2</v>
      </c>
      <c r="R39" s="388"/>
    </row>
    <row r="40" spans="1:18">
      <c r="A40" s="400">
        <v>1.3</v>
      </c>
      <c r="B40" s="401">
        <v>4.5199999999999997E-2</v>
      </c>
      <c r="C40" s="401">
        <v>2.6800000000000001E-2</v>
      </c>
      <c r="D40" s="401">
        <v>0</v>
      </c>
      <c r="E40" s="401">
        <v>0</v>
      </c>
      <c r="F40" s="388"/>
      <c r="G40" s="400">
        <v>1.3</v>
      </c>
      <c r="H40" s="401">
        <v>3.5900000000000001E-2</v>
      </c>
      <c r="I40" s="401">
        <v>1.6500000000000001E-2</v>
      </c>
      <c r="J40" s="401">
        <v>8.43E-2</v>
      </c>
      <c r="K40" s="401">
        <v>0</v>
      </c>
      <c r="L40" s="388"/>
      <c r="M40" s="400">
        <v>1.3</v>
      </c>
      <c r="N40" s="401">
        <v>3.78E-2</v>
      </c>
      <c r="O40" s="401">
        <v>2.69E-2</v>
      </c>
      <c r="P40" s="401">
        <v>0</v>
      </c>
      <c r="Q40" s="401">
        <v>7.5999999999999998E-2</v>
      </c>
      <c r="R40" s="388"/>
    </row>
    <row r="41" spans="1:18">
      <c r="A41" s="400">
        <v>1.35</v>
      </c>
      <c r="B41" s="401">
        <v>4.6100000000000002E-2</v>
      </c>
      <c r="C41" s="401">
        <v>2.53E-2</v>
      </c>
      <c r="D41" s="401">
        <v>0</v>
      </c>
      <c r="E41" s="401">
        <v>0</v>
      </c>
      <c r="F41" s="388"/>
      <c r="G41" s="400">
        <v>1.35</v>
      </c>
      <c r="H41" s="401">
        <v>3.5799999999999998E-2</v>
      </c>
      <c r="I41" s="401">
        <v>1.52E-2</v>
      </c>
      <c r="J41" s="401">
        <v>8.2699999999999996E-2</v>
      </c>
      <c r="K41" s="401">
        <v>0</v>
      </c>
      <c r="L41" s="388"/>
      <c r="M41" s="400">
        <v>1.35</v>
      </c>
      <c r="N41" s="401">
        <v>3.9100000000000003E-2</v>
      </c>
      <c r="O41" s="401">
        <v>2.58E-2</v>
      </c>
      <c r="P41" s="401">
        <v>0</v>
      </c>
      <c r="Q41" s="401">
        <v>7.2599999999999998E-2</v>
      </c>
      <c r="R41" s="388"/>
    </row>
    <row r="42" spans="1:18">
      <c r="A42" s="400">
        <v>1.4</v>
      </c>
      <c r="B42" s="401">
        <v>4.6899999999999997E-2</v>
      </c>
      <c r="C42" s="401">
        <v>2.4E-2</v>
      </c>
      <c r="D42" s="401">
        <v>0</v>
      </c>
      <c r="E42" s="401">
        <v>0</v>
      </c>
      <c r="F42" s="388"/>
      <c r="G42" s="400">
        <v>1.4</v>
      </c>
      <c r="H42" s="401">
        <v>3.5700000000000003E-2</v>
      </c>
      <c r="I42" s="401">
        <v>1.4E-2</v>
      </c>
      <c r="J42" s="401">
        <v>8.0799999999999997E-2</v>
      </c>
      <c r="K42" s="401">
        <v>0</v>
      </c>
      <c r="L42" s="388"/>
      <c r="M42" s="400">
        <v>1.4</v>
      </c>
      <c r="N42" s="401">
        <v>4.0099999999999997E-2</v>
      </c>
      <c r="O42" s="401">
        <v>2.4799999999999999E-2</v>
      </c>
      <c r="P42" s="401">
        <v>0</v>
      </c>
      <c r="Q42" s="401">
        <v>6.88E-2</v>
      </c>
      <c r="R42" s="388"/>
    </row>
    <row r="43" spans="1:18">
      <c r="A43" s="400">
        <v>1.45</v>
      </c>
      <c r="B43" s="401">
        <v>4.7500000000000001E-2</v>
      </c>
      <c r="C43" s="401">
        <v>2.2499999999999999E-2</v>
      </c>
      <c r="D43" s="401">
        <v>0</v>
      </c>
      <c r="E43" s="401">
        <v>0</v>
      </c>
      <c r="F43" s="388"/>
      <c r="G43" s="400">
        <v>1.45</v>
      </c>
      <c r="H43" s="401">
        <v>3.5299999999999998E-2</v>
      </c>
      <c r="I43" s="401">
        <v>1.2800000000000001E-2</v>
      </c>
      <c r="J43" s="401">
        <v>7.9000000000000001E-2</v>
      </c>
      <c r="K43" s="401">
        <v>0</v>
      </c>
      <c r="L43" s="388"/>
      <c r="M43" s="400">
        <v>1.45</v>
      </c>
      <c r="N43" s="401">
        <v>4.1099999999999998E-2</v>
      </c>
      <c r="O43" s="401">
        <v>2.3699999999999999E-2</v>
      </c>
      <c r="P43" s="401">
        <v>0</v>
      </c>
      <c r="Q43" s="401">
        <v>6.54E-2</v>
      </c>
      <c r="R43" s="388"/>
    </row>
    <row r="44" spans="1:18">
      <c r="A44" s="400">
        <v>1.5</v>
      </c>
      <c r="B44" s="401">
        <v>4.8000000000000001E-2</v>
      </c>
      <c r="C44" s="401">
        <v>2.1399999999999999E-2</v>
      </c>
      <c r="D44" s="401">
        <v>0</v>
      </c>
      <c r="E44" s="401">
        <v>0</v>
      </c>
      <c r="F44" s="388"/>
      <c r="G44" s="400">
        <v>1.5</v>
      </c>
      <c r="H44" s="401">
        <v>3.5000000000000003E-2</v>
      </c>
      <c r="I44" s="401">
        <v>1.1900000000000001E-2</v>
      </c>
      <c r="J44" s="401">
        <v>7.7200000000000005E-2</v>
      </c>
      <c r="K44" s="401">
        <v>0</v>
      </c>
      <c r="L44" s="388"/>
      <c r="M44" s="400">
        <v>1.5</v>
      </c>
      <c r="N44" s="401">
        <v>4.2000000000000003E-2</v>
      </c>
      <c r="O44" s="401">
        <v>2.2800000000000001E-2</v>
      </c>
      <c r="P44" s="401">
        <v>0</v>
      </c>
      <c r="Q44" s="401">
        <v>6.2E-2</v>
      </c>
      <c r="R44" s="388"/>
    </row>
    <row r="45" spans="1:18">
      <c r="A45" s="400">
        <v>1.55</v>
      </c>
      <c r="B45" s="401">
        <v>4.8399999999999999E-2</v>
      </c>
      <c r="C45" s="401">
        <v>2.01E-2</v>
      </c>
      <c r="D45" s="401">
        <v>0</v>
      </c>
      <c r="E45" s="401">
        <v>0</v>
      </c>
      <c r="F45" s="388"/>
      <c r="G45" s="400">
        <v>1.55</v>
      </c>
      <c r="H45" s="401">
        <v>3.4599999999999999E-2</v>
      </c>
      <c r="I45" s="401">
        <v>1.09E-2</v>
      </c>
      <c r="J45" s="401">
        <v>7.5399999999999995E-2</v>
      </c>
      <c r="K45" s="401">
        <v>0</v>
      </c>
      <c r="L45" s="388"/>
      <c r="M45" s="400">
        <v>1.55</v>
      </c>
      <c r="N45" s="401">
        <v>4.2700000000000002E-2</v>
      </c>
      <c r="O45" s="401">
        <v>2.1899999999999999E-2</v>
      </c>
      <c r="P45" s="401">
        <v>0</v>
      </c>
      <c r="Q45" s="401">
        <v>5.8500000000000003E-2</v>
      </c>
      <c r="R45" s="388"/>
    </row>
    <row r="46" spans="1:18">
      <c r="A46" s="400">
        <v>1.6</v>
      </c>
      <c r="B46" s="401">
        <v>4.8500000000000001E-2</v>
      </c>
      <c r="C46" s="401">
        <v>1.89E-2</v>
      </c>
      <c r="D46" s="401">
        <v>0</v>
      </c>
      <c r="E46" s="401">
        <v>0</v>
      </c>
      <c r="F46" s="388"/>
      <c r="G46" s="400">
        <v>1.6</v>
      </c>
      <c r="H46" s="401">
        <v>3.4099999999999998E-2</v>
      </c>
      <c r="I46" s="401">
        <v>1.01E-2</v>
      </c>
      <c r="J46" s="401">
        <v>7.3499999999999996E-2</v>
      </c>
      <c r="K46" s="401">
        <v>0</v>
      </c>
      <c r="L46" s="388"/>
      <c r="M46" s="400">
        <v>1.6</v>
      </c>
      <c r="N46" s="401">
        <v>4.3299999999999998E-2</v>
      </c>
      <c r="O46" s="401">
        <v>2.0799999999999999E-2</v>
      </c>
      <c r="P46" s="401">
        <v>0</v>
      </c>
      <c r="Q46" s="401">
        <v>5.5300000000000002E-2</v>
      </c>
      <c r="R46" s="388"/>
    </row>
    <row r="47" spans="1:18">
      <c r="A47" s="400">
        <v>1.65</v>
      </c>
      <c r="B47" s="401">
        <v>4.8599999999999997E-2</v>
      </c>
      <c r="C47" s="401">
        <v>1.7899999999999999E-2</v>
      </c>
      <c r="D47" s="401">
        <v>0</v>
      </c>
      <c r="E47" s="401">
        <v>0</v>
      </c>
      <c r="F47" s="388"/>
      <c r="G47" s="400">
        <v>1.65</v>
      </c>
      <c r="H47" s="401">
        <v>3.3799999999999997E-2</v>
      </c>
      <c r="I47" s="401">
        <v>9.2999999999999992E-3</v>
      </c>
      <c r="J47" s="401">
        <v>7.1800000000000003E-2</v>
      </c>
      <c r="K47" s="401">
        <v>0</v>
      </c>
      <c r="L47" s="388"/>
      <c r="M47" s="400">
        <v>1.65</v>
      </c>
      <c r="N47" s="401">
        <v>4.3700000000000003E-2</v>
      </c>
      <c r="O47" s="401">
        <v>1.9800000000000002E-2</v>
      </c>
      <c r="P47" s="401">
        <v>0</v>
      </c>
      <c r="Q47" s="401">
        <v>5.1900000000000002E-2</v>
      </c>
      <c r="R47" s="388"/>
    </row>
    <row r="48" spans="1:18">
      <c r="A48" s="400">
        <v>1.7</v>
      </c>
      <c r="B48" s="401">
        <v>4.8800000000000003E-2</v>
      </c>
      <c r="C48" s="401">
        <v>1.6899999999999998E-2</v>
      </c>
      <c r="D48" s="401">
        <v>0</v>
      </c>
      <c r="E48" s="401">
        <v>0</v>
      </c>
      <c r="F48" s="388"/>
      <c r="G48" s="400">
        <v>1.7</v>
      </c>
      <c r="H48" s="401">
        <v>3.3300000000000003E-2</v>
      </c>
      <c r="I48" s="401">
        <v>8.6E-3</v>
      </c>
      <c r="J48" s="401">
        <v>7.0099999999999996E-2</v>
      </c>
      <c r="K48" s="401">
        <v>0</v>
      </c>
      <c r="L48" s="388"/>
      <c r="M48" s="400">
        <v>1.7</v>
      </c>
      <c r="N48" s="401">
        <v>4.41E-2</v>
      </c>
      <c r="O48" s="401">
        <v>1.9E-2</v>
      </c>
      <c r="P48" s="401">
        <v>0</v>
      </c>
      <c r="Q48" s="401">
        <v>4.8899999999999999E-2</v>
      </c>
      <c r="R48" s="388"/>
    </row>
    <row r="49" spans="1:18">
      <c r="A49" s="400">
        <v>1.75</v>
      </c>
      <c r="B49" s="401">
        <v>4.8599999999999997E-2</v>
      </c>
      <c r="C49" s="401">
        <v>1.5800000000000002E-2</v>
      </c>
      <c r="D49" s="401">
        <v>0</v>
      </c>
      <c r="E49" s="401">
        <v>0</v>
      </c>
      <c r="F49" s="388"/>
      <c r="G49" s="400">
        <v>1.75</v>
      </c>
      <c r="H49" s="401">
        <v>3.2899999999999999E-2</v>
      </c>
      <c r="I49" s="401">
        <v>8.0000000000000002E-3</v>
      </c>
      <c r="J49" s="401">
        <v>6.8500000000000005E-2</v>
      </c>
      <c r="K49" s="401">
        <v>0</v>
      </c>
      <c r="L49" s="388"/>
      <c r="M49" s="400">
        <v>1.75</v>
      </c>
      <c r="N49" s="401">
        <v>4.4299999999999999E-2</v>
      </c>
      <c r="O49" s="401">
        <v>1.8100000000000002E-2</v>
      </c>
      <c r="P49" s="401">
        <v>0</v>
      </c>
      <c r="Q49" s="401">
        <v>4.5999999999999999E-2</v>
      </c>
      <c r="R49" s="388"/>
    </row>
    <row r="50" spans="1:18">
      <c r="A50" s="400">
        <v>1.8</v>
      </c>
      <c r="B50" s="401">
        <v>4.8500000000000001E-2</v>
      </c>
      <c r="C50" s="401">
        <v>1.4800000000000001E-2</v>
      </c>
      <c r="D50" s="401">
        <v>0</v>
      </c>
      <c r="E50" s="401">
        <v>0</v>
      </c>
      <c r="F50" s="388"/>
      <c r="G50" s="400">
        <v>1.8</v>
      </c>
      <c r="H50" s="401">
        <v>3.2599999999999997E-2</v>
      </c>
      <c r="I50" s="401">
        <v>7.4999999999999997E-3</v>
      </c>
      <c r="J50" s="401">
        <v>6.6799999999999998E-2</v>
      </c>
      <c r="K50" s="401">
        <v>0</v>
      </c>
      <c r="L50" s="388"/>
      <c r="M50" s="400">
        <v>1.8</v>
      </c>
      <c r="N50" s="401">
        <v>4.4400000000000002E-2</v>
      </c>
      <c r="O50" s="401">
        <v>1.72E-2</v>
      </c>
      <c r="P50" s="401">
        <v>0</v>
      </c>
      <c r="Q50" s="401">
        <v>4.3200000000000002E-2</v>
      </c>
      <c r="R50" s="388"/>
    </row>
    <row r="51" spans="1:18">
      <c r="A51" s="400">
        <v>1.85</v>
      </c>
      <c r="B51" s="401">
        <v>4.8399999999999999E-2</v>
      </c>
      <c r="C51" s="401">
        <v>1.4E-2</v>
      </c>
      <c r="D51" s="401">
        <v>0</v>
      </c>
      <c r="E51" s="401">
        <v>0</v>
      </c>
      <c r="F51" s="388"/>
      <c r="G51" s="400">
        <v>1.85</v>
      </c>
      <c r="H51" s="401">
        <v>3.2099999999999997E-2</v>
      </c>
      <c r="I51" s="401">
        <v>6.8999999999999999E-3</v>
      </c>
      <c r="J51" s="401">
        <v>6.5299999999999997E-2</v>
      </c>
      <c r="K51" s="401">
        <v>0</v>
      </c>
      <c r="L51" s="388"/>
      <c r="M51" s="400">
        <v>1.85</v>
      </c>
      <c r="N51" s="401">
        <v>4.4499999999999998E-2</v>
      </c>
      <c r="O51" s="401">
        <v>1.6500000000000001E-2</v>
      </c>
      <c r="P51" s="401">
        <v>0</v>
      </c>
      <c r="Q51" s="401">
        <v>4.07E-2</v>
      </c>
      <c r="R51" s="388"/>
    </row>
    <row r="52" spans="1:18">
      <c r="A52" s="400">
        <v>1.9</v>
      </c>
      <c r="B52" s="401">
        <v>4.8000000000000001E-2</v>
      </c>
      <c r="C52" s="401">
        <v>1.3299999999999999E-2</v>
      </c>
      <c r="D52" s="401">
        <v>0</v>
      </c>
      <c r="E52" s="401">
        <v>0</v>
      </c>
      <c r="F52" s="388"/>
      <c r="G52" s="400">
        <v>1.9</v>
      </c>
      <c r="H52" s="401">
        <v>3.1600000000000003E-2</v>
      </c>
      <c r="I52" s="401">
        <v>6.4000000000000003E-3</v>
      </c>
      <c r="J52" s="401">
        <v>6.3799999999999996E-2</v>
      </c>
      <c r="K52" s="401">
        <v>0</v>
      </c>
      <c r="L52" s="388"/>
      <c r="M52" s="400">
        <v>1.9</v>
      </c>
      <c r="N52" s="401">
        <v>4.4499999999999998E-2</v>
      </c>
      <c r="O52" s="401">
        <v>1.5699999999999999E-2</v>
      </c>
      <c r="P52" s="401">
        <v>0</v>
      </c>
      <c r="Q52" s="401">
        <v>3.32E-2</v>
      </c>
      <c r="R52" s="388"/>
    </row>
    <row r="53" spans="1:18">
      <c r="A53" s="400">
        <v>1.95</v>
      </c>
      <c r="B53" s="401">
        <v>4.7600000000000003E-2</v>
      </c>
      <c r="C53" s="401">
        <v>1.2500000000000001E-2</v>
      </c>
      <c r="D53" s="401">
        <v>0</v>
      </c>
      <c r="E53" s="401">
        <v>0</v>
      </c>
      <c r="F53" s="388"/>
      <c r="G53" s="400">
        <v>1.95</v>
      </c>
      <c r="H53" s="401">
        <v>3.1E-2</v>
      </c>
      <c r="I53" s="401">
        <v>6.0000000000000001E-3</v>
      </c>
      <c r="J53" s="401">
        <v>6.2399999999999997E-2</v>
      </c>
      <c r="K53" s="401">
        <v>0</v>
      </c>
      <c r="L53" s="388"/>
      <c r="M53" s="400">
        <v>1.95</v>
      </c>
      <c r="N53" s="401">
        <v>4.4400000000000002E-2</v>
      </c>
      <c r="O53" s="401">
        <v>1.49E-2</v>
      </c>
      <c r="P53" s="401">
        <v>0</v>
      </c>
      <c r="Q53" s="401">
        <v>3.39E-2</v>
      </c>
      <c r="R53" s="388"/>
    </row>
    <row r="54" spans="1:18">
      <c r="A54" s="403">
        <v>2</v>
      </c>
      <c r="B54" s="404">
        <v>4.7300000000000002E-2</v>
      </c>
      <c r="C54" s="404">
        <v>1.18E-2</v>
      </c>
      <c r="D54" s="404">
        <v>0</v>
      </c>
      <c r="E54" s="404">
        <v>0</v>
      </c>
      <c r="F54" s="388"/>
      <c r="G54" s="403">
        <v>2</v>
      </c>
      <c r="H54" s="404">
        <v>3.0300000000000001E-2</v>
      </c>
      <c r="I54" s="404">
        <v>5.5999999999999999E-3</v>
      </c>
      <c r="J54" s="404">
        <v>6.0999999999999999E-2</v>
      </c>
      <c r="K54" s="404">
        <v>0</v>
      </c>
      <c r="L54" s="388"/>
      <c r="M54" s="403">
        <v>2</v>
      </c>
      <c r="N54" s="404">
        <v>4.4299999999999999E-2</v>
      </c>
      <c r="O54" s="404">
        <v>1.4200000000000001E-2</v>
      </c>
      <c r="P54" s="404">
        <v>0</v>
      </c>
      <c r="Q54" s="404">
        <v>3.3799999999999997E-2</v>
      </c>
      <c r="R54" s="388"/>
    </row>
    <row r="55" spans="1:18">
      <c r="A55" s="405"/>
      <c r="B55" s="402"/>
      <c r="C55" s="402"/>
      <c r="D55" s="402"/>
      <c r="E55" s="402"/>
      <c r="F55" s="388"/>
      <c r="G55" s="388"/>
      <c r="H55" s="388"/>
      <c r="I55" s="388"/>
      <c r="J55" s="388"/>
      <c r="K55" s="388"/>
      <c r="L55" s="388"/>
      <c r="M55" s="388"/>
      <c r="N55" s="388"/>
      <c r="O55" s="388"/>
      <c r="P55" s="388"/>
      <c r="Q55" s="388"/>
      <c r="R55" s="388"/>
    </row>
    <row r="56" spans="1:18" ht="19">
      <c r="A56" s="1165" t="s">
        <v>817</v>
      </c>
      <c r="B56" s="1165"/>
      <c r="C56" s="1165"/>
      <c r="D56" s="1165"/>
      <c r="E56" s="1165"/>
      <c r="F56" s="388"/>
      <c r="G56" s="1165" t="s">
        <v>818</v>
      </c>
      <c r="H56" s="1165"/>
      <c r="I56" s="1165"/>
      <c r="J56" s="1165"/>
      <c r="K56" s="1165"/>
      <c r="L56" s="388"/>
      <c r="M56" s="1165" t="s">
        <v>819</v>
      </c>
      <c r="N56" s="1165"/>
      <c r="O56" s="1165"/>
      <c r="P56" s="1165"/>
      <c r="Q56" s="1165"/>
      <c r="R56" s="388"/>
    </row>
    <row r="57" spans="1:18">
      <c r="A57" s="397" t="s">
        <v>327</v>
      </c>
      <c r="B57" s="398" t="s">
        <v>428</v>
      </c>
      <c r="C57" s="398" t="s">
        <v>3</v>
      </c>
      <c r="D57" s="398" t="s">
        <v>429</v>
      </c>
      <c r="E57" s="398" t="s">
        <v>430</v>
      </c>
      <c r="F57" s="399"/>
      <c r="G57" s="397" t="s">
        <v>327</v>
      </c>
      <c r="H57" s="398" t="s">
        <v>428</v>
      </c>
      <c r="I57" s="398" t="s">
        <v>3</v>
      </c>
      <c r="J57" s="398" t="s">
        <v>429</v>
      </c>
      <c r="K57" s="398" t="s">
        <v>430</v>
      </c>
      <c r="L57" s="399"/>
      <c r="M57" s="397" t="s">
        <v>327</v>
      </c>
      <c r="N57" s="398" t="s">
        <v>428</v>
      </c>
      <c r="O57" s="398" t="s">
        <v>3</v>
      </c>
      <c r="P57" s="398" t="s">
        <v>429</v>
      </c>
      <c r="Q57" s="398" t="s">
        <v>430</v>
      </c>
      <c r="R57" s="388"/>
    </row>
    <row r="58" spans="1:18">
      <c r="A58" s="400">
        <v>1</v>
      </c>
      <c r="B58" s="401">
        <v>2.6700000000000002E-2</v>
      </c>
      <c r="C58" s="401">
        <v>1.7999999999999999E-2</v>
      </c>
      <c r="D58" s="401">
        <v>6.9400000000000003E-2</v>
      </c>
      <c r="E58" s="401">
        <v>0</v>
      </c>
      <c r="F58" s="388"/>
      <c r="G58" s="400">
        <v>1</v>
      </c>
      <c r="H58" s="401">
        <v>1.7999999999999999E-2</v>
      </c>
      <c r="I58" s="401">
        <v>2.6700000000000002E-2</v>
      </c>
      <c r="J58" s="401">
        <v>0</v>
      </c>
      <c r="K58" s="401">
        <v>6.9400000000000003E-2</v>
      </c>
      <c r="L58" s="388"/>
      <c r="M58" s="400">
        <v>1</v>
      </c>
      <c r="N58" s="401">
        <v>2.69E-2</v>
      </c>
      <c r="O58" s="401">
        <v>2.69E-2</v>
      </c>
      <c r="P58" s="401">
        <v>6.25E-2</v>
      </c>
      <c r="Q58" s="401">
        <v>6.25E-2</v>
      </c>
      <c r="R58" s="388"/>
    </row>
    <row r="59" spans="1:18">
      <c r="A59" s="400">
        <v>1.05</v>
      </c>
      <c r="B59" s="401">
        <v>2.6700000000000002E-2</v>
      </c>
      <c r="C59" s="401">
        <v>1.61E-2</v>
      </c>
      <c r="D59" s="401">
        <v>6.8000000000000005E-2</v>
      </c>
      <c r="E59" s="401">
        <v>0</v>
      </c>
      <c r="F59" s="388"/>
      <c r="G59" s="400">
        <v>1.05</v>
      </c>
      <c r="H59" s="401">
        <v>1.9900000000000001E-2</v>
      </c>
      <c r="I59" s="401">
        <v>2.6499999999999999E-2</v>
      </c>
      <c r="J59" s="401">
        <v>0</v>
      </c>
      <c r="K59" s="401">
        <v>7.0499999999999993E-2</v>
      </c>
      <c r="L59" s="388"/>
      <c r="M59" s="400">
        <v>1.05</v>
      </c>
      <c r="N59" s="401">
        <v>2.8199999999999999E-2</v>
      </c>
      <c r="O59" s="401">
        <v>2.5499999999999998E-2</v>
      </c>
      <c r="P59" s="401">
        <v>6.5500000000000003E-2</v>
      </c>
      <c r="Q59" s="401">
        <v>5.8999999999999997E-2</v>
      </c>
      <c r="R59" s="388"/>
    </row>
    <row r="60" spans="1:18">
      <c r="A60" s="400">
        <v>1.1000000000000001</v>
      </c>
      <c r="B60" s="401">
        <v>2.6599999999999999E-2</v>
      </c>
      <c r="C60" s="401">
        <v>1.46E-2</v>
      </c>
      <c r="D60" s="401">
        <v>6.6699999999999995E-2</v>
      </c>
      <c r="E60" s="401">
        <v>0</v>
      </c>
      <c r="F60" s="388"/>
      <c r="G60" s="400">
        <v>1.1000000000000001</v>
      </c>
      <c r="H60" s="401">
        <v>2.18E-2</v>
      </c>
      <c r="I60" s="401">
        <v>2.6200000000000001E-2</v>
      </c>
      <c r="J60" s="401">
        <v>0</v>
      </c>
      <c r="K60" s="401">
        <v>7.0800000000000002E-2</v>
      </c>
      <c r="L60" s="388"/>
      <c r="M60" s="400">
        <v>1.1000000000000001</v>
      </c>
      <c r="N60" s="401">
        <v>2.92E-2</v>
      </c>
      <c r="O60" s="401">
        <v>2.4199999999999999E-2</v>
      </c>
      <c r="P60" s="401">
        <v>6.7500000000000004E-2</v>
      </c>
      <c r="Q60" s="401">
        <v>5.5800000000000002E-2</v>
      </c>
      <c r="R60" s="388"/>
    </row>
    <row r="61" spans="1:18">
      <c r="A61" s="400">
        <v>1.1499999999999999</v>
      </c>
      <c r="B61" s="401">
        <v>2.64E-2</v>
      </c>
      <c r="C61" s="401">
        <v>1.3100000000000001E-2</v>
      </c>
      <c r="D61" s="401">
        <v>6.5000000000000002E-2</v>
      </c>
      <c r="E61" s="401">
        <v>0</v>
      </c>
      <c r="F61" s="388"/>
      <c r="G61" s="400">
        <v>1.1499999999999999</v>
      </c>
      <c r="H61" s="401">
        <v>2.3599999999999999E-2</v>
      </c>
      <c r="I61" s="401">
        <v>2.58E-2</v>
      </c>
      <c r="J61" s="401">
        <v>0</v>
      </c>
      <c r="K61" s="401">
        <v>7.0999999999999994E-2</v>
      </c>
      <c r="L61" s="388"/>
      <c r="M61" s="400">
        <v>1.1499999999999999</v>
      </c>
      <c r="N61" s="401">
        <v>3.0099999999999998E-2</v>
      </c>
      <c r="O61" s="401">
        <v>2.2800000000000001E-2</v>
      </c>
      <c r="P61" s="401">
        <v>6.9099999999999995E-2</v>
      </c>
      <c r="Q61" s="401">
        <v>5.2200000000000003E-2</v>
      </c>
      <c r="R61" s="388"/>
    </row>
    <row r="62" spans="1:18">
      <c r="A62" s="400">
        <v>1.2</v>
      </c>
      <c r="B62" s="401">
        <v>2.6100000000000002E-2</v>
      </c>
      <c r="C62" s="401">
        <v>1.18E-2</v>
      </c>
      <c r="D62" s="401">
        <v>6.3299999999999995E-2</v>
      </c>
      <c r="E62" s="401">
        <v>0</v>
      </c>
      <c r="F62" s="388"/>
      <c r="G62" s="400">
        <v>1.2</v>
      </c>
      <c r="H62" s="401">
        <v>2.5399999999999999E-2</v>
      </c>
      <c r="I62" s="401">
        <v>2.5399999999999999E-2</v>
      </c>
      <c r="J62" s="401">
        <v>0</v>
      </c>
      <c r="K62" s="401">
        <v>7.0699999999999999E-2</v>
      </c>
      <c r="L62" s="388"/>
      <c r="M62" s="400">
        <v>1.2</v>
      </c>
      <c r="N62" s="401">
        <v>3.09E-2</v>
      </c>
      <c r="O62" s="401">
        <v>2.1399999999999999E-2</v>
      </c>
      <c r="P62" s="401">
        <v>7.0300000000000001E-2</v>
      </c>
      <c r="Q62" s="401">
        <v>4.8800000000000003E-2</v>
      </c>
      <c r="R62" s="388"/>
    </row>
    <row r="63" spans="1:18">
      <c r="A63" s="400">
        <v>1.25</v>
      </c>
      <c r="B63" s="401">
        <v>2.5700000000000001E-2</v>
      </c>
      <c r="C63" s="401">
        <v>1.06E-2</v>
      </c>
      <c r="D63" s="401">
        <v>6.1600000000000002E-2</v>
      </c>
      <c r="E63" s="401">
        <v>0</v>
      </c>
      <c r="F63" s="388"/>
      <c r="G63" s="400">
        <v>1.25</v>
      </c>
      <c r="H63" s="401">
        <v>2.7099999999999999E-2</v>
      </c>
      <c r="I63" s="401">
        <v>2.4799999999999999E-2</v>
      </c>
      <c r="J63" s="401">
        <v>0</v>
      </c>
      <c r="K63" s="401">
        <v>7.0000000000000007E-2</v>
      </c>
      <c r="L63" s="388"/>
      <c r="M63" s="400">
        <v>1.25</v>
      </c>
      <c r="N63" s="401">
        <v>3.1399999999999997E-2</v>
      </c>
      <c r="O63" s="401">
        <v>2.0199999999999999E-2</v>
      </c>
      <c r="P63" s="401">
        <v>7.0999999999999994E-2</v>
      </c>
      <c r="Q63" s="401">
        <v>4.5400000000000003E-2</v>
      </c>
      <c r="R63" s="388"/>
    </row>
    <row r="64" spans="1:18">
      <c r="A64" s="400">
        <v>1.3</v>
      </c>
      <c r="B64" s="401">
        <v>2.5399999999999999E-2</v>
      </c>
      <c r="C64" s="401">
        <v>9.7000000000000003E-3</v>
      </c>
      <c r="D64" s="401">
        <v>5.9900000000000002E-2</v>
      </c>
      <c r="E64" s="401">
        <v>0</v>
      </c>
      <c r="F64" s="388"/>
      <c r="G64" s="400">
        <v>1.3</v>
      </c>
      <c r="H64" s="401">
        <v>2.87E-2</v>
      </c>
      <c r="I64" s="401">
        <v>2.4199999999999999E-2</v>
      </c>
      <c r="J64" s="401">
        <v>0</v>
      </c>
      <c r="K64" s="401">
        <v>6.8900000000000003E-2</v>
      </c>
      <c r="L64" s="388"/>
      <c r="M64" s="400">
        <v>1.3</v>
      </c>
      <c r="N64" s="401">
        <v>3.1899999999999998E-2</v>
      </c>
      <c r="O64" s="401">
        <v>1.8800000000000001E-2</v>
      </c>
      <c r="P64" s="401">
        <v>7.1099999999999997E-2</v>
      </c>
      <c r="Q64" s="401">
        <v>4.2099999999999999E-2</v>
      </c>
      <c r="R64" s="388"/>
    </row>
    <row r="65" spans="1:18">
      <c r="A65" s="400">
        <v>1.35</v>
      </c>
      <c r="B65" s="401">
        <v>2.5000000000000001E-2</v>
      </c>
      <c r="C65" s="401">
        <v>8.8000000000000005E-3</v>
      </c>
      <c r="D65" s="401">
        <v>5.8200000000000002E-2</v>
      </c>
      <c r="E65" s="401">
        <v>0</v>
      </c>
      <c r="F65" s="388"/>
      <c r="G65" s="400">
        <v>1.35</v>
      </c>
      <c r="H65" s="401">
        <v>3.0200000000000001E-2</v>
      </c>
      <c r="I65" s="401">
        <v>2.35E-2</v>
      </c>
      <c r="J65" s="401">
        <v>0</v>
      </c>
      <c r="K65" s="401">
        <v>6.7599999999999993E-2</v>
      </c>
      <c r="L65" s="388"/>
      <c r="M65" s="400">
        <v>1.35</v>
      </c>
      <c r="N65" s="401">
        <v>3.2000000000000001E-2</v>
      </c>
      <c r="O65" s="401">
        <v>1.7600000000000001E-2</v>
      </c>
      <c r="P65" s="401">
        <v>7.1099999999999997E-2</v>
      </c>
      <c r="Q65" s="401">
        <v>3.9100000000000003E-2</v>
      </c>
      <c r="R65" s="388"/>
    </row>
    <row r="66" spans="1:18">
      <c r="A66" s="400">
        <v>1.4</v>
      </c>
      <c r="B66" s="401">
        <v>2.4500000000000001E-2</v>
      </c>
      <c r="C66" s="401">
        <v>8.0000000000000002E-3</v>
      </c>
      <c r="D66" s="401">
        <v>5.6500000000000002E-2</v>
      </c>
      <c r="E66" s="401">
        <v>0</v>
      </c>
      <c r="F66" s="388"/>
      <c r="G66" s="400">
        <v>1.4</v>
      </c>
      <c r="H66" s="401">
        <v>3.1600000000000003E-2</v>
      </c>
      <c r="I66" s="401">
        <v>2.29E-2</v>
      </c>
      <c r="J66" s="401">
        <v>0</v>
      </c>
      <c r="K66" s="401">
        <v>6.6000000000000003E-2</v>
      </c>
      <c r="L66" s="388"/>
      <c r="M66" s="400">
        <v>1.4</v>
      </c>
      <c r="N66" s="401">
        <v>3.2300000000000002E-2</v>
      </c>
      <c r="O66" s="401">
        <v>1.6500000000000001E-2</v>
      </c>
      <c r="P66" s="401">
        <v>7.0900000000000005E-2</v>
      </c>
      <c r="Q66" s="401">
        <v>3.61E-2</v>
      </c>
      <c r="R66" s="388"/>
    </row>
    <row r="67" spans="1:18">
      <c r="A67" s="400">
        <v>1.45</v>
      </c>
      <c r="B67" s="401">
        <v>2.4E-2</v>
      </c>
      <c r="C67" s="401">
        <v>7.1999999999999998E-3</v>
      </c>
      <c r="D67" s="401">
        <v>5.5E-2</v>
      </c>
      <c r="E67" s="401">
        <v>0</v>
      </c>
      <c r="F67" s="388"/>
      <c r="G67" s="400">
        <v>1.45</v>
      </c>
      <c r="H67" s="401">
        <v>3.2899999999999999E-2</v>
      </c>
      <c r="I67" s="401">
        <v>2.2200000000000001E-2</v>
      </c>
      <c r="J67" s="401">
        <v>0</v>
      </c>
      <c r="K67" s="401">
        <v>6.4100000000000004E-2</v>
      </c>
      <c r="L67" s="388"/>
      <c r="M67" s="400">
        <v>1.45</v>
      </c>
      <c r="N67" s="401">
        <v>3.2399999999999998E-2</v>
      </c>
      <c r="O67" s="401">
        <v>1.54E-2</v>
      </c>
      <c r="P67" s="401">
        <v>7.0300000000000001E-2</v>
      </c>
      <c r="Q67" s="401">
        <v>3.3399999999999999E-2</v>
      </c>
      <c r="R67" s="388"/>
    </row>
    <row r="68" spans="1:18">
      <c r="A68" s="400">
        <v>1.5</v>
      </c>
      <c r="B68" s="401">
        <v>2.35E-2</v>
      </c>
      <c r="C68" s="401">
        <v>6.6E-3</v>
      </c>
      <c r="D68" s="401">
        <v>5.33E-2</v>
      </c>
      <c r="E68" s="401">
        <v>0</v>
      </c>
      <c r="F68" s="388"/>
      <c r="G68" s="400">
        <v>1.5</v>
      </c>
      <c r="H68" s="401">
        <v>3.4099999999999998E-2</v>
      </c>
      <c r="I68" s="401">
        <v>2.1399999999999999E-2</v>
      </c>
      <c r="J68" s="401">
        <v>0</v>
      </c>
      <c r="K68" s="401">
        <v>6.2100000000000002E-2</v>
      </c>
      <c r="L68" s="388"/>
      <c r="M68" s="400">
        <v>1.5</v>
      </c>
      <c r="N68" s="401">
        <v>3.2399999999999998E-2</v>
      </c>
      <c r="O68" s="401">
        <v>1.44E-2</v>
      </c>
      <c r="P68" s="401">
        <v>6.9500000000000006E-2</v>
      </c>
      <c r="Q68" s="401">
        <v>3.1E-2</v>
      </c>
      <c r="R68" s="388"/>
    </row>
    <row r="69" spans="1:18">
      <c r="A69" s="400">
        <v>1.55</v>
      </c>
      <c r="B69" s="401">
        <v>2.3E-2</v>
      </c>
      <c r="C69" s="401">
        <v>6.0000000000000001E-3</v>
      </c>
      <c r="D69" s="401">
        <v>5.1900000000000002E-2</v>
      </c>
      <c r="E69" s="401">
        <v>0</v>
      </c>
      <c r="F69" s="388"/>
      <c r="G69" s="400">
        <v>1.55</v>
      </c>
      <c r="H69" s="401">
        <v>3.5200000000000002E-2</v>
      </c>
      <c r="I69" s="401">
        <v>2.07E-2</v>
      </c>
      <c r="J69" s="401">
        <v>0</v>
      </c>
      <c r="K69" s="401">
        <v>5.9900000000000002E-2</v>
      </c>
      <c r="L69" s="388"/>
      <c r="M69" s="400">
        <v>1.55</v>
      </c>
      <c r="N69" s="401">
        <v>3.2300000000000002E-2</v>
      </c>
      <c r="O69" s="401">
        <v>1.34E-2</v>
      </c>
      <c r="P69" s="401">
        <v>6.8599999999999994E-2</v>
      </c>
      <c r="Q69" s="401">
        <v>2.86E-2</v>
      </c>
      <c r="R69" s="388"/>
    </row>
    <row r="70" spans="1:18">
      <c r="A70" s="400">
        <v>1.6</v>
      </c>
      <c r="B70" s="401">
        <v>2.2599999999999999E-2</v>
      </c>
      <c r="C70" s="401">
        <v>5.5999999999999999E-3</v>
      </c>
      <c r="D70" s="401">
        <v>5.0599999999999999E-2</v>
      </c>
      <c r="E70" s="401">
        <v>0</v>
      </c>
      <c r="F70" s="388"/>
      <c r="G70" s="400">
        <v>1.6</v>
      </c>
      <c r="H70" s="401">
        <v>3.6200000000000003E-2</v>
      </c>
      <c r="I70" s="401">
        <v>0.02</v>
      </c>
      <c r="J70" s="401">
        <v>0</v>
      </c>
      <c r="K70" s="401">
        <v>5.7700000000000001E-2</v>
      </c>
      <c r="L70" s="388"/>
      <c r="M70" s="400">
        <v>1.6</v>
      </c>
      <c r="N70" s="401">
        <v>3.2099999999999997E-2</v>
      </c>
      <c r="O70" s="401">
        <v>1.2500000000000001E-2</v>
      </c>
      <c r="P70" s="401">
        <v>6.7799999999999999E-2</v>
      </c>
      <c r="Q70" s="401">
        <v>2.6499999999999999E-2</v>
      </c>
      <c r="R70" s="388"/>
    </row>
    <row r="71" spans="1:18">
      <c r="A71" s="400">
        <v>1.65</v>
      </c>
      <c r="B71" s="401">
        <v>2.2100000000000002E-2</v>
      </c>
      <c r="C71" s="401">
        <v>5.1000000000000004E-3</v>
      </c>
      <c r="D71" s="401">
        <v>4.9299999999999997E-2</v>
      </c>
      <c r="E71" s="401">
        <v>0</v>
      </c>
      <c r="F71" s="388"/>
      <c r="G71" s="400">
        <v>1.65</v>
      </c>
      <c r="H71" s="401">
        <v>3.6900000000000002E-2</v>
      </c>
      <c r="I71" s="401">
        <v>1.9300000000000001E-2</v>
      </c>
      <c r="J71" s="401">
        <v>0</v>
      </c>
      <c r="K71" s="401">
        <v>5.5500000000000001E-2</v>
      </c>
      <c r="L71" s="388"/>
      <c r="M71" s="400">
        <v>1.65</v>
      </c>
      <c r="N71" s="401">
        <v>3.1899999999999998E-2</v>
      </c>
      <c r="O71" s="401">
        <v>1.17E-2</v>
      </c>
      <c r="P71" s="401">
        <v>6.6799999999999998E-2</v>
      </c>
      <c r="Q71" s="401">
        <v>2.4500000000000001E-2</v>
      </c>
      <c r="R71" s="388"/>
    </row>
    <row r="72" spans="1:18">
      <c r="A72" s="400">
        <v>1.7</v>
      </c>
      <c r="B72" s="401">
        <v>2.1700000000000001E-2</v>
      </c>
      <c r="C72" s="401">
        <v>4.7000000000000002E-3</v>
      </c>
      <c r="D72" s="401">
        <v>4.7600000000000003E-2</v>
      </c>
      <c r="E72" s="401">
        <v>0</v>
      </c>
      <c r="F72" s="388"/>
      <c r="G72" s="400">
        <v>1.7</v>
      </c>
      <c r="H72" s="401">
        <v>3.7600000000000001E-2</v>
      </c>
      <c r="I72" s="401">
        <v>1.8599999999999998E-2</v>
      </c>
      <c r="J72" s="401">
        <v>0</v>
      </c>
      <c r="K72" s="401">
        <v>5.3100000000000001E-2</v>
      </c>
      <c r="L72" s="388"/>
      <c r="M72" s="400">
        <v>1.7</v>
      </c>
      <c r="N72" s="401">
        <v>3.1600000000000003E-2</v>
      </c>
      <c r="O72" s="401">
        <v>1.09E-2</v>
      </c>
      <c r="P72" s="401">
        <v>6.5699999999999995E-2</v>
      </c>
      <c r="Q72" s="401">
        <v>2.2800000000000001E-2</v>
      </c>
      <c r="R72" s="388"/>
    </row>
    <row r="73" spans="1:18">
      <c r="A73" s="400">
        <v>1.75</v>
      </c>
      <c r="B73" s="401">
        <v>2.12E-2</v>
      </c>
      <c r="C73" s="401">
        <v>4.3E-3</v>
      </c>
      <c r="D73" s="401">
        <v>4.6600000000000003E-2</v>
      </c>
      <c r="E73" s="401">
        <v>0</v>
      </c>
      <c r="F73" s="388"/>
      <c r="G73" s="400">
        <v>1.75</v>
      </c>
      <c r="H73" s="401">
        <v>3.8300000000000001E-2</v>
      </c>
      <c r="I73" s="401">
        <v>1.7899999999999999E-2</v>
      </c>
      <c r="J73" s="401">
        <v>0</v>
      </c>
      <c r="K73" s="401">
        <v>5.0700000000000002E-2</v>
      </c>
      <c r="L73" s="388"/>
      <c r="M73" s="400">
        <v>1.75</v>
      </c>
      <c r="N73" s="401">
        <v>3.1300000000000001E-2</v>
      </c>
      <c r="O73" s="401">
        <v>9.7000000000000003E-3</v>
      </c>
      <c r="P73" s="401">
        <v>6.4500000000000002E-2</v>
      </c>
      <c r="Q73" s="401">
        <v>2.1100000000000001E-2</v>
      </c>
      <c r="R73" s="388"/>
    </row>
    <row r="74" spans="1:18">
      <c r="A74" s="400">
        <v>1.8</v>
      </c>
      <c r="B74" s="401">
        <v>2.0799999999999999E-2</v>
      </c>
      <c r="C74" s="401">
        <v>4.0000000000000001E-3</v>
      </c>
      <c r="D74" s="401">
        <v>4.5400000000000003E-2</v>
      </c>
      <c r="E74" s="401">
        <v>0</v>
      </c>
      <c r="F74" s="388"/>
      <c r="G74" s="400">
        <v>1.8</v>
      </c>
      <c r="H74" s="401">
        <v>3.8800000000000001E-2</v>
      </c>
      <c r="I74" s="401">
        <v>1.72E-2</v>
      </c>
      <c r="J74" s="401">
        <v>0</v>
      </c>
      <c r="K74" s="401">
        <v>4.8399999999999999E-2</v>
      </c>
      <c r="L74" s="388"/>
      <c r="M74" s="400">
        <v>1.8</v>
      </c>
      <c r="N74" s="401">
        <v>3.0800000000000001E-2</v>
      </c>
      <c r="O74" s="401">
        <v>9.5999999999999992E-3</v>
      </c>
      <c r="P74" s="401">
        <v>6.3500000000000001E-2</v>
      </c>
      <c r="Q74" s="401">
        <v>1.9599999999999999E-2</v>
      </c>
      <c r="R74" s="388"/>
    </row>
    <row r="75" spans="1:18">
      <c r="A75" s="400">
        <v>1.85</v>
      </c>
      <c r="B75" s="401">
        <v>2.0400000000000001E-2</v>
      </c>
      <c r="C75" s="401">
        <v>3.7000000000000002E-3</v>
      </c>
      <c r="D75" s="401">
        <v>4.4299999999999999E-2</v>
      </c>
      <c r="E75" s="401">
        <v>0</v>
      </c>
      <c r="F75" s="388"/>
      <c r="G75" s="400">
        <v>1.85</v>
      </c>
      <c r="H75" s="401">
        <v>3.9300000000000002E-2</v>
      </c>
      <c r="I75" s="401">
        <v>1.6500000000000001E-2</v>
      </c>
      <c r="J75" s="401">
        <v>0</v>
      </c>
      <c r="K75" s="401">
        <v>4.6100000000000002E-2</v>
      </c>
      <c r="L75" s="388"/>
      <c r="M75" s="400">
        <v>1.85</v>
      </c>
      <c r="N75" s="401">
        <v>3.0599999999999999E-2</v>
      </c>
      <c r="O75" s="401">
        <v>8.8999999999999999E-3</v>
      </c>
      <c r="P75" s="401">
        <v>6.2199999999999998E-2</v>
      </c>
      <c r="Q75" s="401">
        <v>1.83E-2</v>
      </c>
      <c r="R75" s="388"/>
    </row>
    <row r="76" spans="1:18">
      <c r="A76" s="400">
        <v>1.9</v>
      </c>
      <c r="B76" s="401">
        <v>1.9900000000000001E-2</v>
      </c>
      <c r="C76" s="401">
        <v>3.3999999999999998E-3</v>
      </c>
      <c r="D76" s="401">
        <v>4.3200000000000002E-2</v>
      </c>
      <c r="E76" s="401">
        <v>0</v>
      </c>
      <c r="F76" s="388"/>
      <c r="G76" s="400">
        <v>1.9</v>
      </c>
      <c r="H76" s="401">
        <v>3.9600000000000003E-2</v>
      </c>
      <c r="I76" s="401">
        <v>1.5800000000000002E-2</v>
      </c>
      <c r="J76" s="401">
        <v>0</v>
      </c>
      <c r="K76" s="401">
        <v>4.3900000000000002E-2</v>
      </c>
      <c r="L76" s="388"/>
      <c r="M76" s="400">
        <v>1.9</v>
      </c>
      <c r="N76" s="401">
        <v>3.0200000000000001E-2</v>
      </c>
      <c r="O76" s="401">
        <v>8.3999999999999995E-3</v>
      </c>
      <c r="P76" s="401">
        <v>6.1199999999999997E-2</v>
      </c>
      <c r="Q76" s="401">
        <v>1.6899999999999998E-2</v>
      </c>
      <c r="R76" s="388"/>
    </row>
    <row r="77" spans="1:18">
      <c r="A77" s="400">
        <v>1.95</v>
      </c>
      <c r="B77" s="401">
        <v>1.9599999999999999E-2</v>
      </c>
      <c r="C77" s="401">
        <v>3.2000000000000002E-3</v>
      </c>
      <c r="D77" s="401">
        <v>4.2200000000000001E-2</v>
      </c>
      <c r="E77" s="401">
        <v>0</v>
      </c>
      <c r="F77" s="388"/>
      <c r="G77" s="400">
        <v>1.95</v>
      </c>
      <c r="H77" s="401">
        <v>3.9800000000000002E-2</v>
      </c>
      <c r="I77" s="401">
        <v>1.52E-2</v>
      </c>
      <c r="J77" s="401">
        <v>0</v>
      </c>
      <c r="K77" s="401">
        <v>4.1799999999999997E-2</v>
      </c>
      <c r="L77" s="388"/>
      <c r="M77" s="400">
        <v>1.95</v>
      </c>
      <c r="N77" s="401">
        <v>2.9899999999999999E-2</v>
      </c>
      <c r="O77" s="401">
        <v>7.7999999999999996E-3</v>
      </c>
      <c r="P77" s="401">
        <v>5.9900000000000002E-2</v>
      </c>
      <c r="Q77" s="401">
        <v>1.6E-2</v>
      </c>
      <c r="R77" s="388"/>
    </row>
    <row r="78" spans="1:18">
      <c r="A78" s="403">
        <v>2</v>
      </c>
      <c r="B78" s="404">
        <v>1.9300000000000001E-2</v>
      </c>
      <c r="C78" s="404">
        <v>3.0000000000000001E-3</v>
      </c>
      <c r="D78" s="404">
        <v>4.1200000000000001E-2</v>
      </c>
      <c r="E78" s="404">
        <v>0</v>
      </c>
      <c r="F78" s="388"/>
      <c r="G78" s="403">
        <v>2</v>
      </c>
      <c r="H78" s="404">
        <v>0.04</v>
      </c>
      <c r="I78" s="404">
        <v>1.46E-2</v>
      </c>
      <c r="J78" s="404">
        <v>0</v>
      </c>
      <c r="K78" s="404">
        <v>3.9699999999999999E-2</v>
      </c>
      <c r="L78" s="388"/>
      <c r="M78" s="403">
        <v>2</v>
      </c>
      <c r="N78" s="404">
        <v>2.9399999999999999E-2</v>
      </c>
      <c r="O78" s="404">
        <v>7.4000000000000003E-3</v>
      </c>
      <c r="P78" s="404">
        <v>5.8799999999999998E-2</v>
      </c>
      <c r="Q78" s="404">
        <v>1.47E-2</v>
      </c>
      <c r="R78" s="388"/>
    </row>
    <row r="79" spans="1:18">
      <c r="A79" s="405"/>
      <c r="B79" s="402"/>
      <c r="C79" s="402"/>
      <c r="D79" s="402"/>
      <c r="E79" s="402"/>
      <c r="F79" s="388"/>
      <c r="G79" s="388"/>
      <c r="H79" s="388"/>
      <c r="I79" s="388"/>
      <c r="J79" s="388"/>
      <c r="K79" s="388"/>
      <c r="L79" s="388"/>
      <c r="M79" s="388"/>
      <c r="N79" s="388"/>
      <c r="O79" s="388"/>
      <c r="P79" s="388"/>
      <c r="Q79" s="388"/>
      <c r="R79" s="388"/>
    </row>
    <row r="80" spans="1:18" ht="19">
      <c r="A80" s="1165" t="s">
        <v>820</v>
      </c>
      <c r="B80" s="1165"/>
      <c r="C80" s="1165"/>
      <c r="D80" s="1165"/>
      <c r="E80" s="1165"/>
      <c r="F80" s="388"/>
      <c r="G80" s="1165" t="s">
        <v>821</v>
      </c>
      <c r="H80" s="1165"/>
      <c r="I80" s="1165"/>
      <c r="J80" s="1165"/>
      <c r="K80" s="1165"/>
      <c r="L80" s="388"/>
      <c r="M80" s="1165" t="s">
        <v>822</v>
      </c>
      <c r="N80" s="1165"/>
      <c r="O80" s="1165"/>
      <c r="P80" s="1165"/>
      <c r="Q80" s="1165"/>
      <c r="R80" s="388"/>
    </row>
    <row r="81" spans="1:18">
      <c r="A81" s="397" t="s">
        <v>327</v>
      </c>
      <c r="B81" s="398" t="s">
        <v>428</v>
      </c>
      <c r="C81" s="398" t="s">
        <v>3</v>
      </c>
      <c r="D81" s="398" t="s">
        <v>429</v>
      </c>
      <c r="E81" s="398" t="s">
        <v>430</v>
      </c>
      <c r="F81" s="399"/>
      <c r="G81" s="397" t="s">
        <v>327</v>
      </c>
      <c r="H81" s="398" t="s">
        <v>428</v>
      </c>
      <c r="I81" s="398" t="s">
        <v>3</v>
      </c>
      <c r="J81" s="398" t="s">
        <v>429</v>
      </c>
      <c r="K81" s="398" t="s">
        <v>430</v>
      </c>
      <c r="L81" s="399"/>
      <c r="M81" s="397" t="s">
        <v>327</v>
      </c>
      <c r="N81" s="398" t="s">
        <v>428</v>
      </c>
      <c r="O81" s="398" t="s">
        <v>3</v>
      </c>
      <c r="P81" s="398" t="s">
        <v>429</v>
      </c>
      <c r="Q81" s="398" t="s">
        <v>430</v>
      </c>
      <c r="R81" s="388"/>
    </row>
    <row r="82" spans="1:18">
      <c r="A82" s="400">
        <v>1</v>
      </c>
      <c r="B82" s="401">
        <v>2.2599999999999999E-2</v>
      </c>
      <c r="C82" s="401">
        <v>1.9800000000000002E-2</v>
      </c>
      <c r="D82" s="401">
        <v>5.5599999999999997E-2</v>
      </c>
      <c r="E82" s="401">
        <v>4.1700000000000001E-2</v>
      </c>
      <c r="F82" s="388"/>
      <c r="G82" s="400">
        <v>1</v>
      </c>
      <c r="H82" s="401">
        <v>1.9800000000000002E-2</v>
      </c>
      <c r="I82" s="401">
        <v>2.2599999999999999E-2</v>
      </c>
      <c r="J82" s="401">
        <v>4.1700000000000001E-2</v>
      </c>
      <c r="K82" s="401">
        <v>5.5599999999999997E-2</v>
      </c>
      <c r="L82" s="388"/>
      <c r="M82" s="400">
        <v>1</v>
      </c>
      <c r="N82" s="401">
        <v>1.7899999999999999E-2</v>
      </c>
      <c r="O82" s="401">
        <v>1.7899999999999999E-2</v>
      </c>
      <c r="P82" s="401">
        <v>4.1700000000000001E-2</v>
      </c>
      <c r="Q82" s="401">
        <v>4.1700000000000001E-2</v>
      </c>
      <c r="R82" s="388"/>
    </row>
    <row r="83" spans="1:18">
      <c r="A83" s="400">
        <v>1.05</v>
      </c>
      <c r="B83" s="401">
        <v>2.3099999999999999E-2</v>
      </c>
      <c r="C83" s="401">
        <v>1.84E-2</v>
      </c>
      <c r="D83" s="401">
        <v>5.6000000000000001E-2</v>
      </c>
      <c r="E83" s="401">
        <v>3.85E-2</v>
      </c>
      <c r="F83" s="388"/>
      <c r="G83" s="400">
        <v>1.05</v>
      </c>
      <c r="H83" s="401">
        <v>2.1299999999999999E-2</v>
      </c>
      <c r="I83" s="401">
        <v>2.2100000000000002E-2</v>
      </c>
      <c r="J83" s="401">
        <v>4.4999999999999998E-2</v>
      </c>
      <c r="K83" s="401">
        <v>5.45E-2</v>
      </c>
      <c r="L83" s="388"/>
      <c r="M83" s="400">
        <v>1.05</v>
      </c>
      <c r="N83" s="401">
        <v>1.8700000000000001E-2</v>
      </c>
      <c r="O83" s="401">
        <v>1.7100000000000001E-2</v>
      </c>
      <c r="P83" s="401">
        <v>4.3700000000000003E-2</v>
      </c>
      <c r="Q83" s="401">
        <v>3.9399999999999998E-2</v>
      </c>
      <c r="R83" s="388"/>
    </row>
    <row r="84" spans="1:18">
      <c r="A84" s="400">
        <v>1.1000000000000001</v>
      </c>
      <c r="B84" s="401">
        <v>2.3400000000000001E-2</v>
      </c>
      <c r="C84" s="401">
        <v>1.6899999999999998E-2</v>
      </c>
      <c r="D84" s="401">
        <v>5.6500000000000002E-2</v>
      </c>
      <c r="E84" s="401">
        <v>3.5000000000000003E-2</v>
      </c>
      <c r="F84" s="388"/>
      <c r="G84" s="400">
        <v>1.1000000000000001</v>
      </c>
      <c r="H84" s="401">
        <v>2.2599999999999999E-2</v>
      </c>
      <c r="I84" s="401">
        <v>2.12E-2</v>
      </c>
      <c r="J84" s="401">
        <v>4.8099999999999997E-2</v>
      </c>
      <c r="K84" s="401">
        <v>5.2999999999999999E-2</v>
      </c>
      <c r="L84" s="388"/>
      <c r="M84" s="400">
        <v>1.1000000000000001</v>
      </c>
      <c r="N84" s="401">
        <v>1.9400000000000001E-2</v>
      </c>
      <c r="O84" s="401">
        <v>1.61E-2</v>
      </c>
      <c r="P84" s="401">
        <v>4.4999999999999998E-2</v>
      </c>
      <c r="Q84" s="401">
        <v>3.7199999999999997E-2</v>
      </c>
      <c r="R84" s="388"/>
    </row>
    <row r="85" spans="1:18">
      <c r="A85" s="400">
        <v>1.1499999999999999</v>
      </c>
      <c r="B85" s="401">
        <v>2.3599999999999999E-2</v>
      </c>
      <c r="C85" s="401">
        <v>1.54E-2</v>
      </c>
      <c r="D85" s="401">
        <v>5.6399999999999999E-2</v>
      </c>
      <c r="E85" s="401">
        <v>3.1899999999999998E-2</v>
      </c>
      <c r="F85" s="388"/>
      <c r="G85" s="400">
        <v>1.1499999999999999</v>
      </c>
      <c r="H85" s="401">
        <v>2.3800000000000002E-2</v>
      </c>
      <c r="I85" s="401">
        <v>2.06E-2</v>
      </c>
      <c r="J85" s="401">
        <v>5.0700000000000002E-2</v>
      </c>
      <c r="K85" s="401">
        <v>5.11E-2</v>
      </c>
      <c r="L85" s="388"/>
      <c r="M85" s="400">
        <v>1.1499999999999999</v>
      </c>
      <c r="N85" s="401">
        <v>0.02</v>
      </c>
      <c r="O85" s="401">
        <v>1.4999999999999999E-2</v>
      </c>
      <c r="P85" s="401">
        <v>4.6100000000000002E-2</v>
      </c>
      <c r="Q85" s="401">
        <v>3.49E-2</v>
      </c>
      <c r="R85" s="388"/>
    </row>
    <row r="86" spans="1:18">
      <c r="A86" s="400">
        <v>1.2</v>
      </c>
      <c r="B86" s="401">
        <v>2.3599999999999999E-2</v>
      </c>
      <c r="C86" s="401">
        <v>1.4200000000000001E-2</v>
      </c>
      <c r="D86" s="401">
        <v>5.6000000000000001E-2</v>
      </c>
      <c r="E86" s="401">
        <v>2.92E-2</v>
      </c>
      <c r="F86" s="388"/>
      <c r="G86" s="400">
        <v>1.2</v>
      </c>
      <c r="H86" s="401">
        <v>2.4899999999999999E-2</v>
      </c>
      <c r="I86" s="401">
        <v>1.9800000000000002E-2</v>
      </c>
      <c r="J86" s="401">
        <v>5.2999999999999999E-2</v>
      </c>
      <c r="K86" s="401">
        <v>4.9099999999999998E-2</v>
      </c>
      <c r="L86" s="388"/>
      <c r="M86" s="400">
        <v>1.2</v>
      </c>
      <c r="N86" s="401">
        <v>2.0400000000000001E-2</v>
      </c>
      <c r="O86" s="401">
        <v>1.4200000000000001E-2</v>
      </c>
      <c r="P86" s="401">
        <v>4.6800000000000001E-2</v>
      </c>
      <c r="Q86" s="401">
        <v>3.2500000000000001E-2</v>
      </c>
      <c r="R86" s="388"/>
    </row>
    <row r="87" spans="1:18">
      <c r="A87" s="400">
        <v>1.25</v>
      </c>
      <c r="B87" s="401">
        <v>2.3599999999999999E-2</v>
      </c>
      <c r="C87" s="401">
        <v>1.32E-2</v>
      </c>
      <c r="D87" s="401">
        <v>5.5199999999999999E-2</v>
      </c>
      <c r="E87" s="401">
        <v>2.6700000000000002E-2</v>
      </c>
      <c r="F87" s="388"/>
      <c r="G87" s="400">
        <v>1.25</v>
      </c>
      <c r="H87" s="401">
        <v>2.58E-2</v>
      </c>
      <c r="I87" s="401">
        <v>1.89E-2</v>
      </c>
      <c r="J87" s="401">
        <v>5.4899999999999997E-2</v>
      </c>
      <c r="K87" s="401">
        <v>4.7E-2</v>
      </c>
      <c r="L87" s="388"/>
      <c r="M87" s="400">
        <v>1.25</v>
      </c>
      <c r="N87" s="401">
        <v>2.07E-2</v>
      </c>
      <c r="O87" s="401">
        <v>1.3299999999999999E-2</v>
      </c>
      <c r="P87" s="401">
        <v>4.7300000000000002E-2</v>
      </c>
      <c r="Q87" s="401">
        <v>3.0300000000000001E-2</v>
      </c>
      <c r="R87" s="388"/>
    </row>
    <row r="88" spans="1:18">
      <c r="A88" s="400">
        <v>1.3</v>
      </c>
      <c r="B88" s="401">
        <v>2.35E-2</v>
      </c>
      <c r="C88" s="401">
        <v>1.2E-2</v>
      </c>
      <c r="D88" s="401">
        <v>5.45E-2</v>
      </c>
      <c r="E88" s="401">
        <v>2.4199999999999999E-2</v>
      </c>
      <c r="F88" s="388"/>
      <c r="G88" s="400">
        <v>1.3</v>
      </c>
      <c r="H88" s="401">
        <v>2.6599999999999999E-2</v>
      </c>
      <c r="I88" s="401">
        <v>1.8100000000000002E-2</v>
      </c>
      <c r="J88" s="401">
        <v>5.6500000000000002E-2</v>
      </c>
      <c r="K88" s="401">
        <v>4.4699999999999997E-2</v>
      </c>
      <c r="L88" s="388"/>
      <c r="M88" s="400">
        <v>1.3</v>
      </c>
      <c r="N88" s="401">
        <v>2.0799999999999999E-2</v>
      </c>
      <c r="O88" s="401">
        <v>1.23E-2</v>
      </c>
      <c r="P88" s="401">
        <v>4.7500000000000001E-2</v>
      </c>
      <c r="Q88" s="401">
        <v>2.81E-2</v>
      </c>
      <c r="R88" s="388"/>
    </row>
    <row r="89" spans="1:18">
      <c r="A89" s="400">
        <v>1.35</v>
      </c>
      <c r="B89" s="401">
        <v>2.3300000000000001E-2</v>
      </c>
      <c r="C89" s="401">
        <v>1.0999999999999999E-2</v>
      </c>
      <c r="D89" s="401">
        <v>5.3600000000000002E-2</v>
      </c>
      <c r="E89" s="401">
        <v>2.2200000000000001E-2</v>
      </c>
      <c r="F89" s="388"/>
      <c r="G89" s="400">
        <v>1.35</v>
      </c>
      <c r="H89" s="401">
        <v>2.7199999999999998E-2</v>
      </c>
      <c r="I89" s="401">
        <v>1.72E-2</v>
      </c>
      <c r="J89" s="401">
        <v>5.7700000000000001E-2</v>
      </c>
      <c r="K89" s="401">
        <v>4.24E-2</v>
      </c>
      <c r="L89" s="388"/>
      <c r="M89" s="400">
        <v>1.35</v>
      </c>
      <c r="N89" s="401">
        <v>2.1000000000000001E-2</v>
      </c>
      <c r="O89" s="401">
        <v>1.15E-2</v>
      </c>
      <c r="P89" s="401">
        <v>4.7399999999999998E-2</v>
      </c>
      <c r="Q89" s="401">
        <v>2.6200000000000001E-2</v>
      </c>
      <c r="R89" s="388"/>
    </row>
    <row r="90" spans="1:18">
      <c r="A90" s="400">
        <v>1.4</v>
      </c>
      <c r="B90" s="401">
        <v>2.3E-2</v>
      </c>
      <c r="C90" s="401">
        <v>1.0200000000000001E-2</v>
      </c>
      <c r="D90" s="401">
        <v>5.2600000000000001E-2</v>
      </c>
      <c r="E90" s="401">
        <v>2.0199999999999999E-2</v>
      </c>
      <c r="F90" s="388"/>
      <c r="G90" s="400">
        <v>1.4</v>
      </c>
      <c r="H90" s="401">
        <v>2.7900000000000001E-2</v>
      </c>
      <c r="I90" s="401">
        <v>1.6199999999999999E-2</v>
      </c>
      <c r="J90" s="401">
        <v>5.8799999999999998E-2</v>
      </c>
      <c r="K90" s="401">
        <v>0.04</v>
      </c>
      <c r="L90" s="388"/>
      <c r="M90" s="400">
        <v>1.4</v>
      </c>
      <c r="N90" s="401">
        <v>2.1000000000000001E-2</v>
      </c>
      <c r="O90" s="401">
        <v>1.0699999999999999E-2</v>
      </c>
      <c r="P90" s="401">
        <v>4.7300000000000002E-2</v>
      </c>
      <c r="Q90" s="401">
        <v>2.4E-2</v>
      </c>
      <c r="R90" s="388"/>
    </row>
    <row r="91" spans="1:18">
      <c r="A91" s="400">
        <v>1.45</v>
      </c>
      <c r="B91" s="401">
        <v>2.2800000000000001E-2</v>
      </c>
      <c r="C91" s="401">
        <v>9.4000000000000004E-3</v>
      </c>
      <c r="D91" s="401">
        <v>5.16E-2</v>
      </c>
      <c r="E91" s="401">
        <v>1.8499999999999999E-2</v>
      </c>
      <c r="F91" s="388"/>
      <c r="G91" s="400">
        <v>1.45</v>
      </c>
      <c r="H91" s="401">
        <v>2.8199999999999999E-2</v>
      </c>
      <c r="I91" s="401">
        <v>1.54E-2</v>
      </c>
      <c r="J91" s="401">
        <v>5.9299999999999999E-2</v>
      </c>
      <c r="K91" s="401">
        <v>3.7699999999999997E-2</v>
      </c>
      <c r="L91" s="388"/>
      <c r="M91" s="400">
        <v>1.45</v>
      </c>
      <c r="N91" s="401">
        <v>2.0899999999999998E-2</v>
      </c>
      <c r="O91" s="401">
        <v>0.01</v>
      </c>
      <c r="P91" s="401">
        <v>4.6899999999999997E-2</v>
      </c>
      <c r="Q91" s="401">
        <v>2.23E-2</v>
      </c>
      <c r="R91" s="388"/>
    </row>
    <row r="92" spans="1:18">
      <c r="A92" s="400">
        <v>1.5</v>
      </c>
      <c r="B92" s="401">
        <v>2.2499999999999999E-2</v>
      </c>
      <c r="C92" s="401">
        <v>8.6E-3</v>
      </c>
      <c r="D92" s="401">
        <v>5.0599999999999999E-2</v>
      </c>
      <c r="E92" s="401">
        <v>1.6899999999999998E-2</v>
      </c>
      <c r="F92" s="388"/>
      <c r="G92" s="400">
        <v>1.5</v>
      </c>
      <c r="H92" s="401">
        <v>2.8500000000000001E-2</v>
      </c>
      <c r="I92" s="401">
        <v>1.46E-2</v>
      </c>
      <c r="J92" s="401">
        <v>5.9700000000000003E-2</v>
      </c>
      <c r="K92" s="401">
        <v>3.5400000000000001E-2</v>
      </c>
      <c r="L92" s="388"/>
      <c r="M92" s="400">
        <v>1.5</v>
      </c>
      <c r="N92" s="401">
        <v>2.0799999999999999E-2</v>
      </c>
      <c r="O92" s="401">
        <v>9.2999999999999992E-3</v>
      </c>
      <c r="P92" s="401">
        <v>4.6399999999999997E-2</v>
      </c>
      <c r="Q92" s="401">
        <v>2.06E-2</v>
      </c>
      <c r="R92" s="388"/>
    </row>
    <row r="93" spans="1:18">
      <c r="A93" s="400">
        <v>1.55</v>
      </c>
      <c r="B93" s="401">
        <v>2.2100000000000002E-2</v>
      </c>
      <c r="C93" s="401">
        <v>7.9000000000000008E-3</v>
      </c>
      <c r="D93" s="401">
        <v>4.9500000000000002E-2</v>
      </c>
      <c r="E93" s="401">
        <v>1.55E-2</v>
      </c>
      <c r="F93" s="388"/>
      <c r="G93" s="400">
        <v>1.55</v>
      </c>
      <c r="H93" s="401">
        <v>2.8899999999999999E-2</v>
      </c>
      <c r="I93" s="401">
        <v>1.38E-2</v>
      </c>
      <c r="J93" s="401">
        <v>5.9900000000000002E-2</v>
      </c>
      <c r="K93" s="401">
        <v>3.32E-2</v>
      </c>
      <c r="L93" s="388"/>
      <c r="M93" s="400">
        <v>1.55</v>
      </c>
      <c r="N93" s="401">
        <v>2.06E-2</v>
      </c>
      <c r="O93" s="401">
        <v>8.6E-3</v>
      </c>
      <c r="P93" s="401">
        <v>4.5900000000000003E-2</v>
      </c>
      <c r="Q93" s="401">
        <v>1.9099999999999999E-2</v>
      </c>
      <c r="R93" s="388"/>
    </row>
    <row r="94" spans="1:18">
      <c r="A94" s="400">
        <v>1.6</v>
      </c>
      <c r="B94" s="401">
        <v>2.18E-2</v>
      </c>
      <c r="C94" s="401">
        <v>7.3000000000000001E-3</v>
      </c>
      <c r="D94" s="401">
        <v>4.8399999999999999E-2</v>
      </c>
      <c r="E94" s="401">
        <v>1.4200000000000001E-2</v>
      </c>
      <c r="F94" s="388"/>
      <c r="G94" s="400">
        <v>1.6</v>
      </c>
      <c r="H94" s="401">
        <v>2.8899999999999999E-2</v>
      </c>
      <c r="I94" s="401">
        <v>1.2999999999999999E-2</v>
      </c>
      <c r="J94" s="401">
        <v>5.9900000000000002E-2</v>
      </c>
      <c r="K94" s="401">
        <v>3.1199999999999999E-2</v>
      </c>
      <c r="L94" s="388"/>
      <c r="M94" s="400">
        <v>1.6</v>
      </c>
      <c r="N94" s="401">
        <v>2.0500000000000001E-2</v>
      </c>
      <c r="O94" s="401">
        <v>8.0000000000000002E-3</v>
      </c>
      <c r="P94" s="401">
        <v>4.5199999999999997E-2</v>
      </c>
      <c r="Q94" s="401">
        <v>1.77E-2</v>
      </c>
      <c r="R94" s="388"/>
    </row>
    <row r="95" spans="1:18">
      <c r="A95" s="400">
        <v>1.65</v>
      </c>
      <c r="B95" s="401">
        <v>2.1399999999999999E-2</v>
      </c>
      <c r="C95" s="401">
        <v>6.7000000000000002E-3</v>
      </c>
      <c r="D95" s="401">
        <v>4.7300000000000002E-2</v>
      </c>
      <c r="E95" s="401">
        <v>1.3100000000000001E-2</v>
      </c>
      <c r="F95" s="388"/>
      <c r="G95" s="400">
        <v>1.65</v>
      </c>
      <c r="H95" s="401">
        <v>2.9000000000000001E-2</v>
      </c>
      <c r="I95" s="401">
        <v>1.23E-2</v>
      </c>
      <c r="J95" s="401">
        <v>5.9700000000000003E-2</v>
      </c>
      <c r="K95" s="401">
        <v>2.93E-2</v>
      </c>
      <c r="L95" s="388"/>
      <c r="M95" s="400">
        <v>1.65</v>
      </c>
      <c r="N95" s="401">
        <v>2.0199999999999999E-2</v>
      </c>
      <c r="O95" s="401">
        <v>7.4000000000000003E-3</v>
      </c>
      <c r="P95" s="401">
        <v>4.4600000000000001E-2</v>
      </c>
      <c r="Q95" s="401">
        <v>1.6400000000000001E-2</v>
      </c>
      <c r="R95" s="388"/>
    </row>
    <row r="96" spans="1:18">
      <c r="A96" s="400">
        <v>1.7</v>
      </c>
      <c r="B96" s="401">
        <v>2.1000000000000001E-2</v>
      </c>
      <c r="C96" s="401">
        <v>6.1999999999999998E-3</v>
      </c>
      <c r="D96" s="401">
        <v>4.6199999999999998E-2</v>
      </c>
      <c r="E96" s="401">
        <v>1.2E-2</v>
      </c>
      <c r="F96" s="388"/>
      <c r="G96" s="400">
        <v>1.7</v>
      </c>
      <c r="H96" s="401">
        <v>2.9000000000000001E-2</v>
      </c>
      <c r="I96" s="401">
        <v>1.1599999999999999E-2</v>
      </c>
      <c r="J96" s="401">
        <v>5.9400000000000001E-2</v>
      </c>
      <c r="K96" s="401">
        <v>2.7400000000000001E-2</v>
      </c>
      <c r="L96" s="388"/>
      <c r="M96" s="400">
        <v>1.7</v>
      </c>
      <c r="N96" s="401">
        <v>0.02</v>
      </c>
      <c r="O96" s="401">
        <v>6.8999999999999999E-3</v>
      </c>
      <c r="P96" s="401">
        <v>4.3799999999999999E-2</v>
      </c>
      <c r="Q96" s="401">
        <v>1.52E-2</v>
      </c>
      <c r="R96" s="388"/>
    </row>
    <row r="97" spans="1:18">
      <c r="A97" s="400">
        <v>1.75</v>
      </c>
      <c r="B97" s="401">
        <v>2.06E-2</v>
      </c>
      <c r="C97" s="401">
        <v>5.7999999999999996E-3</v>
      </c>
      <c r="D97" s="401">
        <v>4.5199999999999997E-2</v>
      </c>
      <c r="E97" s="401">
        <v>1.12E-2</v>
      </c>
      <c r="F97" s="388"/>
      <c r="G97" s="400">
        <v>1.75</v>
      </c>
      <c r="H97" s="401">
        <v>2.9000000000000001E-2</v>
      </c>
      <c r="I97" s="401">
        <v>1.09E-2</v>
      </c>
      <c r="J97" s="401">
        <v>5.8900000000000001E-2</v>
      </c>
      <c r="K97" s="401">
        <v>2.5600000000000001E-2</v>
      </c>
      <c r="L97" s="388"/>
      <c r="M97" s="400">
        <v>1.75</v>
      </c>
      <c r="N97" s="401">
        <v>1.9699999999999999E-2</v>
      </c>
      <c r="O97" s="401">
        <v>6.4000000000000003E-3</v>
      </c>
      <c r="P97" s="401">
        <v>4.3099999999999999E-2</v>
      </c>
      <c r="Q97" s="401">
        <v>1.41E-2</v>
      </c>
      <c r="R97" s="388"/>
    </row>
    <row r="98" spans="1:18">
      <c r="A98" s="400">
        <v>1.8</v>
      </c>
      <c r="B98" s="401">
        <v>2.0299999999999999E-2</v>
      </c>
      <c r="C98" s="401">
        <v>5.4000000000000003E-3</v>
      </c>
      <c r="D98" s="401">
        <v>4.4200000000000003E-2</v>
      </c>
      <c r="E98" s="401">
        <v>1.0200000000000001E-2</v>
      </c>
      <c r="F98" s="388"/>
      <c r="G98" s="400">
        <v>1.8</v>
      </c>
      <c r="H98" s="401">
        <v>2.8799999999999999E-2</v>
      </c>
      <c r="I98" s="401">
        <v>1.03E-2</v>
      </c>
      <c r="J98" s="401">
        <v>5.8299999999999998E-2</v>
      </c>
      <c r="K98" s="401">
        <v>2.4E-2</v>
      </c>
      <c r="L98" s="388"/>
      <c r="M98" s="400">
        <v>1.8</v>
      </c>
      <c r="N98" s="401">
        <v>1.95E-2</v>
      </c>
      <c r="O98" s="401">
        <v>6.0000000000000001E-3</v>
      </c>
      <c r="P98" s="401">
        <v>4.2299999999999997E-2</v>
      </c>
      <c r="Q98" s="401">
        <v>1.3100000000000001E-2</v>
      </c>
      <c r="R98" s="388"/>
    </row>
    <row r="99" spans="1:18">
      <c r="A99" s="400">
        <v>1.85</v>
      </c>
      <c r="B99" s="401">
        <v>0.02</v>
      </c>
      <c r="C99" s="401">
        <v>5.0000000000000001E-3</v>
      </c>
      <c r="D99" s="401">
        <v>4.3200000000000002E-2</v>
      </c>
      <c r="E99" s="401">
        <v>9.4999999999999998E-3</v>
      </c>
      <c r="F99" s="388"/>
      <c r="G99" s="400">
        <v>1.85</v>
      </c>
      <c r="H99" s="401">
        <v>2.86E-2</v>
      </c>
      <c r="I99" s="401">
        <v>9.7000000000000003E-3</v>
      </c>
      <c r="J99" s="401">
        <v>5.7599999999999998E-2</v>
      </c>
      <c r="K99" s="401">
        <v>2.2499999999999999E-2</v>
      </c>
      <c r="L99" s="388"/>
      <c r="M99" s="400">
        <v>1.85</v>
      </c>
      <c r="N99" s="401">
        <v>1.9199999999999998E-2</v>
      </c>
      <c r="O99" s="401">
        <v>5.5999999999999999E-3</v>
      </c>
      <c r="P99" s="401">
        <v>4.1500000000000002E-2</v>
      </c>
      <c r="Q99" s="401">
        <v>1.2200000000000001E-2</v>
      </c>
      <c r="R99" s="388"/>
    </row>
    <row r="100" spans="1:18">
      <c r="A100" s="400">
        <v>1.9</v>
      </c>
      <c r="B100" s="401">
        <v>1.9599999999999999E-2</v>
      </c>
      <c r="C100" s="401">
        <v>4.5999999999999999E-3</v>
      </c>
      <c r="D100" s="401">
        <v>4.2200000000000001E-2</v>
      </c>
      <c r="E100" s="401">
        <v>8.8000000000000005E-3</v>
      </c>
      <c r="F100" s="388"/>
      <c r="G100" s="400">
        <v>1.9</v>
      </c>
      <c r="H100" s="401">
        <v>2.8400000000000002E-2</v>
      </c>
      <c r="I100" s="401">
        <v>9.1999999999999998E-3</v>
      </c>
      <c r="J100" s="401">
        <v>5.7000000000000002E-2</v>
      </c>
      <c r="K100" s="401">
        <v>2.12E-2</v>
      </c>
      <c r="L100" s="388"/>
      <c r="M100" s="400">
        <v>1.9</v>
      </c>
      <c r="N100" s="401">
        <v>1.9E-2</v>
      </c>
      <c r="O100" s="401">
        <v>5.1999999999999998E-3</v>
      </c>
      <c r="P100" s="401">
        <v>4.0800000000000003E-2</v>
      </c>
      <c r="Q100" s="401">
        <v>1.1299999999999999E-2</v>
      </c>
      <c r="R100" s="388"/>
    </row>
    <row r="101" spans="1:18">
      <c r="A101" s="400">
        <v>1.95</v>
      </c>
      <c r="B101" s="401">
        <v>1.9199999999999998E-2</v>
      </c>
      <c r="C101" s="401">
        <v>4.3E-3</v>
      </c>
      <c r="D101" s="401">
        <v>4.1300000000000003E-2</v>
      </c>
      <c r="E101" s="401">
        <v>8.2000000000000007E-3</v>
      </c>
      <c r="F101" s="388"/>
      <c r="G101" s="400">
        <v>1.95</v>
      </c>
      <c r="H101" s="401">
        <v>2.8199999999999999E-2</v>
      </c>
      <c r="I101" s="401">
        <v>8.6E-3</v>
      </c>
      <c r="J101" s="401">
        <v>5.62E-2</v>
      </c>
      <c r="K101" s="401">
        <v>1.9800000000000002E-2</v>
      </c>
      <c r="L101" s="388"/>
      <c r="M101" s="400">
        <v>1.95</v>
      </c>
      <c r="N101" s="401">
        <v>1.8599999999999998E-2</v>
      </c>
      <c r="O101" s="401">
        <v>4.8999999999999998E-3</v>
      </c>
      <c r="P101" s="401">
        <v>0.04</v>
      </c>
      <c r="Q101" s="401">
        <v>1.0699999999999999E-2</v>
      </c>
      <c r="R101" s="388"/>
    </row>
    <row r="102" spans="1:18">
      <c r="A102" s="403">
        <v>2</v>
      </c>
      <c r="B102" s="404">
        <v>1.89E-2</v>
      </c>
      <c r="C102" s="404">
        <v>4.0000000000000001E-3</v>
      </c>
      <c r="D102" s="404">
        <v>4.0399999999999998E-2</v>
      </c>
      <c r="E102" s="404">
        <v>7.6E-3</v>
      </c>
      <c r="F102" s="388"/>
      <c r="G102" s="403">
        <v>2</v>
      </c>
      <c r="H102" s="404">
        <v>2.8000000000000001E-2</v>
      </c>
      <c r="I102" s="404">
        <v>8.0999999999999996E-3</v>
      </c>
      <c r="J102" s="404">
        <v>5.5500000000000001E-2</v>
      </c>
      <c r="K102" s="404">
        <v>1.8700000000000001E-2</v>
      </c>
      <c r="L102" s="388"/>
      <c r="M102" s="403">
        <v>2</v>
      </c>
      <c r="N102" s="404">
        <v>1.83E-2</v>
      </c>
      <c r="O102" s="404">
        <v>4.5999999999999999E-3</v>
      </c>
      <c r="P102" s="404">
        <v>3.9199999999999999E-2</v>
      </c>
      <c r="Q102" s="404">
        <v>9.7999999999999997E-3</v>
      </c>
      <c r="R102" s="388"/>
    </row>
    <row r="103" spans="1:18">
      <c r="A103" s="405"/>
      <c r="B103" s="402"/>
      <c r="C103" s="402"/>
      <c r="D103" s="402"/>
      <c r="E103" s="402"/>
      <c r="F103" s="388"/>
      <c r="G103" s="388"/>
      <c r="H103" s="388"/>
      <c r="I103" s="388"/>
      <c r="J103" s="388"/>
      <c r="K103" s="388"/>
      <c r="L103" s="388"/>
      <c r="M103" s="388"/>
      <c r="N103" s="388"/>
      <c r="O103" s="388"/>
      <c r="P103" s="388"/>
      <c r="Q103" s="388"/>
      <c r="R103" s="388"/>
    </row>
    <row r="104" spans="1:18" ht="19">
      <c r="A104" s="1165" t="s">
        <v>823</v>
      </c>
      <c r="B104" s="1165"/>
      <c r="C104" s="1165"/>
      <c r="D104" s="1165"/>
      <c r="E104" s="1165"/>
      <c r="F104" s="388"/>
      <c r="G104" s="1165" t="s">
        <v>824</v>
      </c>
      <c r="H104" s="1165"/>
      <c r="I104" s="1165"/>
      <c r="J104" s="1165"/>
      <c r="K104" s="1165"/>
      <c r="L104" s="388"/>
      <c r="M104" s="388"/>
      <c r="N104" s="388"/>
      <c r="O104" s="388"/>
      <c r="P104" s="388"/>
      <c r="Q104" s="388"/>
      <c r="R104" s="388"/>
    </row>
    <row r="105" spans="1:18">
      <c r="A105" s="397" t="s">
        <v>327</v>
      </c>
      <c r="B105" s="398" t="s">
        <v>428</v>
      </c>
      <c r="C105" s="398" t="s">
        <v>3</v>
      </c>
      <c r="D105" s="398" t="s">
        <v>429</v>
      </c>
      <c r="E105" s="398" t="s">
        <v>430</v>
      </c>
      <c r="F105" s="399"/>
      <c r="G105" s="397" t="s">
        <v>327</v>
      </c>
      <c r="H105" s="398" t="s">
        <v>428</v>
      </c>
      <c r="I105" s="398" t="s">
        <v>3</v>
      </c>
      <c r="J105" s="398" t="s">
        <v>429</v>
      </c>
      <c r="K105" s="398" t="s">
        <v>430</v>
      </c>
      <c r="L105" s="388"/>
      <c r="M105" s="388"/>
      <c r="N105" s="388"/>
      <c r="O105" s="388"/>
      <c r="P105" s="388"/>
      <c r="Q105" s="388"/>
      <c r="R105" s="388"/>
    </row>
    <row r="106" spans="1:18">
      <c r="A106" s="400">
        <v>1</v>
      </c>
      <c r="B106" s="401">
        <v>9.9000000000000008E-3</v>
      </c>
      <c r="C106" s="401">
        <v>4.5699999999999998E-2</v>
      </c>
      <c r="D106" s="401">
        <v>5.0999999999999997E-2</v>
      </c>
      <c r="E106" s="401">
        <v>8.5300000000000001E-2</v>
      </c>
      <c r="F106" s="388"/>
      <c r="G106" s="400">
        <v>1</v>
      </c>
      <c r="H106" s="401">
        <v>4.5699999999999998E-2</v>
      </c>
      <c r="I106" s="401">
        <v>8.9999999999999993E-3</v>
      </c>
      <c r="J106" s="401">
        <v>8.5500000000000007E-2</v>
      </c>
      <c r="K106" s="401">
        <v>5.0999999999999997E-2</v>
      </c>
      <c r="L106" s="388"/>
      <c r="M106" s="388"/>
      <c r="N106" s="388"/>
      <c r="O106" s="388"/>
      <c r="P106" s="388"/>
      <c r="Q106" s="388"/>
      <c r="R106" s="388"/>
    </row>
    <row r="107" spans="1:18">
      <c r="A107" s="400">
        <v>1.1000000000000001</v>
      </c>
      <c r="B107" s="401">
        <v>1.0200000000000001E-2</v>
      </c>
      <c r="C107" s="401">
        <v>4.9200000000000001E-2</v>
      </c>
      <c r="D107" s="401">
        <v>5.74E-2</v>
      </c>
      <c r="E107" s="401">
        <v>9.2999999999999999E-2</v>
      </c>
      <c r="F107" s="388"/>
      <c r="G107" s="400">
        <v>1.1000000000000001</v>
      </c>
      <c r="H107" s="401">
        <v>4.2099999999999999E-2</v>
      </c>
      <c r="I107" s="401">
        <v>9.4000000000000004E-3</v>
      </c>
      <c r="J107" s="401">
        <v>7.7700000000000005E-2</v>
      </c>
      <c r="K107" s="401">
        <v>4.48E-2</v>
      </c>
      <c r="L107" s="388"/>
      <c r="M107" s="388"/>
      <c r="N107" s="388"/>
      <c r="O107" s="388"/>
      <c r="P107" s="388"/>
      <c r="Q107" s="388"/>
      <c r="R107" s="388"/>
    </row>
    <row r="108" spans="1:18">
      <c r="A108" s="400">
        <v>1.2</v>
      </c>
      <c r="B108" s="401">
        <v>1.0200000000000001E-2</v>
      </c>
      <c r="C108" s="401">
        <v>5.1900000000000002E-2</v>
      </c>
      <c r="D108" s="401">
        <v>6.3600000000000004E-2</v>
      </c>
      <c r="E108" s="401">
        <v>0.1</v>
      </c>
      <c r="F108" s="388"/>
      <c r="G108" s="400">
        <v>1.2</v>
      </c>
      <c r="H108" s="401">
        <v>3.8899999999999997E-2</v>
      </c>
      <c r="I108" s="401">
        <v>8.6999999999999994E-3</v>
      </c>
      <c r="J108" s="401">
        <v>7.1199999999999999E-2</v>
      </c>
      <c r="K108" s="401">
        <v>3.9699999999999999E-2</v>
      </c>
      <c r="L108" s="388"/>
      <c r="M108" s="388"/>
      <c r="N108" s="388"/>
      <c r="O108" s="388"/>
      <c r="P108" s="388"/>
      <c r="Q108" s="388"/>
      <c r="R108" s="388"/>
    </row>
    <row r="109" spans="1:18">
      <c r="A109" s="400">
        <v>1.3</v>
      </c>
      <c r="B109" s="401">
        <v>0.01</v>
      </c>
      <c r="C109" s="401">
        <v>5.3999999999999999E-2</v>
      </c>
      <c r="D109" s="401">
        <v>7.0000000000000007E-2</v>
      </c>
      <c r="E109" s="401">
        <v>0.1062</v>
      </c>
      <c r="F109" s="388"/>
      <c r="G109" s="400">
        <v>1.3</v>
      </c>
      <c r="H109" s="401">
        <v>3.6200000000000003E-2</v>
      </c>
      <c r="I109" s="401">
        <v>7.9000000000000008E-3</v>
      </c>
      <c r="J109" s="401">
        <v>6.5799999999999997E-2</v>
      </c>
      <c r="K109" s="401">
        <v>3.5400000000000001E-2</v>
      </c>
      <c r="L109" s="388"/>
      <c r="M109" s="388"/>
      <c r="N109" s="388"/>
      <c r="O109" s="388"/>
      <c r="P109" s="388"/>
      <c r="Q109" s="388"/>
      <c r="R109" s="388"/>
    </row>
    <row r="110" spans="1:18">
      <c r="A110" s="400">
        <v>1.4</v>
      </c>
      <c r="B110" s="401">
        <v>9.7000000000000003E-3</v>
      </c>
      <c r="C110" s="401">
        <v>5.5199999999999999E-2</v>
      </c>
      <c r="D110" s="401">
        <v>7.6100000000000001E-2</v>
      </c>
      <c r="E110" s="401">
        <v>0.1115</v>
      </c>
      <c r="F110" s="388"/>
      <c r="G110" s="400">
        <v>1.4</v>
      </c>
      <c r="H110" s="401">
        <v>3.3599999999999998E-2</v>
      </c>
      <c r="I110" s="401">
        <v>7.0000000000000001E-3</v>
      </c>
      <c r="J110" s="401">
        <v>6.0900000000000003E-2</v>
      </c>
      <c r="K110" s="401">
        <v>3.15E-2</v>
      </c>
      <c r="L110" s="388"/>
      <c r="M110" s="388"/>
      <c r="N110" s="388"/>
      <c r="O110" s="388"/>
      <c r="P110" s="388"/>
      <c r="Q110" s="388"/>
      <c r="R110" s="388"/>
    </row>
    <row r="111" spans="1:18">
      <c r="A111" s="403">
        <v>1.5</v>
      </c>
      <c r="B111" s="404">
        <v>9.4999999999999998E-3</v>
      </c>
      <c r="C111" s="404">
        <v>5.5599999999999997E-2</v>
      </c>
      <c r="D111" s="404">
        <v>8.2100000000000006E-2</v>
      </c>
      <c r="E111" s="404">
        <v>0.11550000000000001</v>
      </c>
      <c r="F111" s="388"/>
      <c r="G111" s="403">
        <v>1.5</v>
      </c>
      <c r="H111" s="404">
        <v>3.1099999999999999E-2</v>
      </c>
      <c r="I111" s="404">
        <v>5.8999999999999999E-3</v>
      </c>
      <c r="J111" s="404">
        <v>5.62E-2</v>
      </c>
      <c r="K111" s="404">
        <v>2.7900000000000001E-2</v>
      </c>
      <c r="L111" s="388"/>
      <c r="M111" s="388"/>
      <c r="N111" s="388"/>
      <c r="O111" s="388"/>
      <c r="P111" s="388"/>
      <c r="Q111" s="388"/>
      <c r="R111" s="388"/>
    </row>
  </sheetData>
  <mergeCells count="18">
    <mergeCell ref="A80:E80"/>
    <mergeCell ref="G80:K80"/>
    <mergeCell ref="M80:Q80"/>
    <mergeCell ref="A104:E104"/>
    <mergeCell ref="G104:K104"/>
    <mergeCell ref="S16:T16"/>
    <mergeCell ref="A32:E32"/>
    <mergeCell ref="G32:K32"/>
    <mergeCell ref="M32:Q32"/>
    <mergeCell ref="A56:E56"/>
    <mergeCell ref="G56:K56"/>
    <mergeCell ref="M56:Q56"/>
    <mergeCell ref="Q16:R16"/>
    <mergeCell ref="M2:O2"/>
    <mergeCell ref="M4:O4"/>
    <mergeCell ref="L16:L17"/>
    <mergeCell ref="M16:N16"/>
    <mergeCell ref="O16:P16"/>
  </mergeCells>
  <pageMargins left="0.7" right="0.7" top="0.75" bottom="0.75" header="0.3" footer="0.3"/>
  <drawing r:id="rId1"/>
  <legacyDrawing r:id="rId2"/>
  <oleObjects>
    <mc:AlternateContent xmlns:mc="http://schemas.openxmlformats.org/markup-compatibility/2006">
      <mc:Choice Requires="x14">
        <oleObject progId="Equation.DSMT4" shapeId="26625" r:id="rId3">
          <objectPr defaultSize="0" autoPict="0" r:id="rId4">
            <anchor moveWithCells="1" sizeWithCells="1">
              <from>
                <xdr:col>12</xdr:col>
                <xdr:colOff>482600</xdr:colOff>
                <xdr:row>3</xdr:row>
                <xdr:rowOff>203200</xdr:rowOff>
              </from>
              <to>
                <xdr:col>14</xdr:col>
                <xdr:colOff>368300</xdr:colOff>
                <xdr:row>5</xdr:row>
                <xdr:rowOff>63500</xdr:rowOff>
              </to>
            </anchor>
          </objectPr>
        </oleObject>
      </mc:Choice>
      <mc:Fallback>
        <oleObject progId="Equation.DSMT4" shapeId="26625" r:id="rId3"/>
      </mc:Fallback>
    </mc:AlternateContent>
    <mc:AlternateContent xmlns:mc="http://schemas.openxmlformats.org/markup-compatibility/2006">
      <mc:Choice Requires="x14">
        <oleObject progId="AutoCAD.Drawing.17" shapeId="26626" r:id="rId5">
          <objectPr defaultSize="0" autoPict="0" r:id="rId6">
            <anchor moveWithCells="1">
              <from>
                <xdr:col>11</xdr:col>
                <xdr:colOff>12700</xdr:colOff>
                <xdr:row>5</xdr:row>
                <xdr:rowOff>215900</xdr:rowOff>
              </from>
              <to>
                <xdr:col>17</xdr:col>
                <xdr:colOff>279400</xdr:colOff>
                <xdr:row>16</xdr:row>
                <xdr:rowOff>88900</xdr:rowOff>
              </to>
            </anchor>
          </objectPr>
        </oleObject>
      </mc:Choice>
      <mc:Fallback>
        <oleObject progId="AutoCAD.Drawing.17" shapeId="26626" r:id="rId5"/>
      </mc:Fallback>
    </mc:AlternateContent>
    <mc:AlternateContent xmlns:mc="http://schemas.openxmlformats.org/markup-compatibility/2006">
      <mc:Choice Requires="x14">
        <oleObject progId="Equation.DSMT4" shapeId="26627" r:id="rId7">
          <objectPr defaultSize="0" autoPict="0" r:id="rId8">
            <anchor moveWithCells="1" sizeWithCells="1">
              <from>
                <xdr:col>12</xdr:col>
                <xdr:colOff>228600</xdr:colOff>
                <xdr:row>15</xdr:row>
                <xdr:rowOff>190500</xdr:rowOff>
              </from>
              <to>
                <xdr:col>12</xdr:col>
                <xdr:colOff>685800</xdr:colOff>
                <xdr:row>17</xdr:row>
                <xdr:rowOff>25400</xdr:rowOff>
              </to>
            </anchor>
          </objectPr>
        </oleObject>
      </mc:Choice>
      <mc:Fallback>
        <oleObject progId="Equation.DSMT4" shapeId="26627" r:id="rId7"/>
      </mc:Fallback>
    </mc:AlternateContent>
    <mc:AlternateContent xmlns:mc="http://schemas.openxmlformats.org/markup-compatibility/2006">
      <mc:Choice Requires="x14">
        <oleObject progId="Equation.DSMT4" shapeId="26628" r:id="rId9">
          <objectPr defaultSize="0" autoPict="0" r:id="rId10">
            <anchor moveWithCells="1" sizeWithCells="1">
              <from>
                <xdr:col>13</xdr:col>
                <xdr:colOff>203200</xdr:colOff>
                <xdr:row>15</xdr:row>
                <xdr:rowOff>203200</xdr:rowOff>
              </from>
              <to>
                <xdr:col>13</xdr:col>
                <xdr:colOff>660400</xdr:colOff>
                <xdr:row>17</xdr:row>
                <xdr:rowOff>38100</xdr:rowOff>
              </to>
            </anchor>
          </objectPr>
        </oleObject>
      </mc:Choice>
      <mc:Fallback>
        <oleObject progId="Equation.DSMT4" shapeId="26628" r:id="rId9"/>
      </mc:Fallback>
    </mc:AlternateContent>
    <mc:AlternateContent xmlns:mc="http://schemas.openxmlformats.org/markup-compatibility/2006">
      <mc:Choice Requires="x14">
        <oleObject progId="Equation.DSMT4" shapeId="26629" r:id="rId11">
          <objectPr defaultSize="0" autoPict="0" r:id="rId8">
            <anchor moveWithCells="1" sizeWithCells="1">
              <from>
                <xdr:col>14</xdr:col>
                <xdr:colOff>241300</xdr:colOff>
                <xdr:row>15</xdr:row>
                <xdr:rowOff>215900</xdr:rowOff>
              </from>
              <to>
                <xdr:col>14</xdr:col>
                <xdr:colOff>698500</xdr:colOff>
                <xdr:row>17</xdr:row>
                <xdr:rowOff>50800</xdr:rowOff>
              </to>
            </anchor>
          </objectPr>
        </oleObject>
      </mc:Choice>
      <mc:Fallback>
        <oleObject progId="Equation.DSMT4" shapeId="26629" r:id="rId11"/>
      </mc:Fallback>
    </mc:AlternateContent>
    <mc:AlternateContent xmlns:mc="http://schemas.openxmlformats.org/markup-compatibility/2006">
      <mc:Choice Requires="x14">
        <oleObject progId="Equation.DSMT4" shapeId="26630" r:id="rId12">
          <objectPr defaultSize="0" autoPict="0" r:id="rId10">
            <anchor moveWithCells="1" sizeWithCells="1">
              <from>
                <xdr:col>15</xdr:col>
                <xdr:colOff>215900</xdr:colOff>
                <xdr:row>15</xdr:row>
                <xdr:rowOff>215900</xdr:rowOff>
              </from>
              <to>
                <xdr:col>15</xdr:col>
                <xdr:colOff>673100</xdr:colOff>
                <xdr:row>17</xdr:row>
                <xdr:rowOff>63500</xdr:rowOff>
              </to>
            </anchor>
          </objectPr>
        </oleObject>
      </mc:Choice>
      <mc:Fallback>
        <oleObject progId="Equation.DSMT4" shapeId="26630" r:id="rId12"/>
      </mc:Fallback>
    </mc:AlternateContent>
    <mc:AlternateContent xmlns:mc="http://schemas.openxmlformats.org/markup-compatibility/2006">
      <mc:Choice Requires="x14">
        <oleObject progId="Equation.DSMT4" shapeId="26631" r:id="rId13">
          <objectPr defaultSize="0" autoPict="0" r:id="rId8">
            <anchor moveWithCells="1" sizeWithCells="1">
              <from>
                <xdr:col>16</xdr:col>
                <xdr:colOff>215900</xdr:colOff>
                <xdr:row>15</xdr:row>
                <xdr:rowOff>203200</xdr:rowOff>
              </from>
              <to>
                <xdr:col>16</xdr:col>
                <xdr:colOff>673100</xdr:colOff>
                <xdr:row>17</xdr:row>
                <xdr:rowOff>38100</xdr:rowOff>
              </to>
            </anchor>
          </objectPr>
        </oleObject>
      </mc:Choice>
      <mc:Fallback>
        <oleObject progId="Equation.DSMT4" shapeId="26631" r:id="rId13"/>
      </mc:Fallback>
    </mc:AlternateContent>
    <mc:AlternateContent xmlns:mc="http://schemas.openxmlformats.org/markup-compatibility/2006">
      <mc:Choice Requires="x14">
        <oleObject progId="Equation.DSMT4" shapeId="26632" r:id="rId14">
          <objectPr defaultSize="0" autoPict="0" r:id="rId10">
            <anchor moveWithCells="1" sizeWithCells="1">
              <from>
                <xdr:col>17</xdr:col>
                <xdr:colOff>177800</xdr:colOff>
                <xdr:row>15</xdr:row>
                <xdr:rowOff>215900</xdr:rowOff>
              </from>
              <to>
                <xdr:col>17</xdr:col>
                <xdr:colOff>635000</xdr:colOff>
                <xdr:row>17</xdr:row>
                <xdr:rowOff>50800</xdr:rowOff>
              </to>
            </anchor>
          </objectPr>
        </oleObject>
      </mc:Choice>
      <mc:Fallback>
        <oleObject progId="Equation.DSMT4" shapeId="26632" r:id="rId14"/>
      </mc:Fallback>
    </mc:AlternateContent>
    <mc:AlternateContent xmlns:mc="http://schemas.openxmlformats.org/markup-compatibility/2006">
      <mc:Choice Requires="x14">
        <oleObject progId="Equation.DSMT4" shapeId="26633" r:id="rId15">
          <objectPr defaultSize="0" autoPict="0" r:id="rId8">
            <anchor moveWithCells="1" sizeWithCells="1">
              <from>
                <xdr:col>18</xdr:col>
                <xdr:colOff>215900</xdr:colOff>
                <xdr:row>15</xdr:row>
                <xdr:rowOff>190500</xdr:rowOff>
              </from>
              <to>
                <xdr:col>18</xdr:col>
                <xdr:colOff>673100</xdr:colOff>
                <xdr:row>17</xdr:row>
                <xdr:rowOff>25400</xdr:rowOff>
              </to>
            </anchor>
          </objectPr>
        </oleObject>
      </mc:Choice>
      <mc:Fallback>
        <oleObject progId="Equation.DSMT4" shapeId="26633" r:id="rId15"/>
      </mc:Fallback>
    </mc:AlternateContent>
    <mc:AlternateContent xmlns:mc="http://schemas.openxmlformats.org/markup-compatibility/2006">
      <mc:Choice Requires="x14">
        <oleObject progId="Equation.DSMT4" shapeId="26634" r:id="rId16">
          <objectPr defaultSize="0" autoPict="0" r:id="rId10">
            <anchor moveWithCells="1" sizeWithCells="1">
              <from>
                <xdr:col>19</xdr:col>
                <xdr:colOff>190500</xdr:colOff>
                <xdr:row>15</xdr:row>
                <xdr:rowOff>203200</xdr:rowOff>
              </from>
              <to>
                <xdr:col>19</xdr:col>
                <xdr:colOff>647700</xdr:colOff>
                <xdr:row>17</xdr:row>
                <xdr:rowOff>38100</xdr:rowOff>
              </to>
            </anchor>
          </objectPr>
        </oleObject>
      </mc:Choice>
      <mc:Fallback>
        <oleObject progId="Equation.DSMT4" shapeId="26634" r:id="rId16"/>
      </mc:Fallback>
    </mc:AlternateContent>
  </oleObjec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24EC-1372-417C-BF02-01F679CA5045}">
  <sheetPr codeName="Sheet23"/>
  <dimension ref="A1:B1"/>
  <sheetViews>
    <sheetView workbookViewId="0">
      <selection activeCell="J19" sqref="J19"/>
    </sheetView>
  </sheetViews>
  <sheetFormatPr defaultColWidth="8.83203125" defaultRowHeight="14"/>
  <cols>
    <col min="1" max="1" width="14.4140625" bestFit="1" customWidth="1"/>
  </cols>
  <sheetData>
    <row r="1" spans="1:2">
      <c r="A1" t="s">
        <v>62</v>
      </c>
      <c r="B1">
        <v>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AD0B9-275A-48D5-ABAA-348E51522F41}">
  <sheetPr codeName="Sheet24"/>
  <dimension ref="A1:B24"/>
  <sheetViews>
    <sheetView topLeftCell="A7" workbookViewId="0">
      <selection activeCell="E12" sqref="E12"/>
    </sheetView>
  </sheetViews>
  <sheetFormatPr defaultColWidth="8.83203125" defaultRowHeight="14"/>
  <cols>
    <col min="1" max="1" width="44.08203125" bestFit="1" customWidth="1"/>
  </cols>
  <sheetData>
    <row r="1" spans="1:2" ht="16.5">
      <c r="A1" s="3" t="s">
        <v>28</v>
      </c>
    </row>
    <row r="2" spans="1:2" ht="16.5">
      <c r="A2" s="3" t="s">
        <v>29</v>
      </c>
    </row>
    <row r="3" spans="1:2" ht="16.5">
      <c r="A3" s="4" t="s">
        <v>30</v>
      </c>
    </row>
    <row r="4" spans="1:2" ht="16.5">
      <c r="A4" s="3" t="s">
        <v>31</v>
      </c>
      <c r="B4">
        <v>260</v>
      </c>
    </row>
    <row r="5" spans="1:2" ht="16.5">
      <c r="A5" s="4" t="s">
        <v>32</v>
      </c>
    </row>
    <row r="6" spans="1:2" ht="16.5">
      <c r="A6" s="3" t="s">
        <v>31</v>
      </c>
      <c r="B6">
        <v>210</v>
      </c>
    </row>
    <row r="7" spans="1:2" ht="16.5">
      <c r="A7" s="4" t="s">
        <v>33</v>
      </c>
    </row>
    <row r="8" spans="1:2" ht="16.5">
      <c r="A8" s="3" t="s">
        <v>31</v>
      </c>
      <c r="B8">
        <v>2000000</v>
      </c>
    </row>
    <row r="9" spans="1:2" ht="16.5">
      <c r="A9" s="3" t="s">
        <v>34</v>
      </c>
    </row>
    <row r="10" spans="1:2" ht="16.5">
      <c r="A10" s="3" t="s">
        <v>35</v>
      </c>
    </row>
    <row r="11" spans="1:2" ht="16.5">
      <c r="A11" s="3" t="s">
        <v>36</v>
      </c>
    </row>
    <row r="12" spans="1:2" ht="16.5">
      <c r="A12" s="3" t="s">
        <v>31</v>
      </c>
      <c r="B12">
        <v>260</v>
      </c>
    </row>
    <row r="13" spans="1:2" ht="16.5">
      <c r="A13" s="3" t="s">
        <v>37</v>
      </c>
    </row>
    <row r="14" spans="1:2" ht="16.5">
      <c r="A14" s="3" t="s">
        <v>31</v>
      </c>
      <c r="B14">
        <v>210</v>
      </c>
    </row>
    <row r="15" spans="1:2" ht="16.5">
      <c r="A15" s="3" t="s">
        <v>38</v>
      </c>
    </row>
    <row r="16" spans="1:2" ht="16.5">
      <c r="A16" s="3" t="s">
        <v>31</v>
      </c>
      <c r="B16">
        <v>200000</v>
      </c>
    </row>
    <row r="17" spans="1:2" ht="16.5">
      <c r="A17" s="3" t="s">
        <v>39</v>
      </c>
    </row>
    <row r="18" spans="1:2" ht="16.5">
      <c r="A18" s="3" t="s">
        <v>35</v>
      </c>
    </row>
    <row r="19" spans="1:2" ht="16.5">
      <c r="A19" s="3" t="s">
        <v>36</v>
      </c>
    </row>
    <row r="20" spans="1:2" ht="16.5">
      <c r="A20" s="3" t="s">
        <v>31</v>
      </c>
      <c r="B20">
        <v>350</v>
      </c>
    </row>
    <row r="21" spans="1:2" ht="16.5">
      <c r="A21" s="3" t="s">
        <v>37</v>
      </c>
    </row>
    <row r="22" spans="1:2" ht="16.5">
      <c r="A22" s="3" t="s">
        <v>31</v>
      </c>
      <c r="B22">
        <v>280</v>
      </c>
    </row>
    <row r="23" spans="1:2" ht="16.5">
      <c r="A23" s="3" t="s">
        <v>38</v>
      </c>
    </row>
    <row r="24" spans="1:2" ht="16.5">
      <c r="A24" s="3" t="s">
        <v>31</v>
      </c>
      <c r="B24">
        <v>200000</v>
      </c>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5C39A-C1FE-4E81-96F8-FE26900C8179}">
  <sheetPr codeName="Sheet25"/>
  <dimension ref="A1:B9"/>
  <sheetViews>
    <sheetView workbookViewId="0">
      <selection activeCell="D6" sqref="D6"/>
    </sheetView>
  </sheetViews>
  <sheetFormatPr defaultColWidth="8.83203125" defaultRowHeight="14"/>
  <cols>
    <col min="1" max="1" width="70.33203125" customWidth="1"/>
  </cols>
  <sheetData>
    <row r="1" spans="1:2" ht="16.5">
      <c r="A1" s="3" t="s">
        <v>40</v>
      </c>
    </row>
    <row r="2" spans="1:2" ht="16.5">
      <c r="A2" s="5" t="s">
        <v>41</v>
      </c>
    </row>
    <row r="3" spans="1:2" ht="33">
      <c r="A3" s="3" t="s">
        <v>42</v>
      </c>
    </row>
    <row r="4" spans="1:2" ht="16.5">
      <c r="A4" s="4" t="s">
        <v>43</v>
      </c>
    </row>
    <row r="5" spans="1:2" ht="16.5">
      <c r="A5" s="3" t="s">
        <v>31</v>
      </c>
      <c r="B5">
        <v>14.5</v>
      </c>
    </row>
    <row r="6" spans="1:2" ht="16.5">
      <c r="A6" s="4" t="s">
        <v>44</v>
      </c>
    </row>
    <row r="7" spans="1:2" ht="16.5">
      <c r="A7" s="3" t="s">
        <v>31</v>
      </c>
      <c r="B7">
        <v>1.05</v>
      </c>
    </row>
    <row r="8" spans="1:2" ht="16.5">
      <c r="A8" s="4" t="s">
        <v>33</v>
      </c>
    </row>
    <row r="9" spans="1:2" ht="16.5">
      <c r="A9" s="3" t="s">
        <v>31</v>
      </c>
      <c r="B9">
        <v>30000</v>
      </c>
    </row>
  </sheetData>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9B65E-9118-43EF-B256-83FCD856D421}">
  <sheetPr codeName="Sheet26"/>
  <dimension ref="A1:Q64"/>
  <sheetViews>
    <sheetView topLeftCell="A17" workbookViewId="0">
      <selection activeCell="H35" sqref="H35:Q37"/>
    </sheetView>
  </sheetViews>
  <sheetFormatPr defaultColWidth="8.83203125" defaultRowHeight="14"/>
  <cols>
    <col min="1" max="1" width="30.4140625" bestFit="1" customWidth="1"/>
    <col min="2" max="2" width="11.08203125" customWidth="1"/>
    <col min="3" max="3" width="12" customWidth="1"/>
    <col min="4" max="4" width="10.33203125" style="2" bestFit="1" customWidth="1"/>
    <col min="5" max="5" width="6.83203125" style="1" bestFit="1" customWidth="1"/>
    <col min="6" max="6" width="14.4140625" customWidth="1"/>
    <col min="7" max="7" width="10.08203125" style="6" bestFit="1" customWidth="1"/>
    <col min="8" max="8" width="7.6640625" customWidth="1"/>
    <col min="9" max="9" width="14" customWidth="1"/>
    <col min="10" max="10" width="5" bestFit="1" customWidth="1"/>
    <col min="11" max="11" width="7" bestFit="1" customWidth="1"/>
    <col min="12" max="12" width="5" bestFit="1" customWidth="1"/>
    <col min="13" max="13" width="7.6640625" customWidth="1"/>
    <col min="14" max="15" width="8.6640625" bestFit="1" customWidth="1"/>
    <col min="16" max="16" width="6.83203125" bestFit="1" customWidth="1"/>
    <col min="17" max="17" width="8.6640625" bestFit="1" customWidth="1"/>
  </cols>
  <sheetData>
    <row r="1" spans="1:8" ht="20">
      <c r="A1" s="1170" t="s">
        <v>23</v>
      </c>
      <c r="B1" s="1167" t="s">
        <v>24</v>
      </c>
      <c r="C1" s="1167" t="s">
        <v>742</v>
      </c>
      <c r="D1" s="372" t="s">
        <v>13</v>
      </c>
      <c r="E1" s="1167" t="s">
        <v>14</v>
      </c>
      <c r="F1" s="373" t="s">
        <v>25</v>
      </c>
    </row>
    <row r="2" spans="1:8" ht="18.5">
      <c r="A2" s="1170"/>
      <c r="B2" s="1167"/>
      <c r="C2" s="1167"/>
      <c r="D2" s="373" t="s">
        <v>743</v>
      </c>
      <c r="E2" s="1167"/>
      <c r="F2" s="373" t="s">
        <v>744</v>
      </c>
    </row>
    <row r="3" spans="1:8" ht="16.5">
      <c r="A3" s="598" t="s">
        <v>15</v>
      </c>
      <c r="B3" s="599">
        <v>10</v>
      </c>
      <c r="C3" s="599">
        <v>2</v>
      </c>
      <c r="D3" s="602">
        <f>ROUND(B3*C3/1000,2)</f>
        <v>0.02</v>
      </c>
      <c r="E3" s="599">
        <v>1.2</v>
      </c>
      <c r="F3" s="614">
        <f t="shared" ref="F3:F7" si="0">ROUND(D3*E3,2)</f>
        <v>0.02</v>
      </c>
    </row>
    <row r="4" spans="1:8" ht="16.5">
      <c r="A4" s="598" t="s">
        <v>26</v>
      </c>
      <c r="B4" s="599">
        <v>35</v>
      </c>
      <c r="C4" s="599">
        <v>1.8</v>
      </c>
      <c r="D4" s="602">
        <f t="shared" ref="D4:D6" si="1">ROUND(B4*C4/1000,2)</f>
        <v>0.06</v>
      </c>
      <c r="E4" s="599">
        <v>1.3</v>
      </c>
      <c r="F4" s="614">
        <f t="shared" si="0"/>
        <v>0.08</v>
      </c>
    </row>
    <row r="5" spans="1:8" ht="16.5">
      <c r="A5" s="598" t="s">
        <v>17</v>
      </c>
      <c r="B5" s="600">
        <f>TH!$E$45</f>
        <v>100</v>
      </c>
      <c r="C5" s="599">
        <v>2.5</v>
      </c>
      <c r="D5" s="602">
        <f t="shared" si="1"/>
        <v>0.25</v>
      </c>
      <c r="E5" s="599">
        <v>1.1000000000000001</v>
      </c>
      <c r="F5" s="614">
        <f t="shared" si="0"/>
        <v>0.28000000000000003</v>
      </c>
    </row>
    <row r="6" spans="1:8" ht="16.5">
      <c r="A6" s="598" t="s">
        <v>19</v>
      </c>
      <c r="B6" s="599" t="s">
        <v>983</v>
      </c>
      <c r="C6" s="599">
        <v>1.8</v>
      </c>
      <c r="D6" s="602">
        <f t="shared" si="1"/>
        <v>0.03</v>
      </c>
      <c r="E6" s="599">
        <v>1.3</v>
      </c>
      <c r="F6" s="614">
        <f t="shared" si="0"/>
        <v>0.04</v>
      </c>
    </row>
    <row r="7" spans="1:8" ht="16.5">
      <c r="A7" s="598" t="s">
        <v>20</v>
      </c>
      <c r="B7" s="599"/>
      <c r="C7" s="599"/>
      <c r="D7" s="602">
        <v>0.05</v>
      </c>
      <c r="E7" s="599">
        <v>1.2</v>
      </c>
      <c r="F7" s="614">
        <f t="shared" si="0"/>
        <v>0.06</v>
      </c>
    </row>
    <row r="8" spans="1:8" ht="16.5">
      <c r="A8" s="1171" t="s">
        <v>21</v>
      </c>
      <c r="B8" s="1171"/>
      <c r="C8" s="1171"/>
      <c r="D8" s="603">
        <f>SUM(D3:D7)</f>
        <v>0.41</v>
      </c>
      <c r="E8" s="601"/>
      <c r="F8" s="615">
        <f>SUM(F3:F7)</f>
        <v>0.48</v>
      </c>
      <c r="H8" s="38">
        <f>F8-F5</f>
        <v>0.19999999999999996</v>
      </c>
    </row>
    <row r="10" spans="1:8" ht="16.5">
      <c r="A10" s="1169" t="s">
        <v>27</v>
      </c>
      <c r="B10" s="1169"/>
      <c r="C10" s="1169"/>
      <c r="D10" s="1169"/>
      <c r="E10" s="1169"/>
      <c r="F10" s="1169"/>
    </row>
    <row r="12" spans="1:8" ht="20.25" customHeight="1">
      <c r="A12" s="1167" t="s">
        <v>12</v>
      </c>
      <c r="B12" s="1167" t="s">
        <v>24</v>
      </c>
      <c r="C12" s="1167" t="s">
        <v>742</v>
      </c>
      <c r="D12" s="372" t="s">
        <v>13</v>
      </c>
      <c r="E12" s="1167" t="s">
        <v>14</v>
      </c>
      <c r="F12" s="373" t="s">
        <v>25</v>
      </c>
    </row>
    <row r="13" spans="1:8" ht="18.5">
      <c r="A13" s="1167"/>
      <c r="B13" s="1167"/>
      <c r="C13" s="1167"/>
      <c r="D13" s="373" t="s">
        <v>743</v>
      </c>
      <c r="E13" s="1167"/>
      <c r="F13" s="373" t="s">
        <v>744</v>
      </c>
    </row>
    <row r="14" spans="1:8" ht="16.5">
      <c r="A14" s="374" t="s">
        <v>15</v>
      </c>
      <c r="B14" s="375">
        <v>10</v>
      </c>
      <c r="C14" s="375">
        <v>2</v>
      </c>
      <c r="D14" s="602">
        <f>ROUND(B14*C14/1000,2)</f>
        <v>0.02</v>
      </c>
      <c r="E14" s="375">
        <v>1.2</v>
      </c>
      <c r="F14" s="614">
        <f t="shared" ref="F14:F19" si="2">ROUND(D14*E14,2)</f>
        <v>0.02</v>
      </c>
    </row>
    <row r="15" spans="1:8" ht="16.5">
      <c r="A15" s="374" t="s">
        <v>16</v>
      </c>
      <c r="B15" s="375">
        <v>50</v>
      </c>
      <c r="C15" s="375">
        <v>1.8</v>
      </c>
      <c r="D15" s="602">
        <f t="shared" ref="D15:D18" si="3">ROUND(B15*C15/1000,2)</f>
        <v>0.09</v>
      </c>
      <c r="E15" s="375">
        <v>1.3</v>
      </c>
      <c r="F15" s="614">
        <f t="shared" si="2"/>
        <v>0.12</v>
      </c>
    </row>
    <row r="16" spans="1:8" ht="16.5">
      <c r="A16" s="374" t="s">
        <v>17</v>
      </c>
      <c r="B16" s="378">
        <f>TH!$E$45</f>
        <v>100</v>
      </c>
      <c r="C16" s="375">
        <v>2.5</v>
      </c>
      <c r="D16" s="602">
        <f t="shared" si="3"/>
        <v>0.25</v>
      </c>
      <c r="E16" s="375">
        <v>1.1000000000000001</v>
      </c>
      <c r="F16" s="614">
        <f t="shared" si="2"/>
        <v>0.28000000000000003</v>
      </c>
    </row>
    <row r="17" spans="1:17" ht="16.5">
      <c r="A17" s="374" t="s">
        <v>18</v>
      </c>
      <c r="B17" s="375">
        <v>3</v>
      </c>
      <c r="C17" s="375">
        <v>1</v>
      </c>
      <c r="D17" s="602">
        <f t="shared" si="3"/>
        <v>0</v>
      </c>
      <c r="E17" s="375">
        <v>1.3</v>
      </c>
      <c r="F17" s="614">
        <f t="shared" si="2"/>
        <v>0</v>
      </c>
    </row>
    <row r="18" spans="1:17" ht="16.5">
      <c r="A18" s="374" t="s">
        <v>19</v>
      </c>
      <c r="B18" s="375">
        <v>15</v>
      </c>
      <c r="C18" s="375">
        <v>1.8</v>
      </c>
      <c r="D18" s="602">
        <f t="shared" si="3"/>
        <v>0.03</v>
      </c>
      <c r="E18" s="375">
        <v>1.3</v>
      </c>
      <c r="F18" s="614">
        <f t="shared" si="2"/>
        <v>0.04</v>
      </c>
    </row>
    <row r="19" spans="1:17" ht="16.5">
      <c r="A19" s="374" t="s">
        <v>20</v>
      </c>
      <c r="B19" s="375"/>
      <c r="C19" s="375"/>
      <c r="D19" s="602">
        <v>0.05</v>
      </c>
      <c r="E19" s="375">
        <v>1.2</v>
      </c>
      <c r="F19" s="614">
        <f t="shared" si="2"/>
        <v>0.06</v>
      </c>
    </row>
    <row r="20" spans="1:17" ht="16.5">
      <c r="A20" s="1168" t="s">
        <v>21</v>
      </c>
      <c r="B20" s="1168"/>
      <c r="C20" s="1168"/>
      <c r="D20" s="603">
        <f>SUM(D14:D19)</f>
        <v>0.44</v>
      </c>
      <c r="E20" s="375"/>
      <c r="F20" s="617">
        <f>SUM(F14:F19)</f>
        <v>0.52</v>
      </c>
      <c r="H20" s="38">
        <f>F20-F16</f>
        <v>0.24</v>
      </c>
    </row>
    <row r="22" spans="1:17" ht="16.5">
      <c r="A22" s="1169" t="s">
        <v>22</v>
      </c>
      <c r="B22" s="1169"/>
      <c r="C22" s="1169"/>
      <c r="D22" s="1169"/>
      <c r="E22" s="1169"/>
      <c r="F22" s="1169"/>
    </row>
    <row r="24" spans="1:17" ht="20.25" customHeight="1">
      <c r="A24" s="1167" t="s">
        <v>12</v>
      </c>
      <c r="B24" s="1167" t="s">
        <v>24</v>
      </c>
      <c r="C24" s="1167" t="s">
        <v>742</v>
      </c>
      <c r="D24" s="372" t="s">
        <v>13</v>
      </c>
      <c r="E24" s="1167" t="s">
        <v>14</v>
      </c>
      <c r="F24" s="373" t="s">
        <v>25</v>
      </c>
    </row>
    <row r="25" spans="1:17" ht="18.5">
      <c r="A25" s="1167"/>
      <c r="B25" s="1167"/>
      <c r="C25" s="1167"/>
      <c r="D25" s="373" t="s">
        <v>743</v>
      </c>
      <c r="E25" s="1167"/>
      <c r="F25" s="373" t="s">
        <v>744</v>
      </c>
    </row>
    <row r="26" spans="1:17" ht="17.25" customHeight="1">
      <c r="A26" s="374" t="s">
        <v>46</v>
      </c>
      <c r="B26" s="379"/>
      <c r="C26" s="379"/>
      <c r="D26" s="376"/>
      <c r="E26" s="375"/>
      <c r="F26" s="375"/>
    </row>
    <row r="27" spans="1:17" ht="16.5">
      <c r="A27" s="374" t="s">
        <v>47</v>
      </c>
      <c r="B27" s="379">
        <v>10</v>
      </c>
      <c r="C27" s="379">
        <v>2</v>
      </c>
      <c r="D27" s="602">
        <f>C27*B27/1000</f>
        <v>0.02</v>
      </c>
      <c r="E27" s="375">
        <v>1.2</v>
      </c>
      <c r="F27" s="614">
        <f>E27*D27</f>
        <v>2.4E-2</v>
      </c>
    </row>
    <row r="28" spans="1:17" ht="20">
      <c r="A28" s="374" t="s">
        <v>48</v>
      </c>
      <c r="B28" s="379">
        <v>35</v>
      </c>
      <c r="C28" s="379">
        <v>1.8</v>
      </c>
      <c r="D28" s="602">
        <f>C28*B28/1000</f>
        <v>6.3E-2</v>
      </c>
      <c r="E28" s="375">
        <v>1.3</v>
      </c>
      <c r="F28" s="614">
        <f>E28*D28</f>
        <v>8.1900000000000001E-2</v>
      </c>
      <c r="H28" s="1166" t="s">
        <v>50</v>
      </c>
      <c r="I28" s="1166" t="s">
        <v>51</v>
      </c>
      <c r="J28" s="373" t="s">
        <v>52</v>
      </c>
      <c r="K28" s="373" t="s">
        <v>53</v>
      </c>
      <c r="L28" s="373" t="s">
        <v>54</v>
      </c>
      <c r="M28" s="373" t="s">
        <v>55</v>
      </c>
      <c r="N28" s="380" t="s">
        <v>95</v>
      </c>
      <c r="O28" s="373" t="s">
        <v>56</v>
      </c>
      <c r="P28" s="373" t="s">
        <v>14</v>
      </c>
      <c r="Q28" s="373" t="s">
        <v>57</v>
      </c>
    </row>
    <row r="29" spans="1:17" ht="18.5">
      <c r="A29" s="374" t="s">
        <v>49</v>
      </c>
      <c r="B29" s="379">
        <v>15</v>
      </c>
      <c r="C29" s="379">
        <v>1.8</v>
      </c>
      <c r="D29" s="602">
        <f>C29*B29/1000</f>
        <v>2.7E-2</v>
      </c>
      <c r="E29" s="375">
        <v>1.3</v>
      </c>
      <c r="F29" s="614">
        <f>E29*D29</f>
        <v>3.5099999999999999E-2</v>
      </c>
      <c r="H29" s="1166"/>
      <c r="I29" s="1166"/>
      <c r="J29" s="373" t="s">
        <v>58</v>
      </c>
      <c r="K29" s="381" t="s">
        <v>59</v>
      </c>
      <c r="L29" s="373" t="s">
        <v>58</v>
      </c>
      <c r="M29" s="373" t="s">
        <v>60</v>
      </c>
      <c r="N29" s="382" t="s">
        <v>749</v>
      </c>
      <c r="O29" s="382" t="s">
        <v>750</v>
      </c>
      <c r="P29" s="373"/>
      <c r="Q29" s="382" t="s">
        <v>750</v>
      </c>
    </row>
    <row r="30" spans="1:17" ht="16.5">
      <c r="A30" s="374" t="s">
        <v>20</v>
      </c>
      <c r="B30" s="379"/>
      <c r="C30" s="379"/>
      <c r="D30" s="602">
        <v>0.05</v>
      </c>
      <c r="E30" s="375">
        <v>1.2</v>
      </c>
      <c r="F30" s="614">
        <f>E30*D30</f>
        <v>0.06</v>
      </c>
      <c r="H30" s="383">
        <v>1</v>
      </c>
      <c r="I30" s="383" t="s">
        <v>61</v>
      </c>
      <c r="J30" s="375">
        <v>0.1</v>
      </c>
      <c r="K30" s="375">
        <f>5.8+3.8</f>
        <v>9.6</v>
      </c>
      <c r="L30" s="375">
        <v>3.6</v>
      </c>
      <c r="M30" s="375">
        <f>5.8*3.8</f>
        <v>22.04</v>
      </c>
      <c r="N30" s="383">
        <v>1.8</v>
      </c>
      <c r="O30" s="383">
        <f>ROUND((J30*K30*L30)/M30*N30,solethapphan)</f>
        <v>0.28000000000000003</v>
      </c>
      <c r="P30" s="384">
        <v>1.1000000000000001</v>
      </c>
      <c r="Q30" s="383">
        <f>ROUND(O30*P30,solethapphan)</f>
        <v>0.31</v>
      </c>
    </row>
    <row r="31" spans="1:17" ht="16.5">
      <c r="A31" s="374" t="s">
        <v>21</v>
      </c>
      <c r="B31" s="379"/>
      <c r="C31" s="379"/>
      <c r="D31" s="597">
        <f>SUM(D26:D30)</f>
        <v>0.16</v>
      </c>
      <c r="E31" s="375"/>
      <c r="F31" s="616">
        <f>SUM(F26:F30)</f>
        <v>0.20099999999999998</v>
      </c>
      <c r="H31" s="383">
        <v>2</v>
      </c>
      <c r="I31" s="383" t="s">
        <v>748</v>
      </c>
      <c r="J31" s="375">
        <v>0.2</v>
      </c>
      <c r="K31" s="375">
        <f>5.8+3.8</f>
        <v>9.6</v>
      </c>
      <c r="L31" s="375">
        <v>3.6</v>
      </c>
      <c r="M31" s="375">
        <f>5.8*3.8</f>
        <v>22.04</v>
      </c>
      <c r="N31" s="383">
        <v>3.6</v>
      </c>
      <c r="O31" s="383">
        <f>ROUND((J31*K31*L31)/M31*N31,solethapphan)</f>
        <v>1.1299999999999999</v>
      </c>
      <c r="P31" s="384">
        <v>1.2</v>
      </c>
      <c r="Q31" s="383">
        <f>ROUND(O31*P31,solethapphan)</f>
        <v>1.36</v>
      </c>
    </row>
    <row r="32" spans="1:17" ht="16.5">
      <c r="H32" s="383"/>
      <c r="I32" s="383"/>
      <c r="J32" s="375"/>
      <c r="K32" s="375"/>
      <c r="L32" s="375"/>
      <c r="M32" s="375"/>
      <c r="N32" s="383"/>
      <c r="O32" s="383"/>
      <c r="P32" s="384"/>
      <c r="Q32" s="383"/>
    </row>
    <row r="33" spans="1:17" ht="16.5">
      <c r="A33" s="1169" t="s">
        <v>45</v>
      </c>
      <c r="B33" s="1169"/>
      <c r="C33" s="1169"/>
      <c r="D33" s="1169"/>
      <c r="E33" s="1169"/>
      <c r="F33" s="1169"/>
      <c r="H33" s="8" t="s">
        <v>747</v>
      </c>
    </row>
    <row r="35" spans="1:17" ht="21.75" customHeight="1">
      <c r="H35" s="1166" t="s">
        <v>50</v>
      </c>
      <c r="I35" s="1166" t="s">
        <v>51</v>
      </c>
      <c r="J35" s="373" t="s">
        <v>52</v>
      </c>
      <c r="K35" s="373" t="s">
        <v>53</v>
      </c>
      <c r="L35" s="373" t="s">
        <v>54</v>
      </c>
      <c r="M35" s="373" t="s">
        <v>55</v>
      </c>
      <c r="N35" s="380" t="s">
        <v>95</v>
      </c>
      <c r="O35" s="373" t="s">
        <v>56</v>
      </c>
      <c r="P35" s="373" t="s">
        <v>14</v>
      </c>
      <c r="Q35" s="373" t="s">
        <v>57</v>
      </c>
    </row>
    <row r="36" spans="1:17" ht="18.5">
      <c r="H36" s="1166"/>
      <c r="I36" s="1166"/>
      <c r="J36" s="373" t="s">
        <v>58</v>
      </c>
      <c r="K36" s="381" t="s">
        <v>59</v>
      </c>
      <c r="L36" s="373" t="s">
        <v>58</v>
      </c>
      <c r="M36" s="373" t="s">
        <v>60</v>
      </c>
      <c r="N36" s="382" t="s">
        <v>749</v>
      </c>
      <c r="O36" s="382" t="s">
        <v>750</v>
      </c>
      <c r="P36" s="373"/>
      <c r="Q36" s="382" t="s">
        <v>750</v>
      </c>
    </row>
    <row r="37" spans="1:17" ht="16.5">
      <c r="H37" s="383">
        <v>1</v>
      </c>
      <c r="I37" s="383" t="s">
        <v>61</v>
      </c>
      <c r="J37" s="375">
        <v>0.1</v>
      </c>
      <c r="K37" s="375">
        <f>2.1*2</f>
        <v>4.2</v>
      </c>
      <c r="L37" s="375">
        <v>3.6</v>
      </c>
      <c r="M37" s="375">
        <f>H42*I42</f>
        <v>22.04</v>
      </c>
      <c r="N37" s="383">
        <v>1.8</v>
      </c>
      <c r="O37" s="618">
        <f>((J37*K37*L37)/M37*N37)</f>
        <v>0.12348457350272235</v>
      </c>
      <c r="P37" s="383">
        <v>1.1000000000000001</v>
      </c>
      <c r="Q37" s="616">
        <f>ROUND(O37*P37,solethapphan)</f>
        <v>0.14000000000000001</v>
      </c>
    </row>
    <row r="39" spans="1:17" ht="16.5">
      <c r="B39" s="8"/>
      <c r="C39" s="8"/>
      <c r="D39" s="8"/>
      <c r="E39" s="8"/>
      <c r="F39" s="8"/>
      <c r="G39" s="8"/>
      <c r="H39" s="8" t="s">
        <v>226</v>
      </c>
      <c r="I39" s="8"/>
      <c r="J39" s="8"/>
      <c r="Q39" s="616">
        <f>Q37+F8</f>
        <v>0.62</v>
      </c>
    </row>
    <row r="41" spans="1:17">
      <c r="G41" s="6" t="s">
        <v>228</v>
      </c>
      <c r="H41" t="s">
        <v>227</v>
      </c>
    </row>
    <row r="42" spans="1:17">
      <c r="G42" s="6" t="s">
        <v>111</v>
      </c>
      <c r="H42">
        <v>3.8</v>
      </c>
      <c r="I42">
        <v>5.8</v>
      </c>
    </row>
    <row r="44" spans="1:17" ht="20">
      <c r="H44" s="1166" t="s">
        <v>50</v>
      </c>
      <c r="I44" s="1166" t="s">
        <v>51</v>
      </c>
      <c r="J44" s="373" t="s">
        <v>52</v>
      </c>
      <c r="K44" s="373" t="s">
        <v>53</v>
      </c>
      <c r="L44" s="373" t="s">
        <v>54</v>
      </c>
      <c r="M44" s="373" t="s">
        <v>55</v>
      </c>
      <c r="N44" s="380" t="s">
        <v>95</v>
      </c>
      <c r="O44" s="373" t="s">
        <v>56</v>
      </c>
      <c r="P44" s="373" t="s">
        <v>14</v>
      </c>
      <c r="Q44" s="373" t="s">
        <v>57</v>
      </c>
    </row>
    <row r="45" spans="1:17" ht="18.5">
      <c r="H45" s="1166"/>
      <c r="I45" s="1166"/>
      <c r="J45" s="373" t="s">
        <v>58</v>
      </c>
      <c r="K45" s="381" t="s">
        <v>59</v>
      </c>
      <c r="L45" s="373" t="s">
        <v>58</v>
      </c>
      <c r="M45" s="373" t="s">
        <v>60</v>
      </c>
      <c r="N45" s="382" t="s">
        <v>749</v>
      </c>
      <c r="O45" s="382" t="s">
        <v>750</v>
      </c>
      <c r="P45" s="373"/>
      <c r="Q45" s="382" t="s">
        <v>750</v>
      </c>
    </row>
    <row r="46" spans="1:17" ht="16.5">
      <c r="H46" s="383">
        <v>1</v>
      </c>
      <c r="I46" s="383" t="s">
        <v>61</v>
      </c>
      <c r="J46" s="375">
        <v>0.1</v>
      </c>
      <c r="K46" s="375">
        <v>3.8</v>
      </c>
      <c r="L46" s="375">
        <v>3.6</v>
      </c>
      <c r="M46" s="375">
        <f>H51*I51</f>
        <v>20.139999999999997</v>
      </c>
      <c r="N46" s="383">
        <v>1.8</v>
      </c>
      <c r="O46" s="618">
        <f>((J46*K46*L46)/M46*N46)</f>
        <v>0.12226415094339625</v>
      </c>
      <c r="P46" s="384">
        <v>1.1000000000000001</v>
      </c>
      <c r="Q46" s="616">
        <f>ROUND(O46*P46,solethapphan)</f>
        <v>0.13</v>
      </c>
    </row>
    <row r="48" spans="1:17" ht="16.5">
      <c r="G48" s="8"/>
      <c r="H48" s="8" t="s">
        <v>229</v>
      </c>
      <c r="I48" s="8"/>
      <c r="J48" s="8"/>
      <c r="Q48" s="616">
        <f>Q46+F8</f>
        <v>0.61</v>
      </c>
    </row>
    <row r="50" spans="2:15">
      <c r="G50" s="6" t="s">
        <v>228</v>
      </c>
      <c r="H50" t="s">
        <v>227</v>
      </c>
    </row>
    <row r="51" spans="2:15">
      <c r="G51" s="6" t="s">
        <v>111</v>
      </c>
      <c r="H51">
        <v>3.8</v>
      </c>
      <c r="I51">
        <v>5.3</v>
      </c>
    </row>
    <row r="52" spans="2:15">
      <c r="O52">
        <f>O46-O37</f>
        <v>-1.2204225593260981E-3</v>
      </c>
    </row>
    <row r="55" spans="2:15" ht="14.5" thickBot="1"/>
    <row r="56" spans="2:15" ht="33">
      <c r="B56" s="1172" t="s">
        <v>478</v>
      </c>
      <c r="C56" s="1175" t="s">
        <v>479</v>
      </c>
      <c r="D56" s="253" t="s">
        <v>480</v>
      </c>
      <c r="E56" s="253" t="s">
        <v>480</v>
      </c>
      <c r="F56" s="253" t="s">
        <v>482</v>
      </c>
      <c r="G56" s="253" t="s">
        <v>484</v>
      </c>
      <c r="H56" s="253" t="s">
        <v>485</v>
      </c>
    </row>
    <row r="57" spans="2:15" ht="35.5">
      <c r="B57" s="1173"/>
      <c r="C57" s="1176"/>
      <c r="D57" s="254" t="s">
        <v>58</v>
      </c>
      <c r="E57" s="254" t="s">
        <v>481</v>
      </c>
      <c r="F57" s="254" t="s">
        <v>483</v>
      </c>
      <c r="G57" s="254" t="s">
        <v>14</v>
      </c>
      <c r="H57" s="254" t="s">
        <v>486</v>
      </c>
    </row>
    <row r="58" spans="2:15" ht="17" thickBot="1">
      <c r="B58" s="1174"/>
      <c r="C58" s="1177"/>
      <c r="D58" s="255"/>
      <c r="E58" s="256" t="s">
        <v>58</v>
      </c>
      <c r="F58" s="255"/>
      <c r="G58" s="255"/>
      <c r="H58" s="255"/>
    </row>
    <row r="59" spans="2:15" ht="17" thickBot="1">
      <c r="B59" s="1178" t="s">
        <v>198</v>
      </c>
      <c r="C59" s="257" t="s">
        <v>505</v>
      </c>
      <c r="D59" s="252" t="s">
        <v>487</v>
      </c>
      <c r="E59" s="252" t="s">
        <v>488</v>
      </c>
      <c r="F59" s="252">
        <v>2400</v>
      </c>
      <c r="G59" s="252">
        <v>1.2</v>
      </c>
      <c r="H59" s="252" t="s">
        <v>489</v>
      </c>
    </row>
    <row r="60" spans="2:15" ht="17" thickBot="1">
      <c r="B60" s="1179"/>
      <c r="C60" s="257" t="s">
        <v>490</v>
      </c>
      <c r="D60" s="252" t="s">
        <v>487</v>
      </c>
      <c r="E60" s="252" t="s">
        <v>488</v>
      </c>
      <c r="F60" s="252">
        <v>1800</v>
      </c>
      <c r="G60" s="252">
        <v>1.3</v>
      </c>
      <c r="H60" s="252" t="s">
        <v>491</v>
      </c>
    </row>
    <row r="61" spans="2:15" ht="17" thickBot="1">
      <c r="B61" s="1179"/>
      <c r="C61" s="257" t="s">
        <v>506</v>
      </c>
      <c r="D61" s="252" t="s">
        <v>492</v>
      </c>
      <c r="E61" s="252" t="s">
        <v>493</v>
      </c>
      <c r="F61" s="252">
        <v>1800</v>
      </c>
      <c r="G61" s="252">
        <v>1.2</v>
      </c>
      <c r="H61" s="252" t="s">
        <v>494</v>
      </c>
    </row>
    <row r="62" spans="2:15" ht="17" thickBot="1">
      <c r="B62" s="1179"/>
      <c r="C62" s="257" t="s">
        <v>495</v>
      </c>
      <c r="D62" s="252" t="s">
        <v>496</v>
      </c>
      <c r="E62" s="252" t="s">
        <v>497</v>
      </c>
      <c r="F62" s="252">
        <v>2500</v>
      </c>
      <c r="G62" s="252">
        <v>1.1000000000000001</v>
      </c>
      <c r="H62" s="252" t="s">
        <v>498</v>
      </c>
    </row>
    <row r="63" spans="2:15" ht="17" thickBot="1">
      <c r="B63" s="1180"/>
      <c r="C63" s="257" t="s">
        <v>499</v>
      </c>
      <c r="D63" s="252" t="s">
        <v>500</v>
      </c>
      <c r="E63" s="252" t="s">
        <v>501</v>
      </c>
      <c r="F63" s="252">
        <v>1800</v>
      </c>
      <c r="G63" s="252">
        <v>1.3</v>
      </c>
      <c r="H63" s="252" t="s">
        <v>502</v>
      </c>
    </row>
    <row r="64" spans="2:15" ht="17" thickBot="1">
      <c r="B64" s="1181" t="s">
        <v>503</v>
      </c>
      <c r="C64" s="1182"/>
      <c r="D64" s="1182"/>
      <c r="E64" s="1182"/>
      <c r="F64" s="1182"/>
      <c r="G64" s="1183"/>
      <c r="H64" s="252" t="s">
        <v>504</v>
      </c>
    </row>
  </sheetData>
  <mergeCells count="27">
    <mergeCell ref="B56:B58"/>
    <mergeCell ref="C56:C58"/>
    <mergeCell ref="B59:B63"/>
    <mergeCell ref="B64:G64"/>
    <mergeCell ref="A24:A25"/>
    <mergeCell ref="C24:C25"/>
    <mergeCell ref="E24:E25"/>
    <mergeCell ref="B24:B25"/>
    <mergeCell ref="A33:F33"/>
    <mergeCell ref="A10:F10"/>
    <mergeCell ref="A1:A2"/>
    <mergeCell ref="B1:B2"/>
    <mergeCell ref="C1:C2"/>
    <mergeCell ref="E1:E2"/>
    <mergeCell ref="A8:C8"/>
    <mergeCell ref="A12:A13"/>
    <mergeCell ref="C12:C13"/>
    <mergeCell ref="E12:E13"/>
    <mergeCell ref="A20:C20"/>
    <mergeCell ref="A22:F22"/>
    <mergeCell ref="B12:B13"/>
    <mergeCell ref="H28:H29"/>
    <mergeCell ref="I28:I29"/>
    <mergeCell ref="H44:H45"/>
    <mergeCell ref="I44:I45"/>
    <mergeCell ref="H35:H36"/>
    <mergeCell ref="I35:I36"/>
  </mergeCells>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BD06-52BF-40D9-A3FA-CDE2F2507A09}">
  <sheetPr codeName="Sheet27"/>
  <dimension ref="A1:W41"/>
  <sheetViews>
    <sheetView topLeftCell="H12" workbookViewId="0">
      <selection activeCell="V46" sqref="V46"/>
    </sheetView>
  </sheetViews>
  <sheetFormatPr defaultColWidth="8.83203125" defaultRowHeight="14"/>
  <cols>
    <col min="1" max="1" width="26.83203125" customWidth="1"/>
    <col min="2" max="2" width="13.08203125" customWidth="1"/>
    <col min="4" max="4" width="12.6640625" customWidth="1"/>
    <col min="9" max="9" width="38.33203125" bestFit="1" customWidth="1"/>
    <col min="17" max="17" width="14.08203125" customWidth="1"/>
    <col min="20" max="20" width="10.4140625" bestFit="1" customWidth="1"/>
    <col min="22" max="22" width="10" bestFit="1" customWidth="1"/>
    <col min="23" max="23" width="11.83203125" bestFit="1" customWidth="1"/>
  </cols>
  <sheetData>
    <row r="1" spans="1:14" ht="18.5">
      <c r="A1" s="373" t="s">
        <v>63</v>
      </c>
      <c r="B1" s="373" t="s">
        <v>745</v>
      </c>
      <c r="C1" s="373" t="s">
        <v>14</v>
      </c>
      <c r="D1" s="373" t="s">
        <v>746</v>
      </c>
    </row>
    <row r="2" spans="1:14" ht="16.5">
      <c r="A2" s="374" t="s">
        <v>64</v>
      </c>
      <c r="B2" s="375">
        <v>0.3</v>
      </c>
      <c r="C2" s="375">
        <v>1.2</v>
      </c>
      <c r="D2" s="377">
        <f t="shared" ref="D2:D7" si="0">C2*B2</f>
        <v>0.36</v>
      </c>
    </row>
    <row r="3" spans="1:14" ht="16.5">
      <c r="A3" s="374" t="s">
        <v>65</v>
      </c>
      <c r="B3" s="375">
        <v>0.15</v>
      </c>
      <c r="C3" s="375">
        <v>1.3</v>
      </c>
      <c r="D3" s="377">
        <f t="shared" si="0"/>
        <v>0.19500000000000001</v>
      </c>
    </row>
    <row r="4" spans="1:14" ht="16.5">
      <c r="A4" s="374" t="s">
        <v>66</v>
      </c>
      <c r="B4" s="375">
        <v>0.2</v>
      </c>
      <c r="C4" s="375">
        <v>1.2</v>
      </c>
      <c r="D4" s="377">
        <f t="shared" si="0"/>
        <v>0.24</v>
      </c>
    </row>
    <row r="5" spans="1:14" ht="16.5">
      <c r="A5" s="374" t="s">
        <v>200</v>
      </c>
      <c r="B5" s="375">
        <v>0.4</v>
      </c>
      <c r="C5" s="375">
        <v>1.2</v>
      </c>
      <c r="D5" s="377">
        <f t="shared" si="0"/>
        <v>0.48</v>
      </c>
    </row>
    <row r="6" spans="1:14" ht="16.5">
      <c r="A6" s="374" t="s">
        <v>201</v>
      </c>
      <c r="B6" s="375">
        <v>0.7</v>
      </c>
      <c r="C6" s="375">
        <v>1.2</v>
      </c>
      <c r="D6" s="377">
        <f t="shared" si="0"/>
        <v>0.84</v>
      </c>
    </row>
    <row r="7" spans="1:14" ht="16.5">
      <c r="A7" s="374" t="s">
        <v>67</v>
      </c>
      <c r="B7" s="375">
        <v>0.3</v>
      </c>
      <c r="C7" s="375">
        <v>1.2</v>
      </c>
      <c r="D7" s="377">
        <f t="shared" si="0"/>
        <v>0.36</v>
      </c>
    </row>
    <row r="8" spans="1:14">
      <c r="B8" s="385"/>
      <c r="C8" s="385"/>
      <c r="D8" s="385"/>
    </row>
    <row r="9" spans="1:14" ht="16.5">
      <c r="A9" s="1169" t="s">
        <v>68</v>
      </c>
      <c r="B9" s="1169"/>
      <c r="C9" s="1169"/>
      <c r="D9" s="1169"/>
    </row>
    <row r="12" spans="1:14" ht="16.5">
      <c r="H12" s="1186" t="s">
        <v>118</v>
      </c>
      <c r="I12" s="1187" t="s">
        <v>634</v>
      </c>
      <c r="J12" s="1188" t="s">
        <v>635</v>
      </c>
      <c r="K12" s="1188"/>
      <c r="L12" s="1188"/>
      <c r="M12" s="332" t="s">
        <v>636</v>
      </c>
      <c r="N12" s="332" t="s">
        <v>197</v>
      </c>
    </row>
    <row r="13" spans="1:14" ht="33" customHeight="1">
      <c r="H13" s="1186"/>
      <c r="I13" s="1187"/>
      <c r="J13" s="1188"/>
      <c r="K13" s="1188"/>
      <c r="L13" s="1188"/>
      <c r="M13" s="1184" t="s">
        <v>637</v>
      </c>
      <c r="N13" s="1184" t="s">
        <v>645</v>
      </c>
    </row>
    <row r="14" spans="1:14" ht="33">
      <c r="H14" s="1186"/>
      <c r="I14" s="1187"/>
      <c r="J14" s="332" t="s">
        <v>647</v>
      </c>
      <c r="K14" s="332" t="s">
        <v>646</v>
      </c>
      <c r="L14" s="333" t="s">
        <v>638</v>
      </c>
      <c r="M14" s="1185"/>
      <c r="N14" s="1185"/>
    </row>
    <row r="15" spans="1:14" ht="16.5">
      <c r="H15" s="330">
        <v>1</v>
      </c>
      <c r="I15" s="331" t="s">
        <v>639</v>
      </c>
      <c r="J15" s="330">
        <v>1.8</v>
      </c>
      <c r="K15" s="330">
        <v>3.2</v>
      </c>
      <c r="L15" s="330">
        <v>5</v>
      </c>
      <c r="M15" s="330">
        <v>1.2</v>
      </c>
      <c r="N15" s="330">
        <f>L15*M15</f>
        <v>6</v>
      </c>
    </row>
    <row r="16" spans="1:14" ht="16.5">
      <c r="H16" s="330">
        <v>2</v>
      </c>
      <c r="I16" s="331" t="s">
        <v>640</v>
      </c>
      <c r="J16" s="330">
        <v>1.4</v>
      </c>
      <c r="K16" s="330">
        <v>2.6</v>
      </c>
      <c r="L16" s="330">
        <v>4</v>
      </c>
      <c r="M16" s="330">
        <v>1.2</v>
      </c>
      <c r="N16" s="330">
        <f t="shared" ref="N16:N21" si="1">L16*M16</f>
        <v>4.8</v>
      </c>
    </row>
    <row r="17" spans="1:23" ht="16.5">
      <c r="H17" s="330">
        <v>3</v>
      </c>
      <c r="I17" s="331" t="s">
        <v>648</v>
      </c>
      <c r="J17" s="330">
        <v>1</v>
      </c>
      <c r="K17" s="330">
        <v>2</v>
      </c>
      <c r="L17" s="330">
        <v>3</v>
      </c>
      <c r="M17" s="330">
        <v>1.2</v>
      </c>
      <c r="N17" s="330">
        <f t="shared" si="1"/>
        <v>3.5999999999999996</v>
      </c>
    </row>
    <row r="18" spans="1:23" ht="16.5">
      <c r="H18" s="330">
        <v>4</v>
      </c>
      <c r="I18" s="331" t="s">
        <v>641</v>
      </c>
      <c r="J18" s="330">
        <v>4.8</v>
      </c>
      <c r="K18" s="330">
        <v>0</v>
      </c>
      <c r="L18" s="330">
        <v>4.8</v>
      </c>
      <c r="M18" s="330">
        <v>1.2</v>
      </c>
      <c r="N18" s="330">
        <f t="shared" si="1"/>
        <v>5.76</v>
      </c>
    </row>
    <row r="19" spans="1:23" ht="16.5">
      <c r="H19" s="330">
        <v>5</v>
      </c>
      <c r="I19" s="331" t="s">
        <v>642</v>
      </c>
      <c r="J19" s="330">
        <v>1</v>
      </c>
      <c r="K19" s="330">
        <v>1</v>
      </c>
      <c r="L19" s="330">
        <v>2</v>
      </c>
      <c r="M19" s="330">
        <v>1.2</v>
      </c>
      <c r="N19" s="330">
        <f t="shared" si="1"/>
        <v>2.4</v>
      </c>
    </row>
    <row r="20" spans="1:23" ht="16.5">
      <c r="H20" s="330">
        <v>6</v>
      </c>
      <c r="I20" s="331" t="s">
        <v>643</v>
      </c>
      <c r="J20" s="330">
        <v>0.5</v>
      </c>
      <c r="K20" s="330">
        <v>1</v>
      </c>
      <c r="L20" s="330">
        <v>1.5</v>
      </c>
      <c r="M20" s="330">
        <v>1.3</v>
      </c>
      <c r="N20" s="330">
        <f t="shared" si="1"/>
        <v>1.9500000000000002</v>
      </c>
    </row>
    <row r="21" spans="1:23" ht="16.5">
      <c r="H21" s="330">
        <v>7</v>
      </c>
      <c r="I21" s="331" t="s">
        <v>644</v>
      </c>
      <c r="J21" s="330">
        <v>0</v>
      </c>
      <c r="K21" s="330">
        <v>0.75</v>
      </c>
      <c r="L21" s="330">
        <v>0.75</v>
      </c>
      <c r="M21" s="330">
        <v>1.3</v>
      </c>
      <c r="N21" s="330">
        <f t="shared" si="1"/>
        <v>0.97500000000000009</v>
      </c>
    </row>
    <row r="25" spans="1:23" ht="19.5">
      <c r="P25" s="1190" t="s">
        <v>118</v>
      </c>
      <c r="Q25" s="1189" t="s">
        <v>649</v>
      </c>
      <c r="R25" s="1189" t="s">
        <v>650</v>
      </c>
      <c r="S25" s="1189" t="s">
        <v>651</v>
      </c>
      <c r="T25" s="1189" t="s">
        <v>652</v>
      </c>
      <c r="U25" s="379" t="s">
        <v>653</v>
      </c>
      <c r="V25" s="538" t="s">
        <v>655</v>
      </c>
      <c r="W25" s="538" t="s">
        <v>656</v>
      </c>
    </row>
    <row r="26" spans="1:23" ht="33">
      <c r="P26" s="1190"/>
      <c r="Q26" s="1189"/>
      <c r="R26" s="1189"/>
      <c r="S26" s="1189"/>
      <c r="T26" s="1189"/>
      <c r="U26" s="379" t="s">
        <v>654</v>
      </c>
      <c r="V26" s="538" t="s">
        <v>661</v>
      </c>
      <c r="W26" s="538" t="s">
        <v>661</v>
      </c>
    </row>
    <row r="27" spans="1:23" ht="18.5">
      <c r="A27" s="611" t="s">
        <v>63</v>
      </c>
      <c r="B27" s="611" t="s">
        <v>1000</v>
      </c>
      <c r="C27" s="611" t="s">
        <v>14</v>
      </c>
      <c r="D27" s="611" t="s">
        <v>1001</v>
      </c>
      <c r="P27" s="375">
        <v>0</v>
      </c>
      <c r="Q27" s="568" t="s">
        <v>658</v>
      </c>
      <c r="R27" s="375">
        <f>TH!B12</f>
        <v>2.85</v>
      </c>
      <c r="S27" s="375">
        <v>0</v>
      </c>
      <c r="T27" s="375">
        <v>0</v>
      </c>
      <c r="U27" s="375">
        <v>0</v>
      </c>
      <c r="V27" s="375">
        <v>0</v>
      </c>
      <c r="W27" s="375">
        <v>0</v>
      </c>
    </row>
    <row r="28" spans="1:23" ht="16.5">
      <c r="A28" s="612" t="s">
        <v>64</v>
      </c>
      <c r="B28" s="613">
        <f t="shared" ref="B28:B33" si="2">B2*1000</f>
        <v>300</v>
      </c>
      <c r="C28" s="613">
        <v>1.2</v>
      </c>
      <c r="D28" s="613">
        <f t="shared" ref="D28:D33" si="3">C28*B28</f>
        <v>360</v>
      </c>
      <c r="P28" s="383">
        <v>1</v>
      </c>
      <c r="Q28" s="569" t="s">
        <v>8</v>
      </c>
      <c r="R28" s="383">
        <f>TH!B13</f>
        <v>3.6</v>
      </c>
      <c r="S28" s="570">
        <f>S27+R27</f>
        <v>2.85</v>
      </c>
      <c r="T28" s="383">
        <f>ROUND(Q38+(S28-P38)*R38,2)</f>
        <v>0.79</v>
      </c>
      <c r="U28" s="375">
        <f>R27</f>
        <v>2.85</v>
      </c>
      <c r="V28" s="715">
        <f>ROUND(0.8*TH!$B$226*T28*1.2*R27,0)</f>
        <v>205</v>
      </c>
      <c r="W28" s="715">
        <f>ROUND(0.6*TH!$B$226*T28*1.2*R27,0)</f>
        <v>154</v>
      </c>
    </row>
    <row r="29" spans="1:23" ht="16.5">
      <c r="A29" s="612" t="s">
        <v>65</v>
      </c>
      <c r="B29" s="613">
        <f t="shared" si="2"/>
        <v>150</v>
      </c>
      <c r="C29" s="613">
        <v>1.3</v>
      </c>
      <c r="D29" s="613">
        <f t="shared" si="3"/>
        <v>195</v>
      </c>
      <c r="P29" s="383">
        <v>2</v>
      </c>
      <c r="Q29" s="569" t="s">
        <v>7</v>
      </c>
      <c r="R29" s="383">
        <f>TH!B18</f>
        <v>3.6</v>
      </c>
      <c r="S29" s="570">
        <f t="shared" ref="S29:S31" si="4">S28+R28</f>
        <v>6.45</v>
      </c>
      <c r="T29" s="383">
        <f t="shared" ref="T29:T31" si="5">ROUND(Q39+(S29-P39)*R39,2)</f>
        <v>0.91</v>
      </c>
      <c r="U29" s="375">
        <f t="shared" ref="U29:U31" si="6">R28</f>
        <v>3.6</v>
      </c>
      <c r="V29" s="715">
        <f>ROUND(0.8*TH!$B$226*T29*1.2*R28,0)</f>
        <v>299</v>
      </c>
      <c r="W29" s="715">
        <f>ROUND(0.6*TH!$B$226*T29*1.2*R28,0)</f>
        <v>224</v>
      </c>
    </row>
    <row r="30" spans="1:23" ht="16.5">
      <c r="A30" s="612" t="s">
        <v>66</v>
      </c>
      <c r="B30" s="613">
        <f t="shared" si="2"/>
        <v>200</v>
      </c>
      <c r="C30" s="613">
        <v>1.2</v>
      </c>
      <c r="D30" s="613">
        <f t="shared" si="3"/>
        <v>240</v>
      </c>
      <c r="P30" s="383">
        <v>3</v>
      </c>
      <c r="Q30" s="569" t="s">
        <v>10</v>
      </c>
      <c r="R30" s="383">
        <f>TH!B19</f>
        <v>3.3</v>
      </c>
      <c r="S30" s="570">
        <f t="shared" si="4"/>
        <v>10.050000000000001</v>
      </c>
      <c r="T30" s="383">
        <f t="shared" si="5"/>
        <v>1</v>
      </c>
      <c r="U30" s="375">
        <f t="shared" si="6"/>
        <v>3.6</v>
      </c>
      <c r="V30" s="715">
        <f>ROUND(0.8*TH!$B$226*T30*1.2*R29,0)</f>
        <v>328</v>
      </c>
      <c r="W30" s="715">
        <f>ROUND(0.6*TH!$B$226*T30*1.2*R29,0)</f>
        <v>246</v>
      </c>
    </row>
    <row r="31" spans="1:23" ht="16.5">
      <c r="A31" s="612" t="s">
        <v>200</v>
      </c>
      <c r="B31" s="613">
        <f t="shared" si="2"/>
        <v>400</v>
      </c>
      <c r="C31" s="613">
        <v>1.2</v>
      </c>
      <c r="D31" s="613">
        <f t="shared" si="3"/>
        <v>480</v>
      </c>
      <c r="P31" s="383"/>
      <c r="Q31" s="569"/>
      <c r="R31" s="383"/>
      <c r="S31" s="570">
        <f t="shared" si="4"/>
        <v>13.350000000000001</v>
      </c>
      <c r="T31" s="383">
        <f t="shared" si="5"/>
        <v>1.06</v>
      </c>
      <c r="U31" s="375">
        <f t="shared" si="6"/>
        <v>3.3</v>
      </c>
      <c r="V31" s="715">
        <f>ROUND(0.8*TH!$B$226*T31*1.2*R30,0)</f>
        <v>319</v>
      </c>
      <c r="W31" s="715">
        <f>ROUND(0.6*TH!$B$226*T31*1.2*R30,0)</f>
        <v>239</v>
      </c>
    </row>
    <row r="32" spans="1:23" ht="16.5">
      <c r="A32" s="612" t="s">
        <v>201</v>
      </c>
      <c r="B32" s="613">
        <f t="shared" si="2"/>
        <v>700</v>
      </c>
      <c r="C32" s="613">
        <v>1.2</v>
      </c>
      <c r="D32" s="613">
        <f t="shared" si="3"/>
        <v>840</v>
      </c>
      <c r="P32" s="571" t="s">
        <v>657</v>
      </c>
      <c r="Q32" s="572"/>
      <c r="R32" s="571">
        <f>SUM(R27:R30)</f>
        <v>13.350000000000001</v>
      </c>
      <c r="S32" s="571"/>
      <c r="T32" s="571"/>
      <c r="U32" s="573"/>
      <c r="V32" s="571"/>
      <c r="W32" s="571"/>
    </row>
    <row r="33" spans="1:18" ht="16.5">
      <c r="A33" s="612" t="s">
        <v>67</v>
      </c>
      <c r="B33" s="613">
        <f t="shared" si="2"/>
        <v>300</v>
      </c>
      <c r="C33" s="613">
        <v>1.2</v>
      </c>
      <c r="D33" s="613">
        <f t="shared" si="3"/>
        <v>360</v>
      </c>
    </row>
    <row r="37" spans="1:18">
      <c r="P37">
        <v>3</v>
      </c>
      <c r="Q37">
        <v>0.8</v>
      </c>
    </row>
    <row r="38" spans="1:18">
      <c r="P38">
        <v>5</v>
      </c>
      <c r="Q38">
        <v>0.88</v>
      </c>
      <c r="R38">
        <f>(Q38-Q37)/(P38-P37)</f>
        <v>3.999999999999998E-2</v>
      </c>
    </row>
    <row r="39" spans="1:18">
      <c r="P39">
        <v>10</v>
      </c>
      <c r="Q39">
        <v>1</v>
      </c>
      <c r="R39">
        <f t="shared" ref="R39:R41" si="7">(Q39-Q38)/(P39-P38)</f>
        <v>2.4E-2</v>
      </c>
    </row>
    <row r="40" spans="1:18">
      <c r="P40">
        <v>15</v>
      </c>
      <c r="Q40">
        <v>1.08</v>
      </c>
      <c r="R40">
        <f t="shared" si="7"/>
        <v>1.6000000000000014E-2</v>
      </c>
    </row>
    <row r="41" spans="1:18">
      <c r="P41">
        <v>20</v>
      </c>
      <c r="Q41">
        <v>1.1299999999999999</v>
      </c>
      <c r="R41">
        <f t="shared" si="7"/>
        <v>9.9999999999999638E-3</v>
      </c>
    </row>
  </sheetData>
  <mergeCells count="11">
    <mergeCell ref="T25:T26"/>
    <mergeCell ref="P25:P26"/>
    <mergeCell ref="Q25:Q26"/>
    <mergeCell ref="R25:R26"/>
    <mergeCell ref="S25:S26"/>
    <mergeCell ref="A9:D9"/>
    <mergeCell ref="M13:M14"/>
    <mergeCell ref="N13:N14"/>
    <mergeCell ref="H12:H14"/>
    <mergeCell ref="I12:I14"/>
    <mergeCell ref="J12:L13"/>
  </mergeCells>
  <pageMargins left="0.7" right="0.7" top="0.75" bottom="0.75" header="0.3" footer="0.3"/>
  <pageSetup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F39C2-3902-47E3-898F-AB31D45AB6E5}">
  <sheetPr codeName="Sheet28"/>
  <dimension ref="B1:T23"/>
  <sheetViews>
    <sheetView workbookViewId="0">
      <selection activeCell="C5" sqref="C5"/>
    </sheetView>
  </sheetViews>
  <sheetFormatPr defaultColWidth="8.83203125" defaultRowHeight="14"/>
  <cols>
    <col min="3" max="4" width="9.4140625" style="23" bestFit="1" customWidth="1"/>
    <col min="5" max="5" width="12" customWidth="1"/>
  </cols>
  <sheetData>
    <row r="1" spans="2:20" ht="18" thickBot="1">
      <c r="B1" s="1191" t="s">
        <v>187</v>
      </c>
      <c r="C1" s="1191"/>
      <c r="D1" s="1191"/>
      <c r="E1" s="1191"/>
      <c r="F1" s="1191"/>
      <c r="G1" s="1191"/>
      <c r="H1" s="1191"/>
      <c r="I1" s="1191"/>
      <c r="J1" s="1191"/>
      <c r="K1" s="1191"/>
      <c r="L1" s="1191"/>
      <c r="M1" s="12"/>
      <c r="N1" s="12"/>
      <c r="O1" s="12"/>
      <c r="P1" s="12"/>
      <c r="Q1" s="12"/>
      <c r="R1" s="12"/>
      <c r="S1" s="12"/>
      <c r="T1" s="12"/>
    </row>
    <row r="2" spans="2:20" ht="15">
      <c r="B2" s="1192" t="s">
        <v>188</v>
      </c>
      <c r="C2" s="1193" t="s">
        <v>189</v>
      </c>
      <c r="D2" s="1193" t="s">
        <v>190</v>
      </c>
      <c r="E2" s="1192" t="s">
        <v>191</v>
      </c>
      <c r="F2" s="1192" t="s">
        <v>192</v>
      </c>
      <c r="G2" s="1192" t="s">
        <v>193</v>
      </c>
      <c r="H2" s="1192" t="s">
        <v>194</v>
      </c>
      <c r="I2" s="1192" t="s">
        <v>195</v>
      </c>
      <c r="J2" s="1192"/>
      <c r="K2" s="1192" t="s">
        <v>196</v>
      </c>
      <c r="L2" s="1192"/>
      <c r="M2" s="12"/>
      <c r="N2" s="12"/>
      <c r="O2" s="12"/>
      <c r="P2" s="12"/>
      <c r="Q2" s="12"/>
      <c r="R2" s="12"/>
      <c r="S2" s="12"/>
      <c r="T2" s="12"/>
    </row>
    <row r="3" spans="2:20" ht="15.5">
      <c r="B3" s="1192"/>
      <c r="C3" s="1193"/>
      <c r="D3" s="1193"/>
      <c r="E3" s="1192"/>
      <c r="F3" s="1192"/>
      <c r="G3" s="1192"/>
      <c r="H3" s="1192"/>
      <c r="I3" s="13" t="s">
        <v>197</v>
      </c>
      <c r="J3" s="13" t="s">
        <v>198</v>
      </c>
      <c r="K3" s="13" t="s">
        <v>197</v>
      </c>
      <c r="L3" s="13" t="s">
        <v>198</v>
      </c>
      <c r="M3" s="12"/>
      <c r="N3" s="12"/>
      <c r="O3" s="12"/>
      <c r="P3" s="12"/>
      <c r="Q3" s="12"/>
      <c r="R3" s="12"/>
      <c r="S3" s="12"/>
      <c r="T3" s="12"/>
    </row>
    <row r="4" spans="2:20" ht="15.5">
      <c r="B4" s="1192"/>
      <c r="C4" s="1194" t="s">
        <v>900</v>
      </c>
      <c r="D4" s="1194"/>
      <c r="E4" s="1192"/>
      <c r="F4" s="1192"/>
      <c r="G4" s="1192"/>
      <c r="H4" s="1192"/>
      <c r="I4" s="1194" t="s">
        <v>901</v>
      </c>
      <c r="J4" s="1194"/>
      <c r="K4" s="1194"/>
      <c r="L4" s="1194"/>
      <c r="M4" s="14"/>
      <c r="N4" s="14"/>
      <c r="O4" s="12"/>
      <c r="P4" s="12"/>
      <c r="Q4" s="12"/>
      <c r="R4" s="12"/>
      <c r="S4" s="12"/>
      <c r="T4" s="12"/>
    </row>
    <row r="5" spans="2:20" ht="15.5">
      <c r="B5" s="15" t="s">
        <v>199</v>
      </c>
      <c r="C5" s="431">
        <f>hoattai_san!$D$3</f>
        <v>0.19500000000000001</v>
      </c>
      <c r="D5" s="431">
        <f>tinhtai_san!$Q$39</f>
        <v>0.62</v>
      </c>
      <c r="E5" s="16">
        <f t="shared" ref="E5:E17" si="0">VLOOKUP(B5,KH_SAN,2,0)/1000+0.2</f>
        <v>2.2000000000000002</v>
      </c>
      <c r="F5" s="260">
        <f t="shared" ref="F5:F17" si="1">VLOOKUP(B5,KH_SAN,3,0)/1000+0.2</f>
        <v>4</v>
      </c>
      <c r="G5" s="17">
        <f>E5/(2*F5)</f>
        <v>0.27500000000000002</v>
      </c>
      <c r="H5" s="17">
        <f>1-(2*G5^2)+G5^3</f>
        <v>0.86954687500000005</v>
      </c>
      <c r="I5" s="432">
        <f>(5/8)*(C5*E5)/2</f>
        <v>0.13406250000000003</v>
      </c>
      <c r="J5" s="432">
        <f>(5/8)*(D5*E5)/2</f>
        <v>0.42625000000000002</v>
      </c>
      <c r="K5" s="433">
        <f>$H5*C5*$E5/2</f>
        <v>0.18651780468750004</v>
      </c>
      <c r="L5" s="433">
        <f>$H5*D5*$E5/2</f>
        <v>0.59303096875000016</v>
      </c>
      <c r="M5" s="14"/>
      <c r="N5" s="14"/>
      <c r="O5" s="12"/>
      <c r="P5" s="12"/>
      <c r="Q5" s="18"/>
      <c r="R5" s="18"/>
      <c r="S5" s="18"/>
      <c r="T5" s="18"/>
    </row>
    <row r="6" spans="2:20" ht="15.5">
      <c r="B6" s="15" t="s">
        <v>202</v>
      </c>
      <c r="C6" s="431">
        <f>hoattai_san!$D$6</f>
        <v>0.84</v>
      </c>
      <c r="D6" s="431">
        <f>tinhtai_san!$F$8</f>
        <v>0.48</v>
      </c>
      <c r="E6" s="260">
        <f t="shared" si="0"/>
        <v>4</v>
      </c>
      <c r="F6" s="260">
        <f t="shared" si="1"/>
        <v>6</v>
      </c>
      <c r="G6" s="27">
        <f t="shared" ref="G6:G17" si="2">E6/(2*F6)</f>
        <v>0.33333333333333331</v>
      </c>
      <c r="H6" s="27">
        <f t="shared" ref="H6:H17" si="3">1-(2*G6^2)+G6^3</f>
        <v>0.81481481481481488</v>
      </c>
      <c r="I6" s="432">
        <f t="shared" ref="I6:I17" si="4">(5/8)*(C6*E6)/2</f>
        <v>1.05</v>
      </c>
      <c r="J6" s="432">
        <f t="shared" ref="J6:J17" si="5">(5/8)*(D6*E6)/2</f>
        <v>0.6</v>
      </c>
      <c r="K6" s="433">
        <f t="shared" ref="K6:K17" si="6">$H6*C6*$E6/2</f>
        <v>1.368888888888889</v>
      </c>
      <c r="L6" s="433">
        <f t="shared" ref="L6:L17" si="7">$H6*D6*$E6/2</f>
        <v>0.78222222222222226</v>
      </c>
      <c r="M6" s="14"/>
      <c r="N6" s="14"/>
      <c r="O6" s="12"/>
      <c r="P6" s="12"/>
      <c r="Q6" s="18"/>
      <c r="R6" s="18"/>
      <c r="S6" s="18"/>
      <c r="T6" s="18"/>
    </row>
    <row r="7" spans="2:20" ht="15.5">
      <c r="B7" s="259" t="s">
        <v>999</v>
      </c>
      <c r="C7" s="431">
        <f>hoattai_san!$D$3</f>
        <v>0.19500000000000001</v>
      </c>
      <c r="D7" s="431">
        <f>tinhtai_san!$F$8</f>
        <v>0.48</v>
      </c>
      <c r="E7" s="260">
        <f t="shared" ref="E7" si="8">VLOOKUP(B7,KH_SAN,2,0)/1000+0.2</f>
        <v>1.5999999999999999</v>
      </c>
      <c r="F7" s="260">
        <f t="shared" ref="F7" si="9">VLOOKUP(B7,KH_SAN,3,0)/1000+0.2</f>
        <v>4</v>
      </c>
      <c r="G7" s="27">
        <f t="shared" ref="G7" si="10">E7/(2*F7)</f>
        <v>0.19999999999999998</v>
      </c>
      <c r="H7" s="27">
        <f t="shared" ref="H7" si="11">1-(2*G7^2)+G7^3</f>
        <v>0.92800000000000005</v>
      </c>
      <c r="I7" s="432">
        <f t="shared" ref="I7" si="12">(5/8)*(C7*E7)/2</f>
        <v>9.7500000000000003E-2</v>
      </c>
      <c r="J7" s="432">
        <f t="shared" ref="J7" si="13">(5/8)*(D7*E7)/2</f>
        <v>0.23999999999999996</v>
      </c>
      <c r="K7" s="433">
        <f t="shared" ref="K7" si="14">$H7*C7*$E7/2</f>
        <v>0.14476800000000001</v>
      </c>
      <c r="L7" s="433">
        <f t="shared" ref="L7" si="15">$H7*D7*$E7/2</f>
        <v>0.35635199999999995</v>
      </c>
      <c r="M7" s="14"/>
      <c r="N7" s="14"/>
      <c r="O7" s="307"/>
      <c r="P7" s="307"/>
      <c r="Q7" s="18"/>
      <c r="R7" s="18"/>
      <c r="S7" s="18"/>
      <c r="T7" s="18"/>
    </row>
    <row r="8" spans="2:20" ht="15.5">
      <c r="B8" s="15" t="s">
        <v>103</v>
      </c>
      <c r="C8" s="431">
        <f>hoattai_san!$D$5</f>
        <v>0.48</v>
      </c>
      <c r="D8" s="431">
        <f>tinhtai_san!$F$8</f>
        <v>0.48</v>
      </c>
      <c r="E8" s="260">
        <f t="shared" si="0"/>
        <v>4</v>
      </c>
      <c r="F8" s="260">
        <f t="shared" si="1"/>
        <v>6</v>
      </c>
      <c r="G8" s="27">
        <f t="shared" si="2"/>
        <v>0.33333333333333331</v>
      </c>
      <c r="H8" s="27">
        <f t="shared" si="3"/>
        <v>0.81481481481481488</v>
      </c>
      <c r="I8" s="432">
        <f t="shared" si="4"/>
        <v>0.6</v>
      </c>
      <c r="J8" s="432">
        <f t="shared" si="5"/>
        <v>0.6</v>
      </c>
      <c r="K8" s="433">
        <f t="shared" si="6"/>
        <v>0.78222222222222226</v>
      </c>
      <c r="L8" s="433">
        <f t="shared" si="7"/>
        <v>0.78222222222222226</v>
      </c>
      <c r="M8" s="14"/>
      <c r="N8" s="14"/>
      <c r="O8" s="12"/>
      <c r="P8" s="12"/>
      <c r="Q8" s="18"/>
      <c r="R8" s="18"/>
      <c r="S8" s="18"/>
      <c r="T8" s="18"/>
    </row>
    <row r="9" spans="2:20" ht="15.5">
      <c r="B9" s="15" t="s">
        <v>101</v>
      </c>
      <c r="C9" s="431">
        <f>hoattai_san!$D$2</f>
        <v>0.36</v>
      </c>
      <c r="D9" s="431">
        <f>tinhtai_san!$F$8</f>
        <v>0.48</v>
      </c>
      <c r="E9" s="260">
        <f t="shared" si="0"/>
        <v>3</v>
      </c>
      <c r="F9" s="260">
        <f t="shared" si="1"/>
        <v>4</v>
      </c>
      <c r="G9" s="27">
        <f t="shared" si="2"/>
        <v>0.375</v>
      </c>
      <c r="H9" s="27">
        <f t="shared" si="3"/>
        <v>0.771484375</v>
      </c>
      <c r="I9" s="432">
        <f t="shared" si="4"/>
        <v>0.33750000000000002</v>
      </c>
      <c r="J9" s="432">
        <f t="shared" si="5"/>
        <v>0.44999999999999996</v>
      </c>
      <c r="K9" s="433">
        <f t="shared" si="6"/>
        <v>0.41660156249999997</v>
      </c>
      <c r="L9" s="433">
        <f t="shared" si="7"/>
        <v>0.55546874999999996</v>
      </c>
      <c r="M9" s="14"/>
      <c r="N9" s="14"/>
      <c r="O9" s="12"/>
      <c r="P9" s="12"/>
      <c r="Q9" s="18"/>
      <c r="R9" s="18"/>
      <c r="S9" s="18"/>
      <c r="T9" s="18"/>
    </row>
    <row r="10" spans="2:20" ht="15.5">
      <c r="B10" s="15" t="s">
        <v>102</v>
      </c>
      <c r="C10" s="431">
        <f>hoattai_san!$D$2</f>
        <v>0.36</v>
      </c>
      <c r="D10" s="431">
        <f>tinhtai_san!$Q$48</f>
        <v>0.61</v>
      </c>
      <c r="E10" s="260">
        <f t="shared" si="0"/>
        <v>4</v>
      </c>
      <c r="F10" s="260">
        <f t="shared" si="1"/>
        <v>5.5</v>
      </c>
      <c r="G10" s="27">
        <f t="shared" si="2"/>
        <v>0.36363636363636365</v>
      </c>
      <c r="H10" s="27">
        <f t="shared" si="3"/>
        <v>0.78362133734034556</v>
      </c>
      <c r="I10" s="432">
        <f t="shared" si="4"/>
        <v>0.44999999999999996</v>
      </c>
      <c r="J10" s="432">
        <f t="shared" si="5"/>
        <v>0.76249999999999996</v>
      </c>
      <c r="K10" s="433">
        <f t="shared" si="6"/>
        <v>0.5642073628850488</v>
      </c>
      <c r="L10" s="433">
        <f t="shared" si="7"/>
        <v>0.95601803155522158</v>
      </c>
      <c r="M10" s="14"/>
      <c r="N10" s="14"/>
      <c r="O10" s="12"/>
      <c r="P10" s="12"/>
      <c r="Q10" s="18"/>
      <c r="R10" s="18"/>
      <c r="S10" s="18"/>
      <c r="T10" s="18"/>
    </row>
    <row r="11" spans="2:20" ht="15.5">
      <c r="B11" s="15" t="s">
        <v>106</v>
      </c>
      <c r="C11" s="431">
        <f>hoattai_san!$D$5</f>
        <v>0.48</v>
      </c>
      <c r="D11" s="431">
        <f>tinhtai_san!$F$8</f>
        <v>0.48</v>
      </c>
      <c r="E11" s="260">
        <f t="shared" si="0"/>
        <v>2</v>
      </c>
      <c r="F11" s="260">
        <f t="shared" si="1"/>
        <v>6</v>
      </c>
      <c r="G11" s="27">
        <f t="shared" si="2"/>
        <v>0.16666666666666666</v>
      </c>
      <c r="H11" s="27">
        <f t="shared" si="3"/>
        <v>0.94907407407407407</v>
      </c>
      <c r="I11" s="432">
        <f t="shared" si="4"/>
        <v>0.3</v>
      </c>
      <c r="J11" s="432">
        <f t="shared" si="5"/>
        <v>0.3</v>
      </c>
      <c r="K11" s="433">
        <f t="shared" si="6"/>
        <v>0.45555555555555555</v>
      </c>
      <c r="L11" s="433">
        <f t="shared" si="7"/>
        <v>0.45555555555555555</v>
      </c>
      <c r="M11" s="14"/>
      <c r="N11" s="14"/>
      <c r="O11" s="12"/>
      <c r="P11" s="12"/>
      <c r="Q11" s="18"/>
      <c r="R11" s="18"/>
      <c r="S11" s="18"/>
      <c r="T11" s="18"/>
    </row>
    <row r="12" spans="2:20" ht="15.5">
      <c r="B12" s="15" t="s">
        <v>105</v>
      </c>
      <c r="C12" s="431">
        <f>hoattai_san!$D$5</f>
        <v>0.48</v>
      </c>
      <c r="D12" s="431">
        <f>tinhtai_san!$F$8</f>
        <v>0.48</v>
      </c>
      <c r="E12" s="260">
        <f t="shared" si="0"/>
        <v>2</v>
      </c>
      <c r="F12" s="260">
        <f t="shared" si="1"/>
        <v>3</v>
      </c>
      <c r="G12" s="27">
        <f t="shared" si="2"/>
        <v>0.33333333333333331</v>
      </c>
      <c r="H12" s="27">
        <f t="shared" si="3"/>
        <v>0.81481481481481488</v>
      </c>
      <c r="I12" s="432">
        <f t="shared" si="4"/>
        <v>0.3</v>
      </c>
      <c r="J12" s="432">
        <f t="shared" si="5"/>
        <v>0.3</v>
      </c>
      <c r="K12" s="433">
        <f t="shared" si="6"/>
        <v>0.39111111111111113</v>
      </c>
      <c r="L12" s="433">
        <f t="shared" si="7"/>
        <v>0.39111111111111113</v>
      </c>
      <c r="M12" s="14"/>
      <c r="N12" s="14"/>
      <c r="O12" s="12"/>
      <c r="P12" s="12"/>
      <c r="Q12" s="18"/>
      <c r="R12" s="18"/>
      <c r="S12" s="18"/>
      <c r="T12" s="18"/>
    </row>
    <row r="13" spans="2:20" ht="15.5">
      <c r="B13" s="15" t="s">
        <v>104</v>
      </c>
      <c r="C13" s="431">
        <f>hoattai_san!$D$5</f>
        <v>0.48</v>
      </c>
      <c r="D13" s="431">
        <f>tinhtai_san!$F$8</f>
        <v>0.48</v>
      </c>
      <c r="E13" s="260">
        <f t="shared" si="0"/>
        <v>2</v>
      </c>
      <c r="F13" s="260">
        <f t="shared" si="1"/>
        <v>5.5</v>
      </c>
      <c r="G13" s="27">
        <f t="shared" si="2"/>
        <v>0.18181818181818182</v>
      </c>
      <c r="H13" s="27">
        <f t="shared" si="3"/>
        <v>0.93989481592787383</v>
      </c>
      <c r="I13" s="432">
        <f t="shared" si="4"/>
        <v>0.3</v>
      </c>
      <c r="J13" s="432">
        <f t="shared" si="5"/>
        <v>0.3</v>
      </c>
      <c r="K13" s="433">
        <f t="shared" si="6"/>
        <v>0.45114951164537942</v>
      </c>
      <c r="L13" s="433">
        <f t="shared" si="7"/>
        <v>0.45114951164537942</v>
      </c>
      <c r="M13" s="14"/>
      <c r="N13" s="14"/>
      <c r="O13" s="12"/>
      <c r="P13" s="12"/>
      <c r="Q13" s="18"/>
      <c r="R13" s="18"/>
      <c r="S13" s="18"/>
      <c r="T13" s="18"/>
    </row>
    <row r="14" spans="2:20" ht="15.5">
      <c r="B14" s="15" t="s">
        <v>107</v>
      </c>
      <c r="C14" s="431">
        <f>hoattai_san!$D$5</f>
        <v>0.48</v>
      </c>
      <c r="D14" s="431">
        <f>tinhtai_san!$F$8</f>
        <v>0.48</v>
      </c>
      <c r="E14" s="260">
        <f t="shared" si="0"/>
        <v>2</v>
      </c>
      <c r="F14" s="260">
        <f t="shared" si="1"/>
        <v>4</v>
      </c>
      <c r="G14" s="27">
        <f t="shared" si="2"/>
        <v>0.25</v>
      </c>
      <c r="H14" s="27">
        <f t="shared" si="3"/>
        <v>0.890625</v>
      </c>
      <c r="I14" s="432">
        <f t="shared" si="4"/>
        <v>0.3</v>
      </c>
      <c r="J14" s="432">
        <f t="shared" si="5"/>
        <v>0.3</v>
      </c>
      <c r="K14" s="433">
        <f t="shared" si="6"/>
        <v>0.42749999999999999</v>
      </c>
      <c r="L14" s="433">
        <f t="shared" si="7"/>
        <v>0.42749999999999999</v>
      </c>
      <c r="M14" s="14"/>
      <c r="N14" s="14"/>
      <c r="O14" s="12"/>
      <c r="P14" s="12"/>
      <c r="Q14" s="18"/>
      <c r="R14" s="18"/>
      <c r="S14" s="18"/>
      <c r="T14" s="18"/>
    </row>
    <row r="15" spans="2:20" ht="15.5">
      <c r="B15" s="15" t="s">
        <v>108</v>
      </c>
      <c r="C15" s="431">
        <f>hoattai_san!$D$5</f>
        <v>0.48</v>
      </c>
      <c r="D15" s="431">
        <f>tinhtai_san!$F$8</f>
        <v>0.48</v>
      </c>
      <c r="E15" s="260">
        <f t="shared" si="0"/>
        <v>4</v>
      </c>
      <c r="F15" s="260">
        <f t="shared" si="1"/>
        <v>4</v>
      </c>
      <c r="G15" s="27">
        <f t="shared" si="2"/>
        <v>0.5</v>
      </c>
      <c r="H15" s="27">
        <f t="shared" si="3"/>
        <v>0.625</v>
      </c>
      <c r="I15" s="432">
        <f t="shared" si="4"/>
        <v>0.6</v>
      </c>
      <c r="J15" s="432">
        <f t="shared" si="5"/>
        <v>0.6</v>
      </c>
      <c r="K15" s="433">
        <f t="shared" si="6"/>
        <v>0.6</v>
      </c>
      <c r="L15" s="433">
        <f t="shared" si="7"/>
        <v>0.6</v>
      </c>
      <c r="M15" s="14"/>
      <c r="N15" s="14"/>
      <c r="O15" s="12"/>
      <c r="P15" s="12"/>
      <c r="Q15" s="18"/>
      <c r="R15" s="18"/>
      <c r="S15" s="18"/>
      <c r="T15" s="18"/>
    </row>
    <row r="16" spans="2:20" ht="15.5">
      <c r="B16" s="15" t="s">
        <v>110</v>
      </c>
      <c r="C16" s="431">
        <f>hoattai_san!$D$5</f>
        <v>0.48</v>
      </c>
      <c r="D16" s="431">
        <f>tinhtai_san!$F$8</f>
        <v>0.48</v>
      </c>
      <c r="E16" s="260">
        <f t="shared" si="0"/>
        <v>2</v>
      </c>
      <c r="F16" s="260">
        <f t="shared" si="1"/>
        <v>2.7</v>
      </c>
      <c r="G16" s="27">
        <f t="shared" si="2"/>
        <v>0.37037037037037035</v>
      </c>
      <c r="H16" s="27">
        <f t="shared" si="3"/>
        <v>0.77645684092872025</v>
      </c>
      <c r="I16" s="432">
        <f t="shared" si="4"/>
        <v>0.3</v>
      </c>
      <c r="J16" s="432">
        <f t="shared" si="5"/>
        <v>0.3</v>
      </c>
      <c r="K16" s="433">
        <f t="shared" si="6"/>
        <v>0.3726992836457857</v>
      </c>
      <c r="L16" s="433">
        <f t="shared" si="7"/>
        <v>0.3726992836457857</v>
      </c>
      <c r="M16" s="14"/>
      <c r="N16" s="14"/>
      <c r="O16" s="12"/>
      <c r="P16" s="12"/>
      <c r="Q16" s="18"/>
      <c r="R16" s="18"/>
      <c r="S16" s="18"/>
      <c r="T16" s="18"/>
    </row>
    <row r="17" spans="2:20" ht="15.5">
      <c r="B17" s="15" t="s">
        <v>109</v>
      </c>
      <c r="C17" s="431">
        <f>hoattai_san!$D$5</f>
        <v>0.48</v>
      </c>
      <c r="D17" s="431">
        <f>tinhtai_san!$F$8</f>
        <v>0.48</v>
      </c>
      <c r="E17" s="260">
        <f t="shared" si="0"/>
        <v>2.9000000000000004</v>
      </c>
      <c r="F17" s="260">
        <f t="shared" si="1"/>
        <v>4</v>
      </c>
      <c r="G17" s="27">
        <f t="shared" si="2"/>
        <v>0.36250000000000004</v>
      </c>
      <c r="H17" s="27">
        <f t="shared" si="3"/>
        <v>0.7848222656249999</v>
      </c>
      <c r="I17" s="432">
        <f t="shared" si="4"/>
        <v>0.43500000000000005</v>
      </c>
      <c r="J17" s="432">
        <f t="shared" si="5"/>
        <v>0.43500000000000005</v>
      </c>
      <c r="K17" s="433">
        <f t="shared" si="6"/>
        <v>0.54623629687499997</v>
      </c>
      <c r="L17" s="433">
        <f t="shared" si="7"/>
        <v>0.54623629687499997</v>
      </c>
      <c r="M17" s="14"/>
      <c r="N17" s="14"/>
      <c r="O17" s="12"/>
      <c r="P17" s="12"/>
      <c r="Q17" s="18"/>
      <c r="R17" s="18"/>
      <c r="S17" s="18"/>
      <c r="T17" s="18"/>
    </row>
    <row r="18" spans="2:20" ht="15.5">
      <c r="B18" s="15" t="s">
        <v>452</v>
      </c>
      <c r="C18" s="431">
        <f>hoattai_san!$D$5</f>
        <v>0.48</v>
      </c>
      <c r="D18" s="431">
        <f>tinhtai_san!$F$8</f>
        <v>0.48</v>
      </c>
      <c r="E18" s="260">
        <f>VLOOKUP(B18,KH_SAN,2,0)/1000+0.1</f>
        <v>0.79999999999999993</v>
      </c>
      <c r="F18" s="260">
        <f>VLOOKUP(B18,KH_SAN,3,0)/1000+0.1</f>
        <v>4.3</v>
      </c>
      <c r="G18" s="27">
        <f>E18/(2*F18)</f>
        <v>9.3023255813953487E-2</v>
      </c>
      <c r="H18" s="27">
        <f>1-(2*G18^2)+G18^3</f>
        <v>0.98349830832505314</v>
      </c>
      <c r="I18" s="432">
        <f>(5/8)*(C18*E18)/2</f>
        <v>0.11999999999999998</v>
      </c>
      <c r="J18" s="432">
        <f>(5/8)*(D18*E18)/2</f>
        <v>0.11999999999999998</v>
      </c>
      <c r="K18" s="433">
        <f>$H18*C18*$E18/2</f>
        <v>0.18883167519841018</v>
      </c>
      <c r="L18" s="433">
        <f>$H18*D18*$E18/2</f>
        <v>0.18883167519841018</v>
      </c>
      <c r="M18" s="14"/>
      <c r="N18" s="14"/>
      <c r="O18" s="12"/>
      <c r="P18" s="12"/>
      <c r="Q18" s="18"/>
      <c r="R18" s="18"/>
      <c r="S18" s="18"/>
      <c r="T18" s="18"/>
    </row>
    <row r="19" spans="2:20" ht="15.5">
      <c r="B19" s="15" t="s">
        <v>453</v>
      </c>
      <c r="C19" s="431">
        <f>hoattai_san!$D$5</f>
        <v>0.48</v>
      </c>
      <c r="D19" s="431">
        <f>tinhtai_san!$F$8</f>
        <v>0.48</v>
      </c>
      <c r="E19" s="260">
        <f>VLOOKUP(B19,KH_SAN,2,0)/1000+0.1</f>
        <v>0.79999999999999993</v>
      </c>
      <c r="F19" s="260">
        <f>VLOOKUP(B19,KH_SAN,3,0)/1000+0.1</f>
        <v>3.7</v>
      </c>
      <c r="G19" s="27">
        <f>E19/(2*F19)</f>
        <v>0.1081081081081081</v>
      </c>
      <c r="H19" s="27">
        <f>1-(2*G19^2)+G19^3</f>
        <v>0.97788877262945928</v>
      </c>
      <c r="I19" s="432">
        <f>(5/8)*(C19*E19)/2</f>
        <v>0.11999999999999998</v>
      </c>
      <c r="J19" s="432">
        <f>(5/8)*(D19*E19)/2</f>
        <v>0.11999999999999998</v>
      </c>
      <c r="K19" s="433">
        <f>$H19*C19*$E19/2</f>
        <v>0.18775464434485617</v>
      </c>
      <c r="L19" s="433">
        <f>$H19*D19*$E19/2</f>
        <v>0.18775464434485617</v>
      </c>
      <c r="M19" s="14"/>
      <c r="N19" s="14"/>
      <c r="O19" s="12"/>
      <c r="P19" s="12"/>
      <c r="Q19" s="18"/>
      <c r="R19" s="18"/>
      <c r="S19" s="18"/>
      <c r="T19" s="18"/>
    </row>
    <row r="20" spans="2:20" ht="15.5">
      <c r="B20" s="15"/>
      <c r="C20" s="22"/>
      <c r="D20" s="22"/>
      <c r="E20" s="26"/>
      <c r="F20" s="26"/>
      <c r="G20" s="27"/>
      <c r="H20" s="27"/>
      <c r="I20" s="24"/>
      <c r="J20" s="24"/>
      <c r="K20" s="25"/>
      <c r="L20" s="25"/>
      <c r="M20" s="14"/>
      <c r="N20" s="14"/>
      <c r="O20" s="12"/>
      <c r="P20" s="12"/>
      <c r="Q20" s="18"/>
      <c r="R20" s="18"/>
      <c r="S20" s="18"/>
      <c r="T20" s="18"/>
    </row>
    <row r="21" spans="2:20" ht="15.5">
      <c r="B21" s="15"/>
      <c r="C21" s="22"/>
      <c r="D21" s="22"/>
      <c r="E21" s="15"/>
      <c r="F21" s="15"/>
      <c r="G21" s="17"/>
      <c r="H21" s="17"/>
      <c r="I21" s="19"/>
      <c r="J21" s="19"/>
      <c r="K21" s="20"/>
      <c r="L21" s="20"/>
      <c r="M21" s="14"/>
      <c r="N21" s="14"/>
      <c r="O21" s="12"/>
      <c r="P21" s="12"/>
      <c r="Q21" s="18"/>
      <c r="R21" s="18"/>
      <c r="S21" s="18"/>
      <c r="T21" s="18"/>
    </row>
    <row r="22" spans="2:20" ht="15.5">
      <c r="B22" s="15"/>
      <c r="C22" s="22"/>
      <c r="D22" s="22"/>
      <c r="E22" s="15"/>
      <c r="F22" s="15"/>
      <c r="G22" s="17"/>
      <c r="H22" s="17"/>
      <c r="I22" s="19"/>
      <c r="J22" s="19"/>
      <c r="K22" s="20"/>
      <c r="L22" s="20"/>
      <c r="M22" s="14"/>
      <c r="N22" s="14"/>
      <c r="O22" s="12"/>
      <c r="P22" s="12"/>
      <c r="Q22" s="18"/>
      <c r="R22" s="18"/>
      <c r="S22" s="18"/>
      <c r="T22" s="18"/>
    </row>
    <row r="23" spans="2:20" ht="15.5">
      <c r="B23" s="15"/>
      <c r="C23" s="22"/>
      <c r="D23" s="22"/>
      <c r="E23" s="15"/>
      <c r="F23" s="15"/>
      <c r="G23" s="17"/>
      <c r="H23" s="17"/>
      <c r="I23" s="19"/>
      <c r="J23" s="19"/>
      <c r="K23" s="20"/>
      <c r="L23" s="20"/>
      <c r="M23" s="12"/>
      <c r="N23" s="12"/>
      <c r="O23" s="21"/>
      <c r="P23" s="12"/>
      <c r="Q23" s="18"/>
      <c r="R23" s="18"/>
      <c r="S23" s="18"/>
      <c r="T23" s="18"/>
    </row>
  </sheetData>
  <mergeCells count="12">
    <mergeCell ref="B1:L1"/>
    <mergeCell ref="B2:B4"/>
    <mergeCell ref="C2:C3"/>
    <mergeCell ref="D2:D3"/>
    <mergeCell ref="E2:E4"/>
    <mergeCell ref="F2:F4"/>
    <mergeCell ref="G2:G4"/>
    <mergeCell ref="H2:H4"/>
    <mergeCell ref="I2:J2"/>
    <mergeCell ref="K2:L2"/>
    <mergeCell ref="C4:D4"/>
    <mergeCell ref="I4:L4"/>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44C60-1E24-4343-93AF-21D003F8A8ED}">
  <sheetPr codeName="Sheet29"/>
  <dimension ref="B1:T18"/>
  <sheetViews>
    <sheetView workbookViewId="0">
      <selection activeCell="F7" sqref="F7"/>
    </sheetView>
  </sheetViews>
  <sheetFormatPr defaultColWidth="8.83203125" defaultRowHeight="14"/>
  <cols>
    <col min="3" max="3" width="10.08203125" customWidth="1"/>
  </cols>
  <sheetData>
    <row r="1" spans="2:20" ht="14.5" thickBot="1">
      <c r="B1" s="258"/>
      <c r="C1" s="258"/>
      <c r="D1" s="258"/>
      <c r="E1" s="258"/>
      <c r="F1" s="258"/>
      <c r="G1" s="258"/>
      <c r="H1" s="258"/>
      <c r="I1" s="258"/>
      <c r="J1" s="258"/>
      <c r="K1" s="258"/>
      <c r="L1" s="258"/>
      <c r="M1" s="258"/>
      <c r="N1" s="258"/>
      <c r="O1" s="258"/>
      <c r="P1" s="258"/>
      <c r="Q1" s="258"/>
      <c r="R1" s="258"/>
      <c r="S1" s="258"/>
      <c r="T1" s="258"/>
    </row>
    <row r="2" spans="2:20" ht="18" thickBot="1">
      <c r="B2" s="1191" t="s">
        <v>570</v>
      </c>
      <c r="C2" s="1191"/>
      <c r="D2" s="1191"/>
      <c r="E2" s="1191"/>
      <c r="F2" s="1191"/>
      <c r="G2" s="1191"/>
      <c r="H2" s="1191"/>
      <c r="I2" s="1191"/>
      <c r="J2" s="1191"/>
      <c r="K2" s="1191"/>
      <c r="L2" s="1191"/>
      <c r="M2" s="1191"/>
      <c r="N2" s="1191"/>
      <c r="O2" s="1191"/>
      <c r="P2" s="1191"/>
      <c r="Q2" s="1191"/>
      <c r="R2" s="1191"/>
      <c r="S2" s="258"/>
      <c r="T2" s="258"/>
    </row>
    <row r="3" spans="2:20" ht="15.5" thickBot="1">
      <c r="B3" s="1195" t="s">
        <v>551</v>
      </c>
      <c r="C3" s="1195" t="s">
        <v>552</v>
      </c>
      <c r="D3" s="1195" t="s">
        <v>553</v>
      </c>
      <c r="E3" s="1195"/>
      <c r="F3" s="1195" t="s">
        <v>554</v>
      </c>
      <c r="G3" s="1195" t="s">
        <v>555</v>
      </c>
      <c r="H3" s="1195"/>
      <c r="I3" s="1195"/>
      <c r="J3" s="1195" t="s">
        <v>556</v>
      </c>
      <c r="K3" s="1195"/>
      <c r="L3" s="1195"/>
      <c r="M3" s="1195"/>
      <c r="N3" s="1195" t="s">
        <v>557</v>
      </c>
      <c r="O3" s="1195"/>
      <c r="P3" s="1195"/>
      <c r="Q3" s="1195" t="s">
        <v>558</v>
      </c>
      <c r="R3" s="1195"/>
      <c r="S3" s="258"/>
      <c r="T3" s="258"/>
    </row>
    <row r="4" spans="2:20" ht="18.5" thickBot="1">
      <c r="B4" s="1195"/>
      <c r="C4" s="1195"/>
      <c r="D4" s="1195"/>
      <c r="E4" s="1195"/>
      <c r="F4" s="1195"/>
      <c r="G4" s="1195"/>
      <c r="H4" s="1195"/>
      <c r="I4" s="1195"/>
      <c r="J4" s="1195"/>
      <c r="K4" s="1195"/>
      <c r="L4" s="1195"/>
      <c r="M4" s="1195"/>
      <c r="N4" s="261" t="s">
        <v>559</v>
      </c>
      <c r="O4" s="261" t="s">
        <v>560</v>
      </c>
      <c r="P4" s="261" t="s">
        <v>561</v>
      </c>
      <c r="Q4" s="261" t="s">
        <v>559</v>
      </c>
      <c r="R4" s="261" t="s">
        <v>561</v>
      </c>
      <c r="S4" s="258"/>
      <c r="T4" s="258"/>
    </row>
    <row r="5" spans="2:20" ht="15.5">
      <c r="B5" s="1195"/>
      <c r="C5" s="262" t="s">
        <v>6</v>
      </c>
      <c r="D5" s="262" t="s">
        <v>562</v>
      </c>
      <c r="E5" s="262" t="s">
        <v>563</v>
      </c>
      <c r="F5" s="262" t="s">
        <v>564</v>
      </c>
      <c r="G5" s="262" t="s">
        <v>565</v>
      </c>
      <c r="H5" s="262" t="s">
        <v>566</v>
      </c>
      <c r="I5" s="262" t="s">
        <v>208</v>
      </c>
      <c r="J5" s="1195"/>
      <c r="K5" s="1195"/>
      <c r="L5" s="1195"/>
      <c r="M5" s="1195"/>
      <c r="N5" s="262" t="s">
        <v>564</v>
      </c>
      <c r="O5" s="262" t="s">
        <v>564</v>
      </c>
      <c r="P5" s="262" t="s">
        <v>567</v>
      </c>
      <c r="Q5" s="262" t="s">
        <v>564</v>
      </c>
      <c r="R5" s="262" t="s">
        <v>567</v>
      </c>
      <c r="S5" s="258"/>
      <c r="T5" s="258"/>
    </row>
    <row r="6" spans="2:20" ht="15.5">
      <c r="B6" s="263">
        <v>1</v>
      </c>
      <c r="C6" s="260">
        <v>4</v>
      </c>
      <c r="D6" s="259">
        <f>TH!$B$53/10</f>
        <v>20</v>
      </c>
      <c r="E6" s="259">
        <f>TH!$B$50/10</f>
        <v>40</v>
      </c>
      <c r="F6" s="264">
        <f>1.1*D6*E6*2500/10000</f>
        <v>220</v>
      </c>
      <c r="G6" s="259">
        <v>200</v>
      </c>
      <c r="H6" s="260">
        <f>TH!$B$18</f>
        <v>3.6</v>
      </c>
      <c r="I6" s="265">
        <f>IF(G6=100,180*1.1*H6,IF(G6=200,330*1.1*H6,0))</f>
        <v>1306.8000000000002</v>
      </c>
      <c r="J6" s="266" t="s">
        <v>103</v>
      </c>
      <c r="K6" s="267" t="s">
        <v>568</v>
      </c>
      <c r="L6" s="266"/>
      <c r="M6" s="267"/>
      <c r="N6" s="268">
        <f>(IF(K6="HT",VLOOKUP(J6,'tải sàn'!$B$5:$L$51,11,0),IF(K6="TG",VLOOKUP(J6,'tải sàn'!$B$5:$L$51,9,0),0)))+(IF(M6="HT",VLOOKUP(L6,'tải sàn'!$B$5:$L$51,11,0),IF(M6="TG",VLOOKUP(L6,'tải sàn'!$B$5:$L$51,9,0),0)))</f>
        <v>0.6</v>
      </c>
      <c r="O6" s="268">
        <f>F6+I6+N6</f>
        <v>1527.4</v>
      </c>
      <c r="P6" s="269">
        <f>O6*C6/2</f>
        <v>3054.8</v>
      </c>
      <c r="Q6" s="268">
        <f>(IF(K6="HT",VLOOKUP(J6,'tải sàn'!$B$5:$L$51,10,0),IF(K6="TG",VLOOKUP(J6,'tải sàn'!$B$5:$L$51,8,0),0)))+(IF(M6="HT",VLOOKUP(L6,'tải sàn'!$B$5:$L$51,10,0),IF(M6="TG",VLOOKUP(L6,'tải sàn'!$B$5:$L$51,8,0),0)))</f>
        <v>0.6</v>
      </c>
      <c r="R6" s="269">
        <f>Q6*C6/2</f>
        <v>1.2</v>
      </c>
      <c r="S6" s="270"/>
      <c r="T6" s="258"/>
    </row>
    <row r="7" spans="2:20" ht="15.5">
      <c r="B7" s="263">
        <v>2</v>
      </c>
      <c r="C7" s="260">
        <v>4</v>
      </c>
      <c r="D7" s="259">
        <f>TH!$B$53/10</f>
        <v>20</v>
      </c>
      <c r="E7" s="259">
        <f>TH!$B$50/10</f>
        <v>40</v>
      </c>
      <c r="F7" s="264">
        <f>1.1*D7*E7*2500/10000</f>
        <v>220</v>
      </c>
      <c r="G7" s="259">
        <v>100</v>
      </c>
      <c r="H7" s="260">
        <f>TH!$B$18</f>
        <v>3.6</v>
      </c>
      <c r="I7" s="265">
        <f>IF(G7=100,180*1.1*H7,IF(G7=200,330*1.1*H7,0))</f>
        <v>712.80000000000007</v>
      </c>
      <c r="J7" s="266" t="s">
        <v>103</v>
      </c>
      <c r="K7" s="267" t="s">
        <v>568</v>
      </c>
      <c r="L7" s="266" t="s">
        <v>101</v>
      </c>
      <c r="M7" s="267" t="s">
        <v>569</v>
      </c>
      <c r="N7" s="268">
        <f>(IF(K7="HT",VLOOKUP(J7,'tải sàn'!$B$5:$L$51,11,0),IF(K7="TG",VLOOKUP(J7,'tải sàn'!$B$5:$L$51,9,0),0)))+(IF(M7="HT",VLOOKUP(L7,'tải sàn'!$B$5:$L$51,11,0),IF(M7="TG",VLOOKUP(L7,'tải sàn'!$B$5:$L$51,9,0),0)))</f>
        <v>1.1554687499999998</v>
      </c>
      <c r="O7" s="268">
        <f>F7+I7+N7</f>
        <v>933.95546875000002</v>
      </c>
      <c r="P7" s="269">
        <f>O7*C7/2</f>
        <v>1867.9109375</v>
      </c>
      <c r="Q7" s="268">
        <f>(IF(K7="HT",VLOOKUP(J7,'tải sàn'!$B$5:$L$51,10,0),IF(K7="TG",VLOOKUP(J7,'tải sàn'!$B$5:$L$51,8,0),0)))+(IF(M7="HT",VLOOKUP(L7,'tải sàn'!$B$5:$L$51,10,0),IF(M7="TG",VLOOKUP(L7,'tải sàn'!$B$5:$L$51,8,0),0)))</f>
        <v>1.0166015625</v>
      </c>
      <c r="R7" s="269">
        <f>Q7*C7/2</f>
        <v>2.033203125</v>
      </c>
      <c r="S7" s="258"/>
      <c r="T7" s="270"/>
    </row>
    <row r="8" spans="2:20" ht="15.5">
      <c r="B8" s="263">
        <v>3</v>
      </c>
      <c r="C8" s="260">
        <v>2</v>
      </c>
      <c r="D8" s="259">
        <f>TH!$B$53/10</f>
        <v>20</v>
      </c>
      <c r="E8" s="259">
        <f>TH!$B$50/10</f>
        <v>40</v>
      </c>
      <c r="F8" s="264">
        <f>1.1*D8*E8*2500/10000</f>
        <v>220</v>
      </c>
      <c r="G8" s="259">
        <v>0</v>
      </c>
      <c r="H8" s="260">
        <f>TH!$B$18</f>
        <v>3.6</v>
      </c>
      <c r="I8" s="265">
        <f>IF(G8=100,180*1.1*H8,IF(G8=200,330*1.1*H8,0))</f>
        <v>0</v>
      </c>
      <c r="J8" s="266" t="s">
        <v>106</v>
      </c>
      <c r="K8" s="267" t="s">
        <v>569</v>
      </c>
      <c r="L8" s="266" t="s">
        <v>105</v>
      </c>
      <c r="M8" s="267" t="s">
        <v>568</v>
      </c>
      <c r="N8" s="268">
        <f>(IF(K8="HT",VLOOKUP(J8,'tải sàn'!$B$5:$L$51,11,0),IF(K8="TG",VLOOKUP(J8,'tải sàn'!$B$5:$L$51,9,0),0)))+(IF(M8="HT",VLOOKUP(L8,'tải sàn'!$B$5:$L$51,11,0),IF(M8="TG",VLOOKUP(L8,'tải sàn'!$B$5:$L$51,9,0),0)))</f>
        <v>0.75555555555555554</v>
      </c>
      <c r="O8" s="268">
        <f>F8+I8+N8</f>
        <v>220.75555555555556</v>
      </c>
      <c r="P8" s="269">
        <f>O8*C8/2</f>
        <v>220.75555555555556</v>
      </c>
      <c r="Q8" s="268">
        <f>(IF(K8="HT",VLOOKUP(J8,'tải sàn'!$B$5:$L$51,10,0),IF(K8="TG",VLOOKUP(J8,'tải sàn'!$B$5:$L$51,8,0),0)))+(IF(M8="HT",VLOOKUP(L8,'tải sàn'!$B$5:$L$51,10,0),IF(M8="TG",VLOOKUP(L8,'tải sàn'!$B$5:$L$51,8,0),0)))</f>
        <v>0.75555555555555554</v>
      </c>
      <c r="R8" s="269">
        <f>Q8*C8/2</f>
        <v>0.75555555555555554</v>
      </c>
      <c r="S8" s="258"/>
      <c r="T8" s="271"/>
    </row>
    <row r="9" spans="2:20" ht="15.5">
      <c r="B9" s="263">
        <v>4</v>
      </c>
      <c r="C9" s="260">
        <v>4</v>
      </c>
      <c r="D9" s="259">
        <f>TH!$B$53/10</f>
        <v>20</v>
      </c>
      <c r="E9" s="259">
        <f>TH!$B$50/10</f>
        <v>40</v>
      </c>
      <c r="F9" s="264">
        <f>1.1*D9*E9*2500/10000</f>
        <v>220</v>
      </c>
      <c r="G9" s="259">
        <v>0</v>
      </c>
      <c r="H9" s="260">
        <f>TH!$B$18</f>
        <v>3.6</v>
      </c>
      <c r="I9" s="265">
        <f>IF(G9=100,180*1.1*H9,IF(G9=200,330*1.1*H9,0))</f>
        <v>0</v>
      </c>
      <c r="J9" s="266" t="s">
        <v>199</v>
      </c>
      <c r="K9" s="267" t="s">
        <v>568</v>
      </c>
      <c r="L9" s="266" t="s">
        <v>101</v>
      </c>
      <c r="M9" s="267" t="s">
        <v>569</v>
      </c>
      <c r="N9" s="268">
        <f>(IF(K9="HT",VLOOKUP(J9,'tải sàn'!$B$5:$L$51,11,0),IF(K9="TG",VLOOKUP(J9,'tải sàn'!$B$5:$L$51,9,0),0)))+(IF(M9="HT",VLOOKUP(L9,'tải sàn'!$B$5:$L$51,11,0),IF(M9="TG",VLOOKUP(L9,'tải sàn'!$B$5:$L$51,9,0),0)))</f>
        <v>0.98171874999999997</v>
      </c>
      <c r="O9" s="268">
        <f>F9+I9+N9</f>
        <v>220.98171875</v>
      </c>
      <c r="P9" s="269">
        <f>O9*C9/2</f>
        <v>441.9634375</v>
      </c>
      <c r="Q9" s="268">
        <f>(IF(K9="HT",VLOOKUP(J9,'tải sàn'!$B$5:$L$51,10,0),IF(K9="TG",VLOOKUP(J9,'tải sàn'!$B$5:$L$51,8,0),0)))+(IF(M9="HT",VLOOKUP(L9,'tải sàn'!$B$5:$L$51,10,0),IF(M9="TG",VLOOKUP(L9,'tải sàn'!$B$5:$L$51,8,0),0)))</f>
        <v>0.5506640625</v>
      </c>
      <c r="R9" s="269">
        <f>Q9*C9/2</f>
        <v>1.101328125</v>
      </c>
      <c r="S9" s="270"/>
      <c r="T9" s="258"/>
    </row>
    <row r="10" spans="2:20" ht="15.5">
      <c r="B10" s="272">
        <v>5</v>
      </c>
      <c r="C10" s="273">
        <v>6</v>
      </c>
      <c r="D10" s="259">
        <f>TH!$B$53/10</f>
        <v>20</v>
      </c>
      <c r="E10" s="259">
        <f>TH!$B$50/10</f>
        <v>40</v>
      </c>
      <c r="F10" s="264">
        <f>1.1*D10*E10*2500/10000</f>
        <v>220</v>
      </c>
      <c r="G10" s="259">
        <v>200</v>
      </c>
      <c r="H10" s="260">
        <f>TH!$B$18</f>
        <v>3.6</v>
      </c>
      <c r="I10" s="265">
        <f>IF(G10=100,180*1.1*H10,IF(G10=200,330*1.1*H10,0))</f>
        <v>1306.8000000000002</v>
      </c>
      <c r="J10" s="266" t="s">
        <v>103</v>
      </c>
      <c r="K10" s="267" t="s">
        <v>568</v>
      </c>
      <c r="L10" s="266"/>
      <c r="M10" s="267"/>
      <c r="N10" s="268">
        <f>(IF(K10="HT",VLOOKUP(J10,'tải sàn'!$B$5:$L$51,11,0),IF(K10="TG",VLOOKUP(J10,'tải sàn'!$B$5:$L$51,9,0),0)))+(IF(M10="HT",VLOOKUP(L10,'tải sàn'!$B$5:$L$51,11,0),IF(M10="TG",VLOOKUP(L10,'tải sàn'!$B$5:$L$51,9,0),0)))</f>
        <v>0.6</v>
      </c>
      <c r="O10" s="268">
        <f>F10+I10+N10</f>
        <v>1527.4</v>
      </c>
      <c r="P10" s="269">
        <f>O10*C10/2</f>
        <v>4582.2000000000007</v>
      </c>
      <c r="Q10" s="268">
        <f>(IF(K10="HT",VLOOKUP(J10,'tải sàn'!$B$5:$L$51,10,0),IF(K10="TG",VLOOKUP(J10,'tải sàn'!$B$5:$L$51,8,0),0)))+(IF(M10="HT",VLOOKUP(L10,'tải sàn'!$B$5:$L$51,10,0),IF(M10="TG",VLOOKUP(L10,'tải sàn'!$B$5:$L$51,8,0),0)))</f>
        <v>0.6</v>
      </c>
      <c r="R10" s="269">
        <f>Q10*C10/2</f>
        <v>1.7999999999999998</v>
      </c>
    </row>
    <row r="11" spans="2:20" ht="15.5">
      <c r="B11" s="263">
        <v>6</v>
      </c>
      <c r="C11" s="273">
        <v>6</v>
      </c>
      <c r="D11" s="259">
        <f>TH!$B$53/10</f>
        <v>20</v>
      </c>
      <c r="E11" s="259">
        <f>TH!$B$50/10</f>
        <v>40</v>
      </c>
      <c r="F11" s="264">
        <f t="shared" ref="F11:F18" si="0">1.1*D11*E11*2500/10000</f>
        <v>220</v>
      </c>
      <c r="G11" s="259">
        <v>0</v>
      </c>
      <c r="H11" s="260">
        <f>TH!$B$18</f>
        <v>3.6</v>
      </c>
      <c r="I11" s="265">
        <f t="shared" ref="I11:I17" si="1">IF(G11=100,180*1.1*H11,IF(G11=200,330*1.1*H11,0))</f>
        <v>0</v>
      </c>
      <c r="J11" s="266" t="s">
        <v>103</v>
      </c>
      <c r="K11" s="267" t="s">
        <v>569</v>
      </c>
      <c r="L11" s="266" t="s">
        <v>103</v>
      </c>
      <c r="M11" s="267" t="s">
        <v>569</v>
      </c>
      <c r="N11" s="268">
        <f>(IF(K11="HT",VLOOKUP(J11,'tải sàn'!$B$5:$L$51,11,0),IF(K11="TG",VLOOKUP(J11,'tải sàn'!$B$5:$L$51,9,0),0)))+(IF(M11="HT",VLOOKUP(L11,'tải sàn'!$B$5:$L$51,11,0),IF(M11="TG",VLOOKUP(L11,'tải sàn'!$B$5:$L$51,9,0),0)))</f>
        <v>1.5644444444444445</v>
      </c>
      <c r="O11" s="268">
        <f t="shared" ref="O11:O18" si="2">F11+I11+N11</f>
        <v>221.56444444444443</v>
      </c>
      <c r="P11" s="269">
        <f t="shared" ref="P11:P17" si="3">O11*C11/2</f>
        <v>664.69333333333327</v>
      </c>
      <c r="Q11" s="268">
        <f>(IF(K11="HT",VLOOKUP(J11,'tải sàn'!$B$5:$L$51,10,0),IF(K11="TG",VLOOKUP(J11,'tải sàn'!$B$5:$L$51,8,0),0)))+(IF(M11="HT",VLOOKUP(L11,'tải sàn'!$B$5:$L$51,10,0),IF(M11="TG",VLOOKUP(L11,'tải sàn'!$B$5:$L$51,8,0),0)))</f>
        <v>1.5644444444444445</v>
      </c>
      <c r="R11" s="269">
        <f t="shared" ref="R11:R18" si="4">Q11*C11/2</f>
        <v>4.6933333333333334</v>
      </c>
    </row>
    <row r="12" spans="2:20" ht="15.5">
      <c r="B12" s="272">
        <v>7</v>
      </c>
      <c r="C12" s="273">
        <v>6</v>
      </c>
      <c r="D12" s="259">
        <f>TH!$B$53/10</f>
        <v>20</v>
      </c>
      <c r="E12" s="259">
        <f>TH!$B$50/10</f>
        <v>40</v>
      </c>
      <c r="F12" s="264">
        <f t="shared" si="0"/>
        <v>220</v>
      </c>
      <c r="G12" s="259">
        <v>100</v>
      </c>
      <c r="H12" s="260">
        <f>TH!$B$18</f>
        <v>3.6</v>
      </c>
      <c r="I12" s="265">
        <f t="shared" si="1"/>
        <v>712.80000000000007</v>
      </c>
      <c r="J12" s="266" t="s">
        <v>103</v>
      </c>
      <c r="K12" s="267" t="s">
        <v>569</v>
      </c>
      <c r="L12" s="266" t="s">
        <v>106</v>
      </c>
      <c r="M12" s="267" t="s">
        <v>569</v>
      </c>
      <c r="N12" s="268">
        <f>(IF(K12="HT",VLOOKUP(J12,'tải sàn'!$B$5:$L$51,11,0),IF(K12="TG",VLOOKUP(J12,'tải sàn'!$B$5:$L$51,9,0),0)))+(IF(M12="HT",VLOOKUP(L12,'tải sàn'!$B$5:$L$51,11,0),IF(M12="TG",VLOOKUP(L12,'tải sàn'!$B$5:$L$51,9,0),0)))</f>
        <v>1.2377777777777779</v>
      </c>
      <c r="O12" s="268">
        <f t="shared" si="2"/>
        <v>934.03777777777782</v>
      </c>
      <c r="P12" s="269">
        <f t="shared" si="3"/>
        <v>2802.1133333333337</v>
      </c>
      <c r="Q12" s="268">
        <f>(IF(K12="HT",VLOOKUP(J12,'tải sàn'!$B$5:$L$51,10,0),IF(K12="TG",VLOOKUP(J12,'tải sàn'!$B$5:$L$51,8,0),0)))+(IF(M12="HT",VLOOKUP(L12,'tải sàn'!$B$5:$L$51,10,0),IF(M12="TG",VLOOKUP(L12,'tải sàn'!$B$5:$L$51,8,0),0)))</f>
        <v>1.2377777777777779</v>
      </c>
      <c r="R12" s="269">
        <f t="shared" si="4"/>
        <v>3.7133333333333338</v>
      </c>
    </row>
    <row r="13" spans="2:20" ht="15.5">
      <c r="B13" s="263">
        <v>8</v>
      </c>
      <c r="C13" s="273">
        <v>6</v>
      </c>
      <c r="D13" s="259">
        <f>TH!$B$53/10</f>
        <v>20</v>
      </c>
      <c r="E13" s="259">
        <f>TH!$B$50/10</f>
        <v>40</v>
      </c>
      <c r="F13" s="264">
        <f t="shared" si="0"/>
        <v>220</v>
      </c>
      <c r="G13" s="259">
        <v>100</v>
      </c>
      <c r="H13" s="260">
        <f>TH!$B$18</f>
        <v>3.6</v>
      </c>
      <c r="I13" s="265">
        <f t="shared" si="1"/>
        <v>712.80000000000007</v>
      </c>
      <c r="J13" s="266" t="s">
        <v>106</v>
      </c>
      <c r="K13" s="267" t="s">
        <v>569</v>
      </c>
      <c r="L13" s="266" t="s">
        <v>199</v>
      </c>
      <c r="M13" s="267" t="s">
        <v>569</v>
      </c>
      <c r="N13" s="268">
        <f>(IF(K13="HT",VLOOKUP(J13,'tải sàn'!$B$5:$L$51,11,0),IF(K13="TG",VLOOKUP(J13,'tải sàn'!$B$5:$L$51,9,0),0)))+(IF(M13="HT",VLOOKUP(L13,'tải sàn'!$B$5:$L$51,11,0),IF(M13="TG",VLOOKUP(L13,'tải sàn'!$B$5:$L$51,9,0),0)))</f>
        <v>1.0485865243055557</v>
      </c>
      <c r="O13" s="268">
        <f t="shared" si="2"/>
        <v>933.84858652430557</v>
      </c>
      <c r="P13" s="269">
        <f t="shared" si="3"/>
        <v>2801.5457595729167</v>
      </c>
      <c r="Q13" s="268">
        <f>(IF(K13="HT",VLOOKUP(J13,'tải sàn'!$B$5:$L$51,10,0),IF(K13="TG",VLOOKUP(J13,'tải sàn'!$B$5:$L$51,8,0),0)))+(IF(M13="HT",VLOOKUP(L13,'tải sàn'!$B$5:$L$51,10,0),IF(M13="TG",VLOOKUP(L13,'tải sàn'!$B$5:$L$51,8,0),0)))</f>
        <v>0.64207336024305561</v>
      </c>
      <c r="R13" s="269">
        <f t="shared" si="4"/>
        <v>1.9262200807291667</v>
      </c>
    </row>
    <row r="14" spans="2:20" ht="15.5">
      <c r="B14" s="272">
        <v>9</v>
      </c>
      <c r="C14" s="273">
        <v>6</v>
      </c>
      <c r="D14" s="259">
        <f>TH!$B$53/10</f>
        <v>20</v>
      </c>
      <c r="E14" s="259">
        <f>TH!$B$50/10</f>
        <v>40</v>
      </c>
      <c r="F14" s="264">
        <f t="shared" si="0"/>
        <v>220</v>
      </c>
      <c r="G14" s="259">
        <v>200</v>
      </c>
      <c r="H14" s="260">
        <f>TH!$B$18</f>
        <v>3.6</v>
      </c>
      <c r="I14" s="265">
        <f t="shared" si="1"/>
        <v>1306.8000000000002</v>
      </c>
      <c r="J14" s="266" t="s">
        <v>199</v>
      </c>
      <c r="K14" s="267" t="s">
        <v>569</v>
      </c>
      <c r="L14" s="266"/>
      <c r="M14" s="267"/>
      <c r="N14" s="268">
        <f>(IF(K14="HT",VLOOKUP(J14,'tải sàn'!$B$5:$L$51,11,0),IF(K14="TG",VLOOKUP(J14,'tải sàn'!$B$5:$L$51,9,0),0)))+(IF(M14="HT",VLOOKUP(L14,'tải sàn'!$B$5:$L$51,11,0),IF(M14="TG",VLOOKUP(L14,'tải sàn'!$B$5:$L$51,9,0),0)))</f>
        <v>0.59303096875000016</v>
      </c>
      <c r="O14" s="268">
        <f>F14+I14+N14</f>
        <v>1527.3930309687503</v>
      </c>
      <c r="P14" s="269">
        <f>O14*C14/2</f>
        <v>4582.1790929062508</v>
      </c>
      <c r="Q14" s="268">
        <f>(IF(K14="HT",VLOOKUP(J14,'tải sàn'!$B$5:$L$51,10,0),IF(K14="TG",VLOOKUP(J14,'tải sàn'!$B$5:$L$51,8,0),0)))+(IF(M14="HT",VLOOKUP(L14,'tải sàn'!$B$5:$L$51,10,0),IF(M14="TG",VLOOKUP(L14,'tải sàn'!$B$5:$L$51,8,0),0)))</f>
        <v>0.18651780468750004</v>
      </c>
      <c r="R14" s="269">
        <f t="shared" si="4"/>
        <v>0.55955341406250014</v>
      </c>
    </row>
    <row r="15" spans="2:20" ht="15.5">
      <c r="B15" s="263">
        <v>10</v>
      </c>
      <c r="C15" s="273">
        <v>3</v>
      </c>
      <c r="D15" s="259">
        <f>TH!$B$53/10</f>
        <v>20</v>
      </c>
      <c r="E15" s="259">
        <f>TH!$B$50/10</f>
        <v>40</v>
      </c>
      <c r="F15" s="264">
        <f t="shared" si="0"/>
        <v>220</v>
      </c>
      <c r="G15" s="259">
        <v>200</v>
      </c>
      <c r="H15" s="260">
        <f>TH!$B$18</f>
        <v>3.6</v>
      </c>
      <c r="I15" s="265">
        <f t="shared" si="1"/>
        <v>1306.8000000000002</v>
      </c>
      <c r="J15" s="266" t="s">
        <v>101</v>
      </c>
      <c r="K15" s="267" t="s">
        <v>568</v>
      </c>
      <c r="L15" s="266"/>
      <c r="M15" s="267"/>
      <c r="N15" s="268">
        <f>(IF(K15="HT",VLOOKUP(J15,'tải sàn'!$B$5:$L$51,11,0),IF(K15="TG",VLOOKUP(J15,'tải sàn'!$B$5:$L$51,9,0),0)))+(IF(M15="HT",VLOOKUP(L15,'tải sàn'!$B$5:$L$51,11,0),IF(M15="TG",VLOOKUP(L15,'tải sàn'!$B$5:$L$51,9,0),0)))</f>
        <v>0.44999999999999996</v>
      </c>
      <c r="O15" s="268">
        <f t="shared" si="2"/>
        <v>1527.2500000000002</v>
      </c>
      <c r="P15" s="269">
        <f t="shared" si="3"/>
        <v>2290.8750000000005</v>
      </c>
      <c r="Q15" s="268">
        <f>(IF(K15="HT",VLOOKUP(J15,'tải sàn'!$B$5:$L$51,10,0),IF(K15="TG",VLOOKUP(J15,'tải sàn'!$B$5:$L$51,8,0),0)))+(IF(M15="HT",VLOOKUP(L15,'tải sàn'!$B$5:$L$51,10,0),IF(M15="TG",VLOOKUP(L15,'tải sàn'!$B$5:$L$51,8,0),0)))</f>
        <v>0.33750000000000002</v>
      </c>
      <c r="R15" s="269">
        <f t="shared" si="4"/>
        <v>0.50625000000000009</v>
      </c>
    </row>
    <row r="16" spans="2:20" ht="15.5">
      <c r="B16" s="272">
        <v>11</v>
      </c>
      <c r="C16" s="273">
        <v>3</v>
      </c>
      <c r="D16" s="259">
        <f>TH!$B$53/10</f>
        <v>20</v>
      </c>
      <c r="E16" s="259">
        <f>TH!$B$50/10</f>
        <v>40</v>
      </c>
      <c r="F16" s="264">
        <f t="shared" si="0"/>
        <v>220</v>
      </c>
      <c r="G16" s="259">
        <v>100</v>
      </c>
      <c r="H16" s="260">
        <f>TH!$B$18</f>
        <v>3.6</v>
      </c>
      <c r="I16" s="265">
        <f t="shared" si="1"/>
        <v>712.80000000000007</v>
      </c>
      <c r="J16" s="266" t="s">
        <v>101</v>
      </c>
      <c r="K16" s="267" t="s">
        <v>568</v>
      </c>
      <c r="L16" s="266" t="s">
        <v>105</v>
      </c>
      <c r="M16" s="267" t="s">
        <v>569</v>
      </c>
      <c r="N16" s="268">
        <f>(IF(K16="HT",VLOOKUP(J16,'tải sàn'!$B$5:$L$51,11,0),IF(K16="TG",VLOOKUP(J16,'tải sàn'!$B$5:$L$51,9,0),0)))+(IF(M16="HT",VLOOKUP(L16,'tải sàn'!$B$5:$L$51,11,0),IF(M16="TG",VLOOKUP(L16,'tải sàn'!$B$5:$L$51,9,0),0)))</f>
        <v>0.84111111111111114</v>
      </c>
      <c r="O16" s="268">
        <f t="shared" si="2"/>
        <v>933.64111111111117</v>
      </c>
      <c r="P16" s="269">
        <f t="shared" si="3"/>
        <v>1400.4616666666668</v>
      </c>
      <c r="Q16" s="268">
        <f>(IF(K16="HT",VLOOKUP(J16,'tải sàn'!$B$5:$L$51,10,0),IF(K16="TG",VLOOKUP(J16,'tải sàn'!$B$5:$L$51,8,0),0)))+(IF(M16="HT",VLOOKUP(L16,'tải sàn'!$B$5:$L$51,10,0),IF(M16="TG",VLOOKUP(L16,'tải sàn'!$B$5:$L$51,8,0),0)))</f>
        <v>0.7286111111111111</v>
      </c>
      <c r="R16" s="269">
        <f t="shared" si="4"/>
        <v>1.0929166666666665</v>
      </c>
    </row>
    <row r="17" spans="2:18" ht="15.5">
      <c r="B17" s="263">
        <v>12</v>
      </c>
      <c r="C17" s="273">
        <v>3</v>
      </c>
      <c r="D17" s="259">
        <f>TH!$B$53/10</f>
        <v>20</v>
      </c>
      <c r="E17" s="259">
        <f>TH!$B$50/10</f>
        <v>40</v>
      </c>
      <c r="F17" s="264">
        <f t="shared" si="0"/>
        <v>220</v>
      </c>
      <c r="G17" s="259">
        <v>100</v>
      </c>
      <c r="H17" s="260">
        <f>TH!$B$18</f>
        <v>3.6</v>
      </c>
      <c r="I17" s="265">
        <f t="shared" si="1"/>
        <v>712.80000000000007</v>
      </c>
      <c r="J17" s="266" t="s">
        <v>105</v>
      </c>
      <c r="K17" s="267" t="s">
        <v>569</v>
      </c>
      <c r="L17" s="266" t="s">
        <v>101</v>
      </c>
      <c r="M17" s="267" t="s">
        <v>568</v>
      </c>
      <c r="N17" s="268">
        <f>(IF(K17="HT",VLOOKUP(J17,'tải sàn'!$B$5:$L$51,11,0),IF(K17="TG",VLOOKUP(J17,'tải sàn'!$B$5:$L$51,9,0),0)))+(IF(M17="HT",VLOOKUP(L17,'tải sàn'!$B$5:$L$51,11,0),IF(M17="TG",VLOOKUP(L17,'tải sàn'!$B$5:$L$51,9,0),0)))</f>
        <v>0.84111111111111114</v>
      </c>
      <c r="O17" s="268">
        <f t="shared" si="2"/>
        <v>933.64111111111117</v>
      </c>
      <c r="P17" s="269">
        <f t="shared" si="3"/>
        <v>1400.4616666666668</v>
      </c>
      <c r="Q17" s="268">
        <f>(IF(K17="HT",VLOOKUP(J17,'tải sàn'!$B$5:$L$51,10,0),IF(K17="TG",VLOOKUP(J17,'tải sàn'!$B$5:$L$51,8,0),0)))+(IF(M17="HT",VLOOKUP(L17,'tải sàn'!$B$5:$L$51,10,0),IF(M17="TG",VLOOKUP(L17,'tải sàn'!$B$5:$L$51,8,0),0)))</f>
        <v>0.7286111111111111</v>
      </c>
      <c r="R17" s="269">
        <f t="shared" si="4"/>
        <v>1.0929166666666665</v>
      </c>
    </row>
    <row r="18" spans="2:18" ht="15.5">
      <c r="B18" s="272">
        <v>13</v>
      </c>
      <c r="C18" s="273">
        <v>3</v>
      </c>
      <c r="D18" s="259">
        <f>TH!$B$53/10</f>
        <v>20</v>
      </c>
      <c r="E18" s="259">
        <f>TH!$B$50/10</f>
        <v>40</v>
      </c>
      <c r="F18" s="264">
        <f t="shared" si="0"/>
        <v>220</v>
      </c>
      <c r="G18" s="259">
        <v>200</v>
      </c>
      <c r="H18" s="260">
        <f>TH!$B$18</f>
        <v>3.6</v>
      </c>
      <c r="I18" s="265">
        <f>IF(G18=100,180*1.1*H18,IF(G18=200,330*1.1*H18,0))</f>
        <v>1306.8000000000002</v>
      </c>
      <c r="J18" s="266" t="s">
        <v>101</v>
      </c>
      <c r="K18" s="267" t="s">
        <v>568</v>
      </c>
      <c r="L18" s="266"/>
      <c r="M18" s="267"/>
      <c r="N18" s="268">
        <f>(IF(K18="HT",VLOOKUP(J18,'tải sàn'!$B$5:$L$51,11,0),IF(K18="TG",VLOOKUP(J18,'tải sàn'!$B$5:$L$51,9,0),0)))+(IF(M18="HT",VLOOKUP(L18,'tải sàn'!$B$5:$L$51,11,0),IF(M18="TG",VLOOKUP(L18,'tải sàn'!$B$5:$L$51,9,0),0)))</f>
        <v>0.44999999999999996</v>
      </c>
      <c r="O18" s="268">
        <f t="shared" si="2"/>
        <v>1527.2500000000002</v>
      </c>
      <c r="P18" s="269">
        <f>O18*C18/2</f>
        <v>2290.8750000000005</v>
      </c>
      <c r="Q18" s="268">
        <f>(IF(K18="HT",VLOOKUP(J18,'tải sàn'!$B$5:$L$51,10,0),IF(K18="TG",VLOOKUP(J18,'tải sàn'!$B$5:$L$51,8,0),0)))+(IF(M18="HT",VLOOKUP(L18,'tải sàn'!$B$5:$L$51,10,0),IF(M18="TG",VLOOKUP(L18,'tải sàn'!$B$5:$L$51,8,0),0)))</f>
        <v>0.33750000000000002</v>
      </c>
      <c r="R18" s="269">
        <f t="shared" si="4"/>
        <v>0.50625000000000009</v>
      </c>
    </row>
  </sheetData>
  <mergeCells count="9">
    <mergeCell ref="B2:R2"/>
    <mergeCell ref="B3:B5"/>
    <mergeCell ref="C3:C4"/>
    <mergeCell ref="D3:E4"/>
    <mergeCell ref="F3:F4"/>
    <mergeCell ref="G3:I4"/>
    <mergeCell ref="J3:M5"/>
    <mergeCell ref="N3:P3"/>
    <mergeCell ref="Q3:R3"/>
  </mergeCells>
  <phoneticPr fontId="47"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62BB-D406-4C54-8BEF-7C266B2BB678}">
  <sheetPr codeName="Sheet30"/>
  <dimension ref="A1:X12"/>
  <sheetViews>
    <sheetView zoomScale="85" zoomScaleNormal="85" workbookViewId="0">
      <selection activeCell="C13" sqref="C13"/>
    </sheetView>
  </sheetViews>
  <sheetFormatPr defaultColWidth="8.83203125" defaultRowHeight="14"/>
  <sheetData>
    <row r="1" spans="1:24" ht="14.5" thickBot="1">
      <c r="A1" s="277"/>
      <c r="B1" s="277"/>
      <c r="C1" s="277"/>
      <c r="D1" s="277"/>
      <c r="E1" s="277"/>
      <c r="F1" s="277"/>
      <c r="G1" s="277"/>
      <c r="H1" s="277"/>
      <c r="I1" s="277"/>
      <c r="J1" s="277"/>
      <c r="K1" s="277"/>
      <c r="L1" s="277"/>
      <c r="M1" s="277"/>
      <c r="N1" s="277"/>
      <c r="O1" s="277"/>
      <c r="P1" s="277"/>
      <c r="Q1" s="277"/>
      <c r="R1" s="277"/>
      <c r="S1" s="277"/>
      <c r="T1" s="277"/>
      <c r="U1" s="277"/>
      <c r="V1" s="277"/>
      <c r="W1" s="277"/>
      <c r="X1" s="277"/>
    </row>
    <row r="2" spans="1:24" ht="18" thickBot="1">
      <c r="A2" s="1212" t="s">
        <v>571</v>
      </c>
      <c r="B2" s="1213"/>
      <c r="C2" s="1213"/>
      <c r="D2" s="1213"/>
      <c r="E2" s="1213"/>
      <c r="F2" s="1213"/>
      <c r="G2" s="1213"/>
      <c r="H2" s="1213"/>
      <c r="I2" s="1213"/>
      <c r="J2" s="1213"/>
      <c r="K2" s="1213"/>
      <c r="L2" s="1213"/>
      <c r="M2" s="1213"/>
      <c r="N2" s="1213"/>
      <c r="O2" s="1213"/>
      <c r="P2" s="1213"/>
      <c r="Q2" s="1213"/>
      <c r="R2" s="1213"/>
      <c r="S2" s="1213"/>
      <c r="T2" s="1213"/>
      <c r="U2" s="1213"/>
      <c r="V2" s="1213"/>
      <c r="W2" s="1213"/>
      <c r="X2" s="1214"/>
    </row>
    <row r="3" spans="1:24" ht="15">
      <c r="A3" s="1215" t="s">
        <v>551</v>
      </c>
      <c r="B3" s="1208" t="s">
        <v>572</v>
      </c>
      <c r="C3" s="1210"/>
      <c r="D3" s="1224" t="s">
        <v>573</v>
      </c>
      <c r="E3" s="1221"/>
      <c r="F3" s="1218" t="s">
        <v>554</v>
      </c>
      <c r="G3" s="1208" t="s">
        <v>555</v>
      </c>
      <c r="H3" s="1209"/>
      <c r="I3" s="1210"/>
      <c r="J3" s="1218" t="s">
        <v>574</v>
      </c>
      <c r="K3" s="1208" t="s">
        <v>556</v>
      </c>
      <c r="L3" s="1209"/>
      <c r="M3" s="1209"/>
      <c r="N3" s="1210"/>
      <c r="O3" s="1224" t="s">
        <v>575</v>
      </c>
      <c r="P3" s="1220"/>
      <c r="Q3" s="1220"/>
      <c r="R3" s="1220"/>
      <c r="S3" s="1220"/>
      <c r="T3" s="1221"/>
      <c r="U3" s="1219" t="s">
        <v>576</v>
      </c>
      <c r="V3" s="1219"/>
      <c r="W3" s="1219"/>
      <c r="X3" s="1219"/>
    </row>
    <row r="4" spans="1:24" ht="33">
      <c r="A4" s="1216"/>
      <c r="B4" s="1222" t="s">
        <v>577</v>
      </c>
      <c r="C4" s="1222" t="s">
        <v>578</v>
      </c>
      <c r="D4" s="1225" t="s">
        <v>579</v>
      </c>
      <c r="E4" s="1222" t="s">
        <v>580</v>
      </c>
      <c r="F4" s="1219"/>
      <c r="G4" s="1211" t="s">
        <v>581</v>
      </c>
      <c r="H4" s="1211" t="s">
        <v>582</v>
      </c>
      <c r="I4" s="1211" t="s">
        <v>583</v>
      </c>
      <c r="J4" s="1218"/>
      <c r="K4" s="1208"/>
      <c r="L4" s="1209"/>
      <c r="M4" s="1209"/>
      <c r="N4" s="1210"/>
      <c r="O4" s="281" t="s">
        <v>584</v>
      </c>
      <c r="P4" s="281" t="s">
        <v>585</v>
      </c>
      <c r="Q4" s="1227" t="s">
        <v>586</v>
      </c>
      <c r="R4" s="278" t="s">
        <v>587</v>
      </c>
      <c r="S4" s="278" t="s">
        <v>588</v>
      </c>
      <c r="T4" s="278" t="s">
        <v>589</v>
      </c>
      <c r="U4" s="281" t="s">
        <v>585</v>
      </c>
      <c r="V4" s="278" t="s">
        <v>587</v>
      </c>
      <c r="W4" s="278" t="s">
        <v>588</v>
      </c>
      <c r="X4" s="278" t="s">
        <v>589</v>
      </c>
    </row>
    <row r="5" spans="1:24" ht="15.5">
      <c r="A5" s="1217"/>
      <c r="B5" s="1223"/>
      <c r="C5" s="1223"/>
      <c r="D5" s="1226"/>
      <c r="E5" s="1223"/>
      <c r="F5" s="279" t="s">
        <v>564</v>
      </c>
      <c r="G5" s="1211"/>
      <c r="H5" s="1211"/>
      <c r="I5" s="1211"/>
      <c r="J5" s="1219"/>
      <c r="K5" s="1208"/>
      <c r="L5" s="1209"/>
      <c r="M5" s="1220"/>
      <c r="N5" s="1221"/>
      <c r="O5" s="279" t="s">
        <v>564</v>
      </c>
      <c r="P5" s="284" t="s">
        <v>508</v>
      </c>
      <c r="Q5" s="1219"/>
      <c r="R5" s="279" t="s">
        <v>567</v>
      </c>
      <c r="S5" s="279" t="s">
        <v>567</v>
      </c>
      <c r="T5" s="279" t="s">
        <v>567</v>
      </c>
      <c r="U5" s="279" t="s">
        <v>508</v>
      </c>
      <c r="V5" s="279" t="s">
        <v>567</v>
      </c>
      <c r="W5" s="279" t="s">
        <v>567</v>
      </c>
      <c r="X5" s="279" t="s">
        <v>567</v>
      </c>
    </row>
    <row r="6" spans="1:24" ht="15.5">
      <c r="A6" s="1196"/>
      <c r="B6" s="1198">
        <v>2.7</v>
      </c>
      <c r="C6" s="1198">
        <v>2.8</v>
      </c>
      <c r="D6" s="1196">
        <f>TH!$B$53/10</f>
        <v>20</v>
      </c>
      <c r="E6" s="1196">
        <f>TH!$B$50/10</f>
        <v>40</v>
      </c>
      <c r="F6" s="1202">
        <f>1.1*D6*E6*2500/10000</f>
        <v>220</v>
      </c>
      <c r="G6" s="282">
        <v>200</v>
      </c>
      <c r="H6" s="282">
        <f>TH!$B$18</f>
        <v>3.6</v>
      </c>
      <c r="I6" s="283">
        <f>IF(G6=100,180*1.1*H6,IF(G6=200,330*1.1*H6,0))</f>
        <v>1306.8000000000002</v>
      </c>
      <c r="J6" s="282" t="s">
        <v>507</v>
      </c>
      <c r="K6" s="285" t="s">
        <v>110</v>
      </c>
      <c r="L6" s="286" t="s">
        <v>569</v>
      </c>
      <c r="M6" s="285" t="s">
        <v>102</v>
      </c>
      <c r="N6" s="286" t="s">
        <v>569</v>
      </c>
      <c r="O6" s="280">
        <f>(IF(L6="HT",VLOOKUP(K6,'tải sàn'!$B$5:$L$51,11,0),IF(L6="TG",VLOOKUP(K6,'tải sàn'!$B$5:$L$51,9,0),0)))+(IF(N6="HT",VLOOKUP(M6,'tải sàn'!$B$5:$L$51,11,0),IF(N6="TG",VLOOKUP(M6,'tải sàn'!$B$5:$L$51,9,0),0)))</f>
        <v>1.3287173152010072</v>
      </c>
      <c r="P6" s="287">
        <f>F6+I6+O6</f>
        <v>1528.1287173152011</v>
      </c>
      <c r="Q6" s="1204">
        <v>8</v>
      </c>
      <c r="R6" s="1206">
        <f>VLOOKUP(Q6,'dam loai 1 T2'!$B$6:$R$30,15,0)</f>
        <v>2801.5457595729167</v>
      </c>
      <c r="S6" s="1200">
        <f>((P6*B6*(C6+(B6/2))/(B6+C6))+(P7*C6*(C6/2))/(B6+C6))+(R6*C6/(B6+C6))</f>
        <v>5941.9298172735798</v>
      </c>
      <c r="T6" s="1200">
        <f>((P6*B6*(B6/2))/(B6+C6))+(P7*C6*(B6+(C6/2))/(B6+C6))+(R6*B6/(B6+C6))</f>
        <v>6495.2803295387339</v>
      </c>
      <c r="U6" s="280">
        <f>(IF(L6="HT",VLOOKUP(K6,'tải sàn'!$B$5:$L$51,10,0),IF(L6="TG",VLOOKUP(K6,'tải sàn'!$B$5:$L$51,8,0),0)))+(IF(N6="HT",VLOOKUP(M6,'tải sàn'!$B$5:$L$51,10,0),IF(N6="TG",VLOOKUP(M6,'tải sàn'!$B$5:$L$51,8,0),0)))</f>
        <v>0.93690664653083444</v>
      </c>
      <c r="V6" s="1206">
        <f>VLOOKUP(Q6,'dam loai 1 T2'!$B$6:$R$30,17,0)</f>
        <v>1.9262200807291667</v>
      </c>
      <c r="W6" s="1200">
        <f>((U6*B6*(C6+(B6/2))/(B6+C6))+(U7*C6*(C6/2))/(B6+C6))+(V6*C6/(B6+C6))</f>
        <v>3.2914814659871015</v>
      </c>
      <c r="X6" s="1200">
        <f>((U6*B6*(B6/2))/(B6+C6))+(U7*C6*(B6+(C6/2))/(B6+C6))+(V6*B6/(B6+C6))</f>
        <v>2.7441671764534545</v>
      </c>
    </row>
    <row r="7" spans="1:24" ht="15.5">
      <c r="A7" s="1197"/>
      <c r="B7" s="1199">
        <v>2.7</v>
      </c>
      <c r="C7" s="1199">
        <v>7</v>
      </c>
      <c r="D7" s="1197">
        <v>20</v>
      </c>
      <c r="E7" s="1197">
        <v>120</v>
      </c>
      <c r="F7" s="1203">
        <v>660</v>
      </c>
      <c r="G7" s="282">
        <v>200</v>
      </c>
      <c r="H7" s="282">
        <f>TH!$B$18</f>
        <v>3.6</v>
      </c>
      <c r="I7" s="283">
        <f>IF(G7=100,180*1.1*H7,IF(G7=200,330*1.1*H7,0))</f>
        <v>1306.8000000000002</v>
      </c>
      <c r="J7" s="282" t="s">
        <v>508</v>
      </c>
      <c r="K7" s="285"/>
      <c r="L7" s="286"/>
      <c r="M7" s="285" t="s">
        <v>102</v>
      </c>
      <c r="N7" s="286" t="s">
        <v>569</v>
      </c>
      <c r="O7" s="280">
        <f>(IF(L7="HT",VLOOKUP(K7,'tải sàn'!$B$5:$L$51,11,0),IF(L7="TG",VLOOKUP(K7,'tải sàn'!$B$5:$L$51,9,0),0)))+(IF(N7="HT",VLOOKUP(M7,'tải sàn'!$B$5:$L$51,11,0),IF(N7="TG",VLOOKUP(M7,'tải sàn'!$B$5:$L$51,9,0),0)))</f>
        <v>0.95601803155522158</v>
      </c>
      <c r="P7" s="287">
        <f>F7+I7+O7</f>
        <v>1967.7560180315554</v>
      </c>
      <c r="Q7" s="1205"/>
      <c r="R7" s="1207"/>
      <c r="S7" s="1201"/>
      <c r="T7" s="1201"/>
      <c r="U7" s="280">
        <f>(IF(L7="HT",VLOOKUP(K7,'tải sàn'!$B$5:$L$51,10,0),IF(L7="TG",VLOOKUP(K7,'tải sàn'!$B$5:$L$51,8,0),0)))+(IF(N7="HT",VLOOKUP(M7,'tải sàn'!$B$5:$L$51,10,0),IF(N7="TG",VLOOKUP(M7,'tải sàn'!$B$5:$L$51,8,0),0)))</f>
        <v>0.5642073628850488</v>
      </c>
      <c r="V7" s="1207"/>
      <c r="W7" s="1201"/>
      <c r="X7" s="1201"/>
    </row>
    <row r="8" spans="1:24" ht="15.5">
      <c r="A8" s="1196"/>
      <c r="B8" s="1198">
        <v>2.7</v>
      </c>
      <c r="C8" s="1198">
        <v>2.8</v>
      </c>
      <c r="D8" s="1196">
        <f>TH!$B$53/10</f>
        <v>20</v>
      </c>
      <c r="E8" s="1196">
        <f>TH!$B$50/10</f>
        <v>40</v>
      </c>
      <c r="F8" s="1202">
        <v>220</v>
      </c>
      <c r="G8" s="282">
        <v>200</v>
      </c>
      <c r="H8" s="282">
        <f>TH!$B$18</f>
        <v>3.6</v>
      </c>
      <c r="I8" s="283">
        <f>IF(G8=100,180*1.1*H8,IF(G8=200,330*1.1*H8,0))</f>
        <v>1306.8000000000002</v>
      </c>
      <c r="J8" s="282" t="s">
        <v>507</v>
      </c>
      <c r="K8" s="285" t="s">
        <v>110</v>
      </c>
      <c r="L8" s="286" t="s">
        <v>569</v>
      </c>
      <c r="M8" s="285" t="s">
        <v>102</v>
      </c>
      <c r="N8" s="286" t="s">
        <v>569</v>
      </c>
      <c r="O8" s="280">
        <f>(IF(L8="HT",VLOOKUP(K8,'tải sàn'!$B$5:$L$51,11,0),IF(L8="TG",VLOOKUP(K8,'tải sàn'!$B$5:$L$51,9,0),0)))+(IF(N8="HT",VLOOKUP(M8,'tải sàn'!$B$5:$L$51,11,0),IF(N8="TG",VLOOKUP(M8,'tải sàn'!$B$5:$L$51,9,0),0)))</f>
        <v>1.3287173152010072</v>
      </c>
      <c r="P8" s="287">
        <f>F8+I8+O8</f>
        <v>1528.1287173152011</v>
      </c>
      <c r="Q8" s="1204">
        <v>9</v>
      </c>
      <c r="R8" s="1206">
        <f>VLOOKUP(Q8,'dam loai 1 T2'!$B$6:$R$30,15,0)</f>
        <v>4582.1790929062508</v>
      </c>
      <c r="S8" s="1200">
        <f>((P8*B8*(C8+(B8/2))/(B8+C8))+(P9*C8*(C8/2))/(B8+C8))+(R8*C8/(B8+C8))</f>
        <v>6534.8340596978232</v>
      </c>
      <c r="T8" s="1200">
        <f>((P8*B8*(B8/2))/(B8+C8))+(P9*C8*(B8+(C8/2))/(B8+C8))+(R8*B8/(B8+C8))</f>
        <v>6451.0094204478246</v>
      </c>
      <c r="U8" s="280">
        <f>(IF(L8="HT",VLOOKUP(K8,'tải sàn'!$B$5:$L$51,10,0),IF(L8="TG",VLOOKUP(K8,'tải sàn'!$B$5:$L$51,8,0),0)))+(IF(N8="HT",VLOOKUP(M8,'tải sàn'!$B$5:$L$51,10,0),IF(N8="TG",VLOOKUP(M8,'tải sàn'!$B$5:$L$51,8,0),0)))</f>
        <v>0.93690664653083444</v>
      </c>
      <c r="V8" s="1206">
        <f>VLOOKUP(Q8,'dam loai 1 T2'!$B$6:$R$30,17,0)</f>
        <v>0.55955341406250014</v>
      </c>
      <c r="W8" s="1200">
        <f>((U8*B8*(C8+(B8/2))/(B8+C8))+(U9*C8*(C8/2))/(B8+C8))+(V8*C8/(B8+C8))</f>
        <v>2.5957238902295257</v>
      </c>
      <c r="X8" s="1200">
        <f>((U8*B8*(B8/2))/(B8+C8))+(U9*C8*(B8+(C8/2))/(B8+C8))+(V8*B8/(B8+C8))</f>
        <v>2.0732580855443636</v>
      </c>
    </row>
    <row r="9" spans="1:24" ht="15.5">
      <c r="A9" s="1197"/>
      <c r="B9" s="1199">
        <v>2.7</v>
      </c>
      <c r="C9" s="1199">
        <v>7</v>
      </c>
      <c r="D9" s="1197">
        <v>20</v>
      </c>
      <c r="E9" s="1197">
        <v>120</v>
      </c>
      <c r="F9" s="1203">
        <v>220</v>
      </c>
      <c r="G9" s="282">
        <v>200</v>
      </c>
      <c r="H9" s="282">
        <f>TH!$B$18</f>
        <v>3.6</v>
      </c>
      <c r="I9" s="283">
        <f>IF(G9=100,180*1.1*H9,IF(G9=200,330*1.1*H9,0))</f>
        <v>1306.8000000000002</v>
      </c>
      <c r="J9" s="282" t="s">
        <v>508</v>
      </c>
      <c r="K9" s="285"/>
      <c r="L9" s="286"/>
      <c r="M9" s="285" t="s">
        <v>102</v>
      </c>
      <c r="N9" s="286" t="s">
        <v>569</v>
      </c>
      <c r="O9" s="280">
        <f>(IF(L9="HT",VLOOKUP(K9,'tải sàn'!$B$5:$L$51,11,0),IF(L9="TG",VLOOKUP(K9,'tải sàn'!$B$5:$L$51,9,0),0)))+(IF(N9="HT",VLOOKUP(M9,'tải sàn'!$B$5:$L$51,11,0),IF(N9="TG",VLOOKUP(M9,'tải sàn'!$B$5:$L$51,9,0),0)))</f>
        <v>0.95601803155522158</v>
      </c>
      <c r="P9" s="287">
        <f>F9+I9+O9</f>
        <v>1527.7560180315554</v>
      </c>
      <c r="Q9" s="1205"/>
      <c r="R9" s="1207"/>
      <c r="S9" s="1201"/>
      <c r="T9" s="1201"/>
      <c r="U9" s="280">
        <f>(IF(L9="HT",VLOOKUP(K9,'tải sàn'!$B$5:$L$51,10,0),IF(L9="TG",VLOOKUP(K9,'tải sàn'!$B$5:$L$51,8,0),0)))+(IF(N9="HT",VLOOKUP(M9,'tải sàn'!$B$5:$L$51,10,0),IF(N9="TG",VLOOKUP(M9,'tải sàn'!$B$5:$L$51,8,0),0)))</f>
        <v>0.5642073628850488</v>
      </c>
      <c r="V9" s="1207"/>
      <c r="W9" s="1201"/>
      <c r="X9" s="1201"/>
    </row>
    <row r="12" spans="1:24" ht="15.5">
      <c r="D12" s="259"/>
      <c r="E12" s="259"/>
    </row>
  </sheetData>
  <mergeCells count="44">
    <mergeCell ref="T8:T9"/>
    <mergeCell ref="Q8:Q9"/>
    <mergeCell ref="R8:R9"/>
    <mergeCell ref="U3:X3"/>
    <mergeCell ref="J3:J5"/>
    <mergeCell ref="O3:T3"/>
    <mergeCell ref="Q4:Q5"/>
    <mergeCell ref="W6:W7"/>
    <mergeCell ref="X6:X7"/>
    <mergeCell ref="S8:S9"/>
    <mergeCell ref="T6:T7"/>
    <mergeCell ref="V6:V7"/>
    <mergeCell ref="A2:X2"/>
    <mergeCell ref="W8:W9"/>
    <mergeCell ref="X8:X9"/>
    <mergeCell ref="V8:V9"/>
    <mergeCell ref="A3:A5"/>
    <mergeCell ref="F3:F4"/>
    <mergeCell ref="K3:N5"/>
    <mergeCell ref="A8:A9"/>
    <mergeCell ref="B8:B9"/>
    <mergeCell ref="C8:C9"/>
    <mergeCell ref="B3:C3"/>
    <mergeCell ref="B4:B5"/>
    <mergeCell ref="C4:C5"/>
    <mergeCell ref="D3:E3"/>
    <mergeCell ref="D4:D5"/>
    <mergeCell ref="E4:E5"/>
    <mergeCell ref="G3:I3"/>
    <mergeCell ref="G4:G5"/>
    <mergeCell ref="H4:H5"/>
    <mergeCell ref="I4:I5"/>
    <mergeCell ref="D8:D9"/>
    <mergeCell ref="E8:E9"/>
    <mergeCell ref="F8:F9"/>
    <mergeCell ref="A6:A7"/>
    <mergeCell ref="B6:B7"/>
    <mergeCell ref="C6:C7"/>
    <mergeCell ref="D6:D7"/>
    <mergeCell ref="S6:S7"/>
    <mergeCell ref="E6:E7"/>
    <mergeCell ref="F6:F7"/>
    <mergeCell ref="Q6:Q7"/>
    <mergeCell ref="R6:R7"/>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C8EE8-9E0C-4F76-BBC7-8CC74B5F20D6}">
  <sheetPr codeName="Sheet31"/>
  <dimension ref="A1:X19"/>
  <sheetViews>
    <sheetView workbookViewId="0">
      <selection activeCell="L20" sqref="L20"/>
    </sheetView>
  </sheetViews>
  <sheetFormatPr defaultColWidth="8.83203125" defaultRowHeight="14"/>
  <sheetData>
    <row r="1" spans="1:24" ht="18" thickBot="1">
      <c r="A1" s="1212" t="s">
        <v>607</v>
      </c>
      <c r="B1" s="1213"/>
      <c r="C1" s="1213"/>
      <c r="D1" s="1213"/>
      <c r="E1" s="1213"/>
      <c r="F1" s="1213"/>
      <c r="G1" s="1213"/>
      <c r="H1" s="1213"/>
      <c r="I1" s="1213"/>
      <c r="J1" s="1213"/>
      <c r="K1" s="1213"/>
      <c r="L1" s="1213"/>
      <c r="M1" s="1213"/>
      <c r="N1" s="1213"/>
      <c r="O1" s="1213"/>
      <c r="P1" s="1213"/>
      <c r="Q1" s="1213"/>
      <c r="R1" s="1213"/>
      <c r="S1" s="1213"/>
      <c r="T1" s="1213"/>
      <c r="U1" s="1213"/>
      <c r="V1" s="1213"/>
      <c r="W1" s="1213"/>
      <c r="X1" s="1214"/>
    </row>
    <row r="2" spans="1:24" ht="15">
      <c r="A2" s="1215" t="s">
        <v>551</v>
      </c>
      <c r="B2" s="1208" t="s">
        <v>572</v>
      </c>
      <c r="C2" s="1210"/>
      <c r="D2" s="1224" t="s">
        <v>573</v>
      </c>
      <c r="E2" s="1221"/>
      <c r="F2" s="1232" t="s">
        <v>554</v>
      </c>
      <c r="G2" s="1208" t="s">
        <v>555</v>
      </c>
      <c r="H2" s="1209"/>
      <c r="I2" s="1210"/>
      <c r="J2" s="1218" t="s">
        <v>574</v>
      </c>
      <c r="K2" s="1208" t="s">
        <v>556</v>
      </c>
      <c r="L2" s="1209"/>
      <c r="M2" s="1209"/>
      <c r="N2" s="1210"/>
      <c r="O2" s="1224" t="s">
        <v>575</v>
      </c>
      <c r="P2" s="1220"/>
      <c r="Q2" s="1220"/>
      <c r="R2" s="1220"/>
      <c r="S2" s="1220"/>
      <c r="T2" s="1221"/>
      <c r="U2" s="1219" t="s">
        <v>576</v>
      </c>
      <c r="V2" s="1219"/>
      <c r="W2" s="1219"/>
      <c r="X2" s="1219"/>
    </row>
    <row r="3" spans="1:24">
      <c r="A3" s="1216"/>
      <c r="B3" s="1222" t="s">
        <v>577</v>
      </c>
      <c r="C3" s="1222" t="s">
        <v>578</v>
      </c>
      <c r="D3" s="1225" t="s">
        <v>579</v>
      </c>
      <c r="E3" s="1222" t="s">
        <v>580</v>
      </c>
      <c r="F3" s="1218"/>
      <c r="G3" s="1211" t="s">
        <v>581</v>
      </c>
      <c r="H3" s="1211" t="s">
        <v>582</v>
      </c>
      <c r="I3" s="1211" t="s">
        <v>583</v>
      </c>
      <c r="J3" s="1218"/>
      <c r="K3" s="1208"/>
      <c r="L3" s="1209"/>
      <c r="M3" s="1209"/>
      <c r="N3" s="1210"/>
      <c r="O3" s="1227" t="s">
        <v>584</v>
      </c>
      <c r="P3" s="1227" t="s">
        <v>585</v>
      </c>
      <c r="Q3" s="1227" t="s">
        <v>608</v>
      </c>
      <c r="R3" s="1227" t="s">
        <v>587</v>
      </c>
      <c r="S3" s="1227" t="s">
        <v>588</v>
      </c>
      <c r="T3" s="1227" t="s">
        <v>589</v>
      </c>
      <c r="U3" s="1227" t="s">
        <v>585</v>
      </c>
      <c r="V3" s="1227" t="s">
        <v>587</v>
      </c>
      <c r="W3" s="1227" t="s">
        <v>588</v>
      </c>
      <c r="X3" s="1227" t="s">
        <v>589</v>
      </c>
    </row>
    <row r="4" spans="1:24">
      <c r="A4" s="1216"/>
      <c r="B4" s="1231"/>
      <c r="C4" s="1231"/>
      <c r="D4" s="1230"/>
      <c r="E4" s="1231"/>
      <c r="F4" s="1219"/>
      <c r="G4" s="1211"/>
      <c r="H4" s="1211"/>
      <c r="I4" s="1211"/>
      <c r="J4" s="1218"/>
      <c r="K4" s="1208"/>
      <c r="L4" s="1209"/>
      <c r="M4" s="1209"/>
      <c r="N4" s="1210"/>
      <c r="O4" s="1219"/>
      <c r="P4" s="1219"/>
      <c r="Q4" s="1218"/>
      <c r="R4" s="1219"/>
      <c r="S4" s="1219"/>
      <c r="T4" s="1219"/>
      <c r="U4" s="1219"/>
      <c r="V4" s="1219"/>
      <c r="W4" s="1219"/>
      <c r="X4" s="1219"/>
    </row>
    <row r="5" spans="1:24" ht="15.5">
      <c r="A5" s="1217"/>
      <c r="B5" s="1223"/>
      <c r="C5" s="1223"/>
      <c r="D5" s="1226"/>
      <c r="E5" s="1223"/>
      <c r="F5" s="308" t="s">
        <v>564</v>
      </c>
      <c r="G5" s="1211"/>
      <c r="H5" s="1211"/>
      <c r="I5" s="1211"/>
      <c r="J5" s="1219"/>
      <c r="K5" s="1208"/>
      <c r="L5" s="1209"/>
      <c r="M5" s="1220"/>
      <c r="N5" s="1221"/>
      <c r="O5" s="308" t="s">
        <v>564</v>
      </c>
      <c r="P5" s="313" t="s">
        <v>508</v>
      </c>
      <c r="Q5" s="1218"/>
      <c r="R5" s="308" t="s">
        <v>567</v>
      </c>
      <c r="S5" s="308" t="s">
        <v>567</v>
      </c>
      <c r="T5" s="308" t="s">
        <v>567</v>
      </c>
      <c r="U5" s="308" t="s">
        <v>508</v>
      </c>
      <c r="V5" s="308" t="s">
        <v>567</v>
      </c>
      <c r="W5" s="308" t="s">
        <v>567</v>
      </c>
      <c r="X5" s="308" t="s">
        <v>567</v>
      </c>
    </row>
    <row r="6" spans="1:24" ht="15.5">
      <c r="A6" s="1196"/>
      <c r="B6" s="1198">
        <v>2.5</v>
      </c>
      <c r="C6" s="1198">
        <v>3.5</v>
      </c>
      <c r="D6" s="1196">
        <v>20</v>
      </c>
      <c r="E6" s="1196">
        <v>60</v>
      </c>
      <c r="F6" s="1202">
        <v>330</v>
      </c>
      <c r="G6" s="311"/>
      <c r="H6" s="311">
        <v>3.2</v>
      </c>
      <c r="I6" s="312">
        <v>0</v>
      </c>
      <c r="J6" s="311" t="s">
        <v>507</v>
      </c>
      <c r="K6" s="314" t="s">
        <v>101</v>
      </c>
      <c r="L6" s="315" t="s">
        <v>569</v>
      </c>
      <c r="M6" s="314" t="s">
        <v>104</v>
      </c>
      <c r="N6" s="315" t="s">
        <v>568</v>
      </c>
      <c r="O6" s="309">
        <v>957.84247685185187</v>
      </c>
      <c r="P6" s="325">
        <v>1287.8424768518519</v>
      </c>
      <c r="Q6" s="321">
        <v>9</v>
      </c>
      <c r="R6" s="1228">
        <v>4981.6097543068154</v>
      </c>
      <c r="S6" s="1200">
        <v>7448.2292980232214</v>
      </c>
      <c r="T6" s="1200">
        <v>7587.6222115273576</v>
      </c>
      <c r="U6" s="309">
        <v>957.88194444444446</v>
      </c>
      <c r="V6" s="1206">
        <v>2012.6040288800707</v>
      </c>
      <c r="W6" s="1200">
        <v>4075.8224022633749</v>
      </c>
      <c r="X6" s="1200">
        <v>3780.6134718547914</v>
      </c>
    </row>
    <row r="7" spans="1:24" ht="15.5">
      <c r="A7" s="1197"/>
      <c r="B7" s="1199">
        <v>2.7</v>
      </c>
      <c r="C7" s="1199">
        <v>7</v>
      </c>
      <c r="D7" s="1197">
        <v>20</v>
      </c>
      <c r="E7" s="1197">
        <v>120</v>
      </c>
      <c r="F7" s="1203">
        <v>660</v>
      </c>
      <c r="G7" s="311">
        <v>100</v>
      </c>
      <c r="H7" s="311">
        <v>3.2</v>
      </c>
      <c r="I7" s="312">
        <v>633.60000000000014</v>
      </c>
      <c r="J7" s="311" t="s">
        <v>508</v>
      </c>
      <c r="K7" s="314" t="s">
        <v>101</v>
      </c>
      <c r="L7" s="315" t="s">
        <v>569</v>
      </c>
      <c r="M7" s="314" t="s">
        <v>106</v>
      </c>
      <c r="N7" s="315" t="s">
        <v>569</v>
      </c>
      <c r="O7" s="309">
        <v>989.15301803260991</v>
      </c>
      <c r="P7" s="325">
        <v>1952.75301803261</v>
      </c>
      <c r="Q7" s="322" t="s">
        <v>609</v>
      </c>
      <c r="R7" s="1229"/>
      <c r="S7" s="1201"/>
      <c r="T7" s="1201"/>
      <c r="U7" s="309">
        <v>985.46485260770976</v>
      </c>
      <c r="V7" s="1207"/>
      <c r="W7" s="1201"/>
      <c r="X7" s="1201"/>
    </row>
    <row r="8" spans="1:24" ht="15.5">
      <c r="A8" s="1196"/>
      <c r="B8" s="1198">
        <v>2.5</v>
      </c>
      <c r="C8" s="1198">
        <v>3.5</v>
      </c>
      <c r="D8" s="1196">
        <v>20</v>
      </c>
      <c r="E8" s="1196">
        <v>60</v>
      </c>
      <c r="F8" s="1202">
        <v>330</v>
      </c>
      <c r="G8" s="311">
        <v>100</v>
      </c>
      <c r="H8" s="311">
        <v>3.2</v>
      </c>
      <c r="I8" s="312">
        <v>633.60000000000014</v>
      </c>
      <c r="J8" s="311" t="s">
        <v>507</v>
      </c>
      <c r="K8" s="314" t="s">
        <v>106</v>
      </c>
      <c r="L8" s="315" t="s">
        <v>568</v>
      </c>
      <c r="M8" s="314" t="s">
        <v>104</v>
      </c>
      <c r="N8" s="315" t="s">
        <v>569</v>
      </c>
      <c r="O8" s="309">
        <v>678.94223679698212</v>
      </c>
      <c r="P8" s="325">
        <v>1642.5422367969823</v>
      </c>
      <c r="Q8" s="321">
        <v>9</v>
      </c>
      <c r="R8" s="1228">
        <v>4752.5294662540946</v>
      </c>
      <c r="S8" s="1200">
        <v>7763.3069849766689</v>
      </c>
      <c r="T8" s="1200">
        <v>7061.7493395593192</v>
      </c>
      <c r="U8" s="309">
        <v>598.11171124828536</v>
      </c>
      <c r="V8" s="1206">
        <v>1947.5928681657847</v>
      </c>
      <c r="W8" s="1200">
        <v>2986.2577964248972</v>
      </c>
      <c r="X8" s="1200">
        <v>2741.4115892305999</v>
      </c>
    </row>
    <row r="9" spans="1:24" ht="15.5">
      <c r="A9" s="1197"/>
      <c r="B9" s="1199">
        <v>2.2999999999999998</v>
      </c>
      <c r="C9" s="1199">
        <v>3</v>
      </c>
      <c r="D9" s="1197">
        <v>20</v>
      </c>
      <c r="E9" s="1197">
        <v>40</v>
      </c>
      <c r="F9" s="1203">
        <v>220</v>
      </c>
      <c r="G9" s="311">
        <v>100</v>
      </c>
      <c r="H9" s="311">
        <v>3.2</v>
      </c>
      <c r="I9" s="312">
        <v>633.60000000000014</v>
      </c>
      <c r="J9" s="311" t="s">
        <v>508</v>
      </c>
      <c r="K9" s="314" t="s">
        <v>105</v>
      </c>
      <c r="L9" s="315" t="s">
        <v>568</v>
      </c>
      <c r="M9" s="314" t="s">
        <v>104</v>
      </c>
      <c r="N9" s="315" t="s">
        <v>569</v>
      </c>
      <c r="O9" s="309">
        <v>741.02036179698212</v>
      </c>
      <c r="P9" s="325">
        <v>1704.6203617969823</v>
      </c>
      <c r="Q9" s="322" t="s">
        <v>598</v>
      </c>
      <c r="R9" s="1229"/>
      <c r="S9" s="1201"/>
      <c r="T9" s="1201"/>
      <c r="U9" s="309">
        <v>652.79921124828536</v>
      </c>
      <c r="V9" s="1207"/>
      <c r="W9" s="1201"/>
      <c r="X9" s="1201"/>
    </row>
    <row r="10" spans="1:24" ht="15.5">
      <c r="A10" s="1196"/>
      <c r="B10" s="1198"/>
      <c r="C10" s="1198"/>
      <c r="D10" s="1196"/>
      <c r="E10" s="1196"/>
      <c r="F10" s="1202">
        <v>0</v>
      </c>
      <c r="G10" s="311"/>
      <c r="H10" s="311"/>
      <c r="I10" s="312">
        <v>0</v>
      </c>
      <c r="J10" s="311"/>
      <c r="K10" s="314"/>
      <c r="L10" s="315"/>
      <c r="M10" s="314"/>
      <c r="N10" s="315"/>
      <c r="O10" s="309">
        <v>0</v>
      </c>
      <c r="P10" s="325">
        <v>0</v>
      </c>
      <c r="Q10" s="321"/>
      <c r="R10" s="1228" t="s">
        <v>610</v>
      </c>
      <c r="S10" s="1200" t="e">
        <v>#DIV/0!</v>
      </c>
      <c r="T10" s="1200" t="e">
        <v>#DIV/0!</v>
      </c>
      <c r="U10" s="309">
        <v>0</v>
      </c>
      <c r="V10" s="1206" t="s">
        <v>610</v>
      </c>
      <c r="W10" s="1200" t="e">
        <v>#DIV/0!</v>
      </c>
      <c r="X10" s="1200" t="e">
        <v>#DIV/0!</v>
      </c>
    </row>
    <row r="11" spans="1:24" ht="15.5">
      <c r="A11" s="1197"/>
      <c r="B11" s="1199"/>
      <c r="C11" s="1199"/>
      <c r="D11" s="1197"/>
      <c r="E11" s="1197"/>
      <c r="F11" s="1203">
        <v>0</v>
      </c>
      <c r="G11" s="311"/>
      <c r="H11" s="311"/>
      <c r="I11" s="312">
        <v>0</v>
      </c>
      <c r="J11" s="311"/>
      <c r="K11" s="314"/>
      <c r="L11" s="315"/>
      <c r="M11" s="314"/>
      <c r="N11" s="315"/>
      <c r="O11" s="309">
        <v>0</v>
      </c>
      <c r="P11" s="325">
        <v>0</v>
      </c>
      <c r="Q11" s="322"/>
      <c r="R11" s="1229"/>
      <c r="S11" s="1201"/>
      <c r="T11" s="1201"/>
      <c r="U11" s="309">
        <v>0</v>
      </c>
      <c r="V11" s="1207"/>
      <c r="W11" s="1201"/>
      <c r="X11" s="1201"/>
    </row>
    <row r="12" spans="1:24" ht="15.5">
      <c r="A12" s="1196"/>
      <c r="B12" s="1198"/>
      <c r="C12" s="1198"/>
      <c r="D12" s="1196"/>
      <c r="E12" s="1196"/>
      <c r="F12" s="1202">
        <v>0</v>
      </c>
      <c r="G12" s="311"/>
      <c r="H12" s="311"/>
      <c r="I12" s="312">
        <v>0</v>
      </c>
      <c r="J12" s="311"/>
      <c r="K12" s="314"/>
      <c r="L12" s="315"/>
      <c r="M12" s="314"/>
      <c r="N12" s="315"/>
      <c r="O12" s="309">
        <v>0</v>
      </c>
      <c r="P12" s="325">
        <v>0</v>
      </c>
      <c r="Q12" s="321"/>
      <c r="R12" s="1228" t="s">
        <v>610</v>
      </c>
      <c r="S12" s="1200" t="e">
        <v>#DIV/0!</v>
      </c>
      <c r="T12" s="1200" t="e">
        <v>#DIV/0!</v>
      </c>
      <c r="U12" s="309">
        <v>0</v>
      </c>
      <c r="V12" s="1206" t="s">
        <v>610</v>
      </c>
      <c r="W12" s="1200" t="e">
        <v>#DIV/0!</v>
      </c>
      <c r="X12" s="1200" t="e">
        <v>#DIV/0!</v>
      </c>
    </row>
    <row r="13" spans="1:24" ht="15.5">
      <c r="A13" s="1197"/>
      <c r="B13" s="1199"/>
      <c r="C13" s="1199"/>
      <c r="D13" s="1197"/>
      <c r="E13" s="1197"/>
      <c r="F13" s="1203">
        <v>0</v>
      </c>
      <c r="G13" s="311"/>
      <c r="H13" s="311"/>
      <c r="I13" s="312">
        <v>0</v>
      </c>
      <c r="J13" s="311"/>
      <c r="K13" s="314"/>
      <c r="L13" s="315"/>
      <c r="M13" s="314"/>
      <c r="N13" s="315"/>
      <c r="O13" s="309">
        <v>0</v>
      </c>
      <c r="P13" s="325">
        <v>0</v>
      </c>
      <c r="Q13" s="322"/>
      <c r="R13" s="1229"/>
      <c r="S13" s="1201"/>
      <c r="T13" s="1201"/>
      <c r="U13" s="309">
        <v>0</v>
      </c>
      <c r="V13" s="1207"/>
      <c r="W13" s="1201"/>
      <c r="X13" s="1201"/>
    </row>
    <row r="14" spans="1:24" ht="15.5">
      <c r="A14" s="1196"/>
      <c r="B14" s="1198"/>
      <c r="C14" s="1198"/>
      <c r="D14" s="1196"/>
      <c r="E14" s="1196"/>
      <c r="F14" s="1202">
        <v>0</v>
      </c>
      <c r="G14" s="311"/>
      <c r="H14" s="311"/>
      <c r="I14" s="312">
        <v>0</v>
      </c>
      <c r="J14" s="311"/>
      <c r="K14" s="314"/>
      <c r="L14" s="315"/>
      <c r="M14" s="314"/>
      <c r="N14" s="315"/>
      <c r="O14" s="309">
        <v>0</v>
      </c>
      <c r="P14" s="325">
        <v>0</v>
      </c>
      <c r="Q14" s="321"/>
      <c r="R14" s="1228" t="s">
        <v>610</v>
      </c>
      <c r="S14" s="1200" t="e">
        <v>#DIV/0!</v>
      </c>
      <c r="T14" s="1200" t="e">
        <v>#DIV/0!</v>
      </c>
      <c r="U14" s="309">
        <v>0</v>
      </c>
      <c r="V14" s="1206" t="s">
        <v>610</v>
      </c>
      <c r="W14" s="1200" t="e">
        <v>#DIV/0!</v>
      </c>
      <c r="X14" s="1200" t="e">
        <v>#DIV/0!</v>
      </c>
    </row>
    <row r="15" spans="1:24" ht="15.5">
      <c r="A15" s="1197"/>
      <c r="B15" s="1199"/>
      <c r="C15" s="1199"/>
      <c r="D15" s="1197"/>
      <c r="E15" s="1197"/>
      <c r="F15" s="1203">
        <v>0</v>
      </c>
      <c r="G15" s="311"/>
      <c r="H15" s="311"/>
      <c r="I15" s="312">
        <v>0</v>
      </c>
      <c r="J15" s="311"/>
      <c r="K15" s="314"/>
      <c r="L15" s="315"/>
      <c r="M15" s="314"/>
      <c r="N15" s="315"/>
      <c r="O15" s="309">
        <v>0</v>
      </c>
      <c r="P15" s="325">
        <v>0</v>
      </c>
      <c r="Q15" s="322"/>
      <c r="R15" s="1229"/>
      <c r="S15" s="1201"/>
      <c r="T15" s="1201"/>
      <c r="U15" s="309">
        <v>0</v>
      </c>
      <c r="V15" s="1207"/>
      <c r="W15" s="1201"/>
      <c r="X15" s="1201"/>
    </row>
    <row r="16" spans="1:24" ht="15.5">
      <c r="A16" s="1196"/>
      <c r="B16" s="1198"/>
      <c r="C16" s="1198"/>
      <c r="D16" s="1196"/>
      <c r="E16" s="1196"/>
      <c r="F16" s="1202">
        <v>0</v>
      </c>
      <c r="G16" s="311"/>
      <c r="H16" s="311"/>
      <c r="I16" s="312">
        <v>0</v>
      </c>
      <c r="J16" s="311"/>
      <c r="K16" s="314"/>
      <c r="L16" s="315"/>
      <c r="M16" s="314"/>
      <c r="N16" s="315"/>
      <c r="O16" s="309">
        <v>0</v>
      </c>
      <c r="P16" s="325">
        <v>0</v>
      </c>
      <c r="Q16" s="321"/>
      <c r="R16" s="1228" t="s">
        <v>610</v>
      </c>
      <c r="S16" s="1200" t="e">
        <v>#DIV/0!</v>
      </c>
      <c r="T16" s="1200" t="e">
        <v>#DIV/0!</v>
      </c>
      <c r="U16" s="309">
        <v>0</v>
      </c>
      <c r="V16" s="1206" t="s">
        <v>610</v>
      </c>
      <c r="W16" s="1200" t="e">
        <v>#DIV/0!</v>
      </c>
      <c r="X16" s="1200" t="e">
        <v>#DIV/0!</v>
      </c>
    </row>
    <row r="17" spans="1:24" ht="15.5">
      <c r="A17" s="1197"/>
      <c r="B17" s="1199"/>
      <c r="C17" s="1199"/>
      <c r="D17" s="1197"/>
      <c r="E17" s="1197"/>
      <c r="F17" s="1203">
        <v>0</v>
      </c>
      <c r="G17" s="311"/>
      <c r="H17" s="311"/>
      <c r="I17" s="312">
        <v>0</v>
      </c>
      <c r="J17" s="311"/>
      <c r="K17" s="314"/>
      <c r="L17" s="315"/>
      <c r="M17" s="314"/>
      <c r="N17" s="315"/>
      <c r="O17" s="309">
        <v>0</v>
      </c>
      <c r="P17" s="325">
        <v>0</v>
      </c>
      <c r="Q17" s="322"/>
      <c r="R17" s="1229"/>
      <c r="S17" s="1201"/>
      <c r="T17" s="1201"/>
      <c r="U17" s="309">
        <v>0</v>
      </c>
      <c r="V17" s="1207"/>
      <c r="W17" s="1201"/>
      <c r="X17" s="1201"/>
    </row>
    <row r="18" spans="1:24" ht="15.5">
      <c r="A18" s="1196"/>
      <c r="B18" s="1198"/>
      <c r="C18" s="1198"/>
      <c r="D18" s="1196"/>
      <c r="E18" s="1196"/>
      <c r="F18" s="1202">
        <v>0</v>
      </c>
      <c r="G18" s="311"/>
      <c r="H18" s="311"/>
      <c r="I18" s="312">
        <v>0</v>
      </c>
      <c r="J18" s="311"/>
      <c r="K18" s="314"/>
      <c r="L18" s="315"/>
      <c r="M18" s="314"/>
      <c r="N18" s="315"/>
      <c r="O18" s="309">
        <v>0</v>
      </c>
      <c r="P18" s="325">
        <v>0</v>
      </c>
      <c r="Q18" s="321"/>
      <c r="R18" s="1228" t="s">
        <v>610</v>
      </c>
      <c r="S18" s="1200" t="e">
        <v>#DIV/0!</v>
      </c>
      <c r="T18" s="1200" t="e">
        <v>#DIV/0!</v>
      </c>
      <c r="U18" s="309">
        <v>0</v>
      </c>
      <c r="V18" s="1206" t="s">
        <v>610</v>
      </c>
      <c r="W18" s="1200" t="e">
        <v>#DIV/0!</v>
      </c>
      <c r="X18" s="1200" t="e">
        <v>#DIV/0!</v>
      </c>
    </row>
    <row r="19" spans="1:24" ht="15.5">
      <c r="A19" s="1197"/>
      <c r="B19" s="1199"/>
      <c r="C19" s="1199"/>
      <c r="D19" s="1197"/>
      <c r="E19" s="1197"/>
      <c r="F19" s="1203">
        <v>0</v>
      </c>
      <c r="G19" s="311"/>
      <c r="H19" s="311"/>
      <c r="I19" s="312">
        <v>0</v>
      </c>
      <c r="J19" s="311"/>
      <c r="K19" s="314"/>
      <c r="L19" s="315"/>
      <c r="M19" s="314"/>
      <c r="N19" s="315"/>
      <c r="O19" s="309">
        <v>0</v>
      </c>
      <c r="P19" s="325">
        <v>0</v>
      </c>
      <c r="Q19" s="322"/>
      <c r="R19" s="1229"/>
      <c r="S19" s="1201"/>
      <c r="T19" s="1201"/>
      <c r="U19" s="309">
        <v>0</v>
      </c>
      <c r="V19" s="1207"/>
      <c r="W19" s="1201"/>
      <c r="X19" s="1201"/>
    </row>
  </sheetData>
  <mergeCells count="111">
    <mergeCell ref="A1:X1"/>
    <mergeCell ref="A2:A5"/>
    <mergeCell ref="B2:C2"/>
    <mergeCell ref="D2:E2"/>
    <mergeCell ref="G2:I2"/>
    <mergeCell ref="J2:J5"/>
    <mergeCell ref="K2:N5"/>
    <mergeCell ref="Q3:Q5"/>
    <mergeCell ref="O3:O4"/>
    <mergeCell ref="B3:B5"/>
    <mergeCell ref="F2:F4"/>
    <mergeCell ref="R3:R4"/>
    <mergeCell ref="S3:S4"/>
    <mergeCell ref="T3:T4"/>
    <mergeCell ref="U3:U4"/>
    <mergeCell ref="H3:H5"/>
    <mergeCell ref="I3:I5"/>
    <mergeCell ref="O2:T2"/>
    <mergeCell ref="U2:X2"/>
    <mergeCell ref="P3:P4"/>
    <mergeCell ref="V3:V4"/>
    <mergeCell ref="W3:W4"/>
    <mergeCell ref="X3:X4"/>
    <mergeCell ref="C3:C5"/>
    <mergeCell ref="R6:R7"/>
    <mergeCell ref="A6:A7"/>
    <mergeCell ref="B6:B7"/>
    <mergeCell ref="C6:C7"/>
    <mergeCell ref="D6:D7"/>
    <mergeCell ref="G3:G5"/>
    <mergeCell ref="D3:D5"/>
    <mergeCell ref="E3:E5"/>
    <mergeCell ref="X6:X7"/>
    <mergeCell ref="S6:S7"/>
    <mergeCell ref="T6:T7"/>
    <mergeCell ref="V6:V7"/>
    <mergeCell ref="W6:W7"/>
    <mergeCell ref="E6:E7"/>
    <mergeCell ref="F6:F7"/>
    <mergeCell ref="A8:A9"/>
    <mergeCell ref="B8:B9"/>
    <mergeCell ref="C8:C9"/>
    <mergeCell ref="D8:D9"/>
    <mergeCell ref="E8:E9"/>
    <mergeCell ref="F8:F9"/>
    <mergeCell ref="R8:R9"/>
    <mergeCell ref="S8:S9"/>
    <mergeCell ref="T8:T9"/>
    <mergeCell ref="V10:V11"/>
    <mergeCell ref="W10:W11"/>
    <mergeCell ref="V8:V9"/>
    <mergeCell ref="W8:W9"/>
    <mergeCell ref="X10:X11"/>
    <mergeCell ref="A12:A13"/>
    <mergeCell ref="B12:B13"/>
    <mergeCell ref="C12:C13"/>
    <mergeCell ref="D12:D13"/>
    <mergeCell ref="E12:E13"/>
    <mergeCell ref="X8:X9"/>
    <mergeCell ref="A10:A11"/>
    <mergeCell ref="B10:B11"/>
    <mergeCell ref="C10:C11"/>
    <mergeCell ref="D10:D11"/>
    <mergeCell ref="E10:E11"/>
    <mergeCell ref="F10:F11"/>
    <mergeCell ref="R10:R11"/>
    <mergeCell ref="S10:S11"/>
    <mergeCell ref="T10:T11"/>
    <mergeCell ref="W12:W13"/>
    <mergeCell ref="F12:F13"/>
    <mergeCell ref="R12:R13"/>
    <mergeCell ref="S12:S13"/>
    <mergeCell ref="R18:R19"/>
    <mergeCell ref="X14:X15"/>
    <mergeCell ref="A16:A17"/>
    <mergeCell ref="B16:B17"/>
    <mergeCell ref="C16:C17"/>
    <mergeCell ref="D16:D17"/>
    <mergeCell ref="E16:E17"/>
    <mergeCell ref="F16:F17"/>
    <mergeCell ref="F14:F15"/>
    <mergeCell ref="R14:R15"/>
    <mergeCell ref="S14:S15"/>
    <mergeCell ref="T14:T15"/>
    <mergeCell ref="V14:V15"/>
    <mergeCell ref="W14:W15"/>
    <mergeCell ref="T16:T17"/>
    <mergeCell ref="T12:T13"/>
    <mergeCell ref="X12:X13"/>
    <mergeCell ref="A14:A15"/>
    <mergeCell ref="B14:B15"/>
    <mergeCell ref="C14:C15"/>
    <mergeCell ref="D14:D15"/>
    <mergeCell ref="R16:R17"/>
    <mergeCell ref="S16:S17"/>
    <mergeCell ref="A18:A19"/>
    <mergeCell ref="B18:B19"/>
    <mergeCell ref="C18:C19"/>
    <mergeCell ref="D18:D19"/>
    <mergeCell ref="E18:E19"/>
    <mergeCell ref="F18:F19"/>
    <mergeCell ref="V12:V13"/>
    <mergeCell ref="E14:E15"/>
    <mergeCell ref="X18:X19"/>
    <mergeCell ref="S18:S19"/>
    <mergeCell ref="T18:T19"/>
    <mergeCell ref="V18:V19"/>
    <mergeCell ref="W18:W19"/>
    <mergeCell ref="V16:V17"/>
    <mergeCell ref="W16:W17"/>
    <mergeCell ref="X16:X17"/>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B7E01-B995-4C9B-A29E-84517EEBC0B1}">
  <sheetPr codeName="Sheet32"/>
  <dimension ref="A1:U31"/>
  <sheetViews>
    <sheetView workbookViewId="0">
      <selection activeCell="F19" sqref="F19:G20"/>
    </sheetView>
  </sheetViews>
  <sheetFormatPr defaultColWidth="8.83203125" defaultRowHeight="14"/>
  <sheetData>
    <row r="1" spans="1:16" ht="14.5" thickBot="1">
      <c r="A1" s="288"/>
      <c r="B1" s="288"/>
      <c r="C1" s="288"/>
      <c r="D1" s="288"/>
      <c r="E1" s="288"/>
      <c r="F1" s="288"/>
      <c r="G1" s="288"/>
      <c r="H1" s="288"/>
      <c r="I1" s="288"/>
      <c r="J1" s="288"/>
      <c r="K1" s="288"/>
    </row>
    <row r="2" spans="1:16" ht="18" thickBot="1">
      <c r="A2" s="1212" t="s">
        <v>601</v>
      </c>
      <c r="B2" s="1213"/>
      <c r="C2" s="1213"/>
      <c r="D2" s="1213"/>
      <c r="E2" s="1213"/>
      <c r="F2" s="1213"/>
      <c r="G2" s="1213"/>
      <c r="H2" s="1213"/>
      <c r="I2" s="1213"/>
      <c r="J2" s="1213"/>
      <c r="K2" s="1214"/>
    </row>
    <row r="3" spans="1:16" ht="15">
      <c r="A3" s="1232" t="s">
        <v>590</v>
      </c>
      <c r="B3" s="1208" t="s">
        <v>555</v>
      </c>
      <c r="C3" s="1209"/>
      <c r="D3" s="1210"/>
      <c r="E3" s="1208" t="s">
        <v>556</v>
      </c>
      <c r="F3" s="1209"/>
      <c r="G3" s="1209"/>
      <c r="H3" s="1210"/>
      <c r="I3" s="1224" t="s">
        <v>575</v>
      </c>
      <c r="J3" s="1220"/>
      <c r="K3" s="1232" t="s">
        <v>576</v>
      </c>
    </row>
    <row r="4" spans="1:16" ht="33">
      <c r="A4" s="1218"/>
      <c r="B4" s="1211" t="s">
        <v>581</v>
      </c>
      <c r="C4" s="1211" t="s">
        <v>582</v>
      </c>
      <c r="D4" s="1211" t="s">
        <v>583</v>
      </c>
      <c r="E4" s="1208"/>
      <c r="F4" s="1209"/>
      <c r="G4" s="1209"/>
      <c r="H4" s="1210"/>
      <c r="I4" s="292" t="s">
        <v>584</v>
      </c>
      <c r="J4" s="292" t="s">
        <v>560</v>
      </c>
      <c r="K4" s="1219"/>
    </row>
    <row r="5" spans="1:16" ht="15.5">
      <c r="A5" s="1219"/>
      <c r="B5" s="1211"/>
      <c r="C5" s="1211"/>
      <c r="D5" s="1211"/>
      <c r="E5" s="1208"/>
      <c r="F5" s="1209"/>
      <c r="G5" s="1220"/>
      <c r="H5" s="1221"/>
      <c r="I5" s="290" t="s">
        <v>564</v>
      </c>
      <c r="J5" s="290" t="s">
        <v>564</v>
      </c>
      <c r="K5" s="290" t="s">
        <v>564</v>
      </c>
    </row>
    <row r="6" spans="1:16" ht="15.5">
      <c r="A6" s="293" t="s">
        <v>602</v>
      </c>
      <c r="B6" s="293">
        <v>200</v>
      </c>
      <c r="C6" s="293">
        <f>TH!$B$18</f>
        <v>3.6</v>
      </c>
      <c r="D6" s="304">
        <f t="shared" ref="D6:D11" si="0">IF(B6=100,180*1.1*C6,IF(B6=200,330*1.1*C6,0))</f>
        <v>1306.8000000000002</v>
      </c>
      <c r="E6" s="296" t="s">
        <v>103</v>
      </c>
      <c r="F6" s="297" t="s">
        <v>568</v>
      </c>
      <c r="G6" s="296"/>
      <c r="H6" s="297"/>
      <c r="I6" s="291">
        <f>(IF(F6="HT",VLOOKUP(E6,'tải sàn'!$B$5:$L$51,11,0),IF(F6="TG",VLOOKUP(E6,'tải sàn'!$B$5:$L$51,9,0),0)))+(IF(H6="HT",VLOOKUP(G6,'tải sàn'!$B$5:$L$51,11,0),IF(H6="TG",VLOOKUP(G6,'tải sàn'!$B$5:$L$51,9,0),0)))</f>
        <v>0.6</v>
      </c>
      <c r="J6" s="306">
        <f t="shared" ref="J6:J11" si="1">D6+I6</f>
        <v>1307.4000000000001</v>
      </c>
      <c r="K6" s="306">
        <f>(IF(F6="HT",VLOOKUP(E6,'tải sàn'!$B$5:$L$51,10,0),IF(F6="TG",VLOOKUP(E6,'tải sàn'!$B$5:$L$51,8,0),0)))+(IF(H6="HT",VLOOKUP(G6,'tải sàn'!$B$5:$L$51,10,0),IF(H6="TG",VLOOKUP(G6,'tải sàn'!$B$5:$L$51,8,0),0)))</f>
        <v>0.6</v>
      </c>
    </row>
    <row r="7" spans="1:16" ht="15.5">
      <c r="A7" s="293" t="s">
        <v>603</v>
      </c>
      <c r="B7" s="293">
        <v>100</v>
      </c>
      <c r="C7" s="311">
        <f>TH!$B$18</f>
        <v>3.6</v>
      </c>
      <c r="D7" s="304">
        <f t="shared" si="0"/>
        <v>712.80000000000007</v>
      </c>
      <c r="E7" s="296" t="s">
        <v>103</v>
      </c>
      <c r="F7" s="297" t="s">
        <v>568</v>
      </c>
      <c r="G7" s="296" t="s">
        <v>101</v>
      </c>
      <c r="H7" s="297" t="s">
        <v>569</v>
      </c>
      <c r="I7" s="291">
        <f>(IF(F7="HT",VLOOKUP(E7,'tải sàn'!$B$5:$L$51,11,0),IF(F7="TG",VLOOKUP(E7,'tải sàn'!$B$5:$L$51,9,0),0)))+(IF(H7="HT",VLOOKUP(G7,'tải sàn'!$B$5:$L$51,11,0),IF(H7="TG",VLOOKUP(G7,'tải sàn'!$B$5:$L$51,9,0),0)))</f>
        <v>1.1554687499999998</v>
      </c>
      <c r="J7" s="306">
        <f t="shared" si="1"/>
        <v>713.95546875000002</v>
      </c>
      <c r="K7" s="306">
        <f>(IF(F7="HT",VLOOKUP(E7,'tải sàn'!$B$5:$L$51,10,0),IF(F7="TG",VLOOKUP(E7,'tải sàn'!$B$5:$L$51,8,0),0)))+(IF(H7="HT",VLOOKUP(G7,'tải sàn'!$B$5:$L$51,10,0),IF(H7="TG",VLOOKUP(G7,'tải sàn'!$B$5:$L$51,8,0),0)))</f>
        <v>1.0166015625</v>
      </c>
    </row>
    <row r="8" spans="1:16" ht="15.5">
      <c r="A8" s="293" t="s">
        <v>591</v>
      </c>
      <c r="B8" s="293">
        <v>0</v>
      </c>
      <c r="C8" s="311">
        <f>TH!$B$18</f>
        <v>3.6</v>
      </c>
      <c r="D8" s="304">
        <f t="shared" si="0"/>
        <v>0</v>
      </c>
      <c r="E8" s="296" t="s">
        <v>106</v>
      </c>
      <c r="F8" s="297" t="s">
        <v>568</v>
      </c>
      <c r="G8" s="296" t="s">
        <v>105</v>
      </c>
      <c r="H8" s="297" t="s">
        <v>568</v>
      </c>
      <c r="I8" s="291">
        <f>(IF(F8="HT",VLOOKUP(E8,'tải sàn'!$B$5:$L$51,11,0),IF(F8="TG",VLOOKUP(E8,'tải sàn'!$B$5:$L$51,9,0),0)))+(IF(H8="HT",VLOOKUP(G8,'tải sàn'!$B$5:$L$51,11,0),IF(H8="TG",VLOOKUP(G8,'tải sàn'!$B$5:$L$51,9,0),0)))</f>
        <v>0.6</v>
      </c>
      <c r="J8" s="306">
        <f t="shared" si="1"/>
        <v>0.6</v>
      </c>
      <c r="K8" s="306">
        <f>(IF(F8="HT",VLOOKUP(E8,'tải sàn'!$B$5:$L$51,10,0),IF(F8="TG",VLOOKUP(E8,'tải sàn'!$B$5:$L$51,8,0),0)))+(IF(H8="HT",VLOOKUP(G8,'tải sàn'!$B$5:$L$51,10,0),IF(H8="TG",VLOOKUP(G8,'tải sàn'!$B$5:$L$51,8,0),0)))</f>
        <v>0.6</v>
      </c>
    </row>
    <row r="9" spans="1:16" ht="15.5">
      <c r="A9" s="293" t="s">
        <v>604</v>
      </c>
      <c r="B9" s="293">
        <v>0</v>
      </c>
      <c r="C9" s="311">
        <f>TH!$B$18</f>
        <v>3.6</v>
      </c>
      <c r="D9" s="304">
        <f t="shared" si="0"/>
        <v>0</v>
      </c>
      <c r="E9" s="296" t="s">
        <v>199</v>
      </c>
      <c r="F9" s="297" t="s">
        <v>568</v>
      </c>
      <c r="G9" s="296" t="s">
        <v>101</v>
      </c>
      <c r="H9" s="297" t="s">
        <v>569</v>
      </c>
      <c r="I9" s="291">
        <f>(IF(F9="HT",VLOOKUP(E9,'tải sàn'!$B$5:$L$51,11,0),IF(F9="TG",VLOOKUP(E9,'tải sàn'!$B$5:$L$51,9,0),0)))+(IF(H9="HT",VLOOKUP(G9,'tải sàn'!$B$5:$L$51,11,0),IF(H9="TG",VLOOKUP(G9,'tải sàn'!$B$5:$L$51,9,0),0)))</f>
        <v>0.98171874999999997</v>
      </c>
      <c r="J9" s="306">
        <f t="shared" si="1"/>
        <v>0.98171874999999997</v>
      </c>
      <c r="K9" s="306">
        <f>(IF(F9="HT",VLOOKUP(E9,'tải sàn'!$B$5:$L$51,10,0),IF(F9="TG",VLOOKUP(E9,'tải sàn'!$B$5:$L$51,8,0),0)))+(IF(H9="HT",VLOOKUP(G9,'tải sàn'!$B$5:$L$51,10,0),IF(H9="TG",VLOOKUP(G9,'tải sàn'!$B$5:$L$51,8,0),0)))</f>
        <v>0.5506640625</v>
      </c>
    </row>
    <row r="10" spans="1:16" ht="15.5">
      <c r="A10" s="293"/>
      <c r="B10" s="293"/>
      <c r="C10" s="293"/>
      <c r="D10" s="304">
        <f t="shared" si="0"/>
        <v>0</v>
      </c>
      <c r="E10" s="296"/>
      <c r="F10" s="297"/>
      <c r="G10" s="296"/>
      <c r="H10" s="297"/>
      <c r="I10" s="291">
        <f>(IF(F10="HT",VLOOKUP(E10,'tải sàn'!$B$5:$L$51,11,0),IF(F10="TG",VLOOKUP(E10,'tải sàn'!$B$5:$L$51,9,0),0)))+(IF(H10="HT",VLOOKUP(G10,'tải sàn'!$B$5:$L$51,11,0),IF(H10="TG",VLOOKUP(G10,'tải sàn'!$B$5:$L$51,9,0),0)))</f>
        <v>0</v>
      </c>
      <c r="J10" s="306">
        <f t="shared" si="1"/>
        <v>0</v>
      </c>
      <c r="K10" s="306">
        <f>(IF(F10="HT",VLOOKUP(E10,'tải sàn'!$B$5:$L$51,10,0),IF(F10="TG",VLOOKUP(E10,'tải sàn'!$B$5:$L$51,8,0),0)))+(IF(H10="HT",VLOOKUP(G10,'tải sàn'!$B$5:$L$51,10,0),IF(H10="TG",VLOOKUP(G10,'tải sàn'!$B$5:$L$51,8,0),0)))</f>
        <v>0</v>
      </c>
    </row>
    <row r="11" spans="1:16" ht="15.5">
      <c r="A11" s="293"/>
      <c r="B11" s="293"/>
      <c r="C11" s="293"/>
      <c r="D11" s="304">
        <f t="shared" si="0"/>
        <v>0</v>
      </c>
      <c r="E11" s="296"/>
      <c r="F11" s="297"/>
      <c r="G11" s="296"/>
      <c r="H11" s="297"/>
      <c r="I11" s="291">
        <f>(IF(F11="HT",VLOOKUP(E11,'tải sàn'!$B$5:$L$51,11,0),IF(F11="TG",VLOOKUP(E11,'tải sàn'!$B$5:$L$51,9,0),0)))+(IF(H11="HT",VLOOKUP(G11,'tải sàn'!$B$5:$L$51,11,0),IF(H11="TG",VLOOKUP(G11,'tải sàn'!$B$5:$L$51,9,0),0)))</f>
        <v>0</v>
      </c>
      <c r="J11" s="306">
        <f t="shared" si="1"/>
        <v>0</v>
      </c>
      <c r="K11" s="306">
        <f>(IF(F11="HT",VLOOKUP(E11,'tải sàn'!$B$5:$L$51,10,0),IF(F11="TG",VLOOKUP(E11,'tải sàn'!$B$5:$L$51,8,0),0)))+(IF(H11="HT",VLOOKUP(G11,'tải sàn'!$B$5:$L$51,10,0),IF(H11="TG",VLOOKUP(G11,'tải sàn'!$B$5:$L$51,8,0),0)))</f>
        <v>0</v>
      </c>
    </row>
    <row r="12" spans="1:16" ht="14.5" thickBot="1">
      <c r="A12" s="288"/>
      <c r="B12" s="288"/>
      <c r="C12" s="288"/>
      <c r="D12" s="288"/>
      <c r="E12" s="288"/>
      <c r="F12" s="288"/>
      <c r="G12" s="288"/>
      <c r="H12" s="288"/>
      <c r="I12" s="288"/>
      <c r="J12" s="288"/>
      <c r="K12" s="288"/>
    </row>
    <row r="13" spans="1:16" ht="18" thickBot="1">
      <c r="A13" s="1212" t="s">
        <v>605</v>
      </c>
      <c r="B13" s="1213"/>
      <c r="C13" s="1213"/>
      <c r="D13" s="1213"/>
      <c r="E13" s="1213"/>
      <c r="F13" s="1213"/>
      <c r="G13" s="1213"/>
      <c r="H13" s="1213"/>
      <c r="I13" s="1213"/>
      <c r="J13" s="1213"/>
      <c r="K13" s="1214"/>
    </row>
    <row r="14" spans="1:16">
      <c r="A14" s="1218" t="s">
        <v>592</v>
      </c>
      <c r="B14" s="1219" t="s">
        <v>593</v>
      </c>
      <c r="C14" s="1239" t="s">
        <v>594</v>
      </c>
      <c r="D14" s="1240"/>
      <c r="E14" s="1244" t="s">
        <v>198</v>
      </c>
      <c r="F14" s="1239" t="s">
        <v>595</v>
      </c>
      <c r="G14" s="1240"/>
      <c r="H14" s="1239" t="s">
        <v>197</v>
      </c>
      <c r="I14" s="1240"/>
      <c r="J14" s="1239" t="s">
        <v>596</v>
      </c>
      <c r="K14" s="1240"/>
      <c r="M14" s="1239" t="s">
        <v>596</v>
      </c>
      <c r="N14" s="1240"/>
      <c r="O14" s="1239" t="s">
        <v>596</v>
      </c>
      <c r="P14" s="1240"/>
    </row>
    <row r="15" spans="1:16">
      <c r="A15" s="1218"/>
      <c r="B15" s="1245"/>
      <c r="C15" s="1239"/>
      <c r="D15" s="1240"/>
      <c r="E15" s="1244"/>
      <c r="F15" s="1239"/>
      <c r="G15" s="1240"/>
      <c r="H15" s="1239"/>
      <c r="I15" s="1240"/>
      <c r="J15" s="1239"/>
      <c r="K15" s="1240"/>
      <c r="M15" s="1239"/>
      <c r="N15" s="1240"/>
      <c r="O15" s="1239"/>
      <c r="P15" s="1240"/>
    </row>
    <row r="16" spans="1:16" ht="15.5">
      <c r="A16" s="1219"/>
      <c r="B16" s="1245"/>
      <c r="C16" s="1239"/>
      <c r="D16" s="1240"/>
      <c r="E16" s="298" t="s">
        <v>567</v>
      </c>
      <c r="F16" s="1241" t="s">
        <v>567</v>
      </c>
      <c r="G16" s="1242"/>
      <c r="H16" s="1241" t="s">
        <v>567</v>
      </c>
      <c r="I16" s="1242"/>
      <c r="J16" s="1241" t="s">
        <v>567</v>
      </c>
      <c r="K16" s="1242"/>
      <c r="M16" s="1241" t="s">
        <v>567</v>
      </c>
      <c r="N16" s="1242"/>
      <c r="O16" s="1241" t="s">
        <v>567</v>
      </c>
      <c r="P16" s="1242"/>
    </row>
    <row r="17" spans="1:21" ht="15.5">
      <c r="A17" s="1196" t="s">
        <v>515</v>
      </c>
      <c r="B17" s="299">
        <v>5</v>
      </c>
      <c r="C17" s="302">
        <v>1</v>
      </c>
      <c r="D17" s="300"/>
      <c r="E17" s="301">
        <f>IF(C17=1,VLOOKUP(B17,'dam loai 1 T2'!$B$6:$R$41,15,0),IF(C17=2,(IF(D17="Ri",VLOOKUP(B17,'dam loai 2 T2'!$A$6:$X$50,19,0),IF(D17="Rj",VLOOKUP(B17,'dam loai 2 T2'!$A$6:$X$50,20,0),0))),IF(C17=3,(IF(D17="Ri",VLOOKUP(B17,'dam loai 3 T2'!$A$6:$X$50,19,0),IF(D17="Rj",VLOOKUP(B17,'dam loai 3 T2'!$A$6:$X$50,20,0),0))))))</f>
        <v>4582.2000000000007</v>
      </c>
      <c r="F17" s="1233">
        <f>E17+E18</f>
        <v>4582.2000000000007</v>
      </c>
      <c r="G17" s="1234"/>
      <c r="H17" s="1237">
        <f>IF(C17=1,VLOOKUP(B17,'dam loai 1 T2'!$B$6:$R$41,17,0),IF(C17=2,(IF(D17="Ri",VLOOKUP(B17,'dam loai 2 T2'!$A$6:$X$50,23,0),IF(D17="Rj",VLOOKUP(B17,'dam loai 2 T2'!$A$6:$X$50,24,0),0))),IF(C17=3,(IF(D17="Ri",VLOOKUP(B17,'dam loai 3 T2'!$A$6:$X$50,23,0),IF(D17="Rj",VLOOKUP(B17,'dam loai 3 T2'!$A$6:$X$50,24,0),0))))))</f>
        <v>1.7999999999999998</v>
      </c>
      <c r="I17" s="1238"/>
      <c r="J17" s="1233">
        <f>H17+H18</f>
        <v>1.7999999999999998</v>
      </c>
      <c r="K17" s="1234"/>
      <c r="L17" s="288"/>
      <c r="M17" s="1233">
        <v>2.88</v>
      </c>
      <c r="N17" s="1234"/>
      <c r="O17" s="1246">
        <f>M17/F17*1000</f>
        <v>0.62851905198376312</v>
      </c>
      <c r="P17" s="1247"/>
    </row>
    <row r="18" spans="1:21" ht="15.5">
      <c r="A18" s="1197"/>
      <c r="B18" s="299"/>
      <c r="C18" s="302"/>
      <c r="D18" s="300"/>
      <c r="E18" s="301" t="b">
        <f>IF(C18=1,VLOOKUP(B18,'dam loai 1 T2'!$B$6:$R$41,15,0),IF(C18=2,(IF(D18="Ri",VLOOKUP(B18,'dam loai 2 T2'!$A$6:$X$50,19,0),IF(D18="Rj",VLOOKUP(B18,'dam loai 2 T2'!$A$6:$X$50,20,0),0))),IF(C18=3,(IF(D18="Ri",VLOOKUP(B18,'dam loai 3 T2'!$A$6:$X$50,19,0),IF(D18="Rj",VLOOKUP(B18,'dam loai 3 T2'!$A$6:$X$50,20,0),0))))))</f>
        <v>0</v>
      </c>
      <c r="F18" s="1235"/>
      <c r="G18" s="1236"/>
      <c r="H18" s="1237" t="b">
        <f>IF(C18=1,VLOOKUP(B18,'dam loai 1 T2'!$B$6:$R$41,17,0),IF(C18=2,(IF(D18="Ri",VLOOKUP(B18,'dam loai 2 T2'!$A$6:$X$50,23,0),IF(D18="Rj",VLOOKUP(B18,'dam loai 2 T2'!$A$6:$X$50,24,0),0))),IF(C18=3,(IF(D18="Ri",VLOOKUP(B18,'dam loai 3 T2'!$A$6:$X$50,23,0),IF(D18="Rj",VLOOKUP(B18,'dam loai 3 T2'!$A$6:$X$50,24,0),0))))))</f>
        <v>0</v>
      </c>
      <c r="I18" s="1238"/>
      <c r="J18" s="1235"/>
      <c r="K18" s="1236"/>
      <c r="L18" s="288"/>
      <c r="M18" s="1235"/>
      <c r="N18" s="1236"/>
      <c r="O18" s="1248"/>
      <c r="P18" s="1249"/>
    </row>
    <row r="19" spans="1:21" ht="15.5">
      <c r="A19" s="1196" t="s">
        <v>597</v>
      </c>
      <c r="B19" s="299">
        <v>6</v>
      </c>
      <c r="C19" s="302">
        <v>1</v>
      </c>
      <c r="D19" s="300"/>
      <c r="E19" s="319">
        <f>IF(C19=1,VLOOKUP(B19,'dam loai 1 T2'!$B$6:$R$41,15,0),IF(C19=2,(IF(D19="Ri",VLOOKUP(B19,'dam loai 2 T2'!$A$6:$X$50,19,0),IF(D19="Rj",VLOOKUP(B19,'dam loai 2 T2'!$A$6:$X$50,20,0),0))),IF(C19=3,(IF(D19="Ri",VLOOKUP(B19,'dam loai 3 T2'!$A$6:$X$50,19,0),IF(D19="Rj",VLOOKUP(B19,'dam loai 3 T2'!$A$6:$X$50,20,0),0))))))</f>
        <v>664.69333333333327</v>
      </c>
      <c r="F19" s="1233">
        <f>E19+E20</f>
        <v>2955.5683333333336</v>
      </c>
      <c r="G19" s="1234"/>
      <c r="H19" s="1237">
        <f>IF(C19=1,VLOOKUP(B19,'dam loai 1 T2'!$B$6:$R$41,17,0),IF(C19=2,(IF(D19="Ri",VLOOKUP(B19,'dam loai 2 T2'!$A$6:$X$50,23,0),IF(D19="Rj",VLOOKUP(B19,'dam loai 2 T2'!$A$6:$X$50,24,0),0))),IF(C19=3,(IF(D19="Ri",VLOOKUP(B19,'dam loai 3 T2'!$A$6:$X$50,23,0),IF(D19="Rj",VLOOKUP(B19,'dam loai 3 T2'!$A$6:$X$50,24,0),0))))))</f>
        <v>4.6933333333333334</v>
      </c>
      <c r="I19" s="1238"/>
      <c r="J19" s="1233">
        <f>H19+H20</f>
        <v>5.199583333333333</v>
      </c>
      <c r="K19" s="1234"/>
      <c r="L19" s="288"/>
      <c r="M19" s="1233">
        <v>6.84</v>
      </c>
      <c r="N19" s="1234"/>
      <c r="O19" s="1246">
        <f t="shared" ref="O19" si="2">M19/F19*1000</f>
        <v>2.3142757089584007</v>
      </c>
      <c r="P19" s="1247"/>
    </row>
    <row r="20" spans="1:21" ht="15.5">
      <c r="A20" s="1197"/>
      <c r="B20" s="299">
        <v>10</v>
      </c>
      <c r="C20" s="302">
        <v>1</v>
      </c>
      <c r="D20" s="300"/>
      <c r="E20" s="319">
        <f>IF(C20=1,VLOOKUP(B20,'dam loai 1 T2'!$B$6:$R$41,15,0),IF(C20=2,(IF(D20="Ri",VLOOKUP(B20,'dam loai 2 T2'!$A$6:$X$50,19,0),IF(D20="Rj",VLOOKUP(B20,'dam loai 2 T2'!$A$6:$X$50,20,0),0))),IF(C20=3,(IF(D20="Ri",VLOOKUP(B20,'dam loai 3 T2'!$A$6:$X$50,19,0),IF(D20="Rj",VLOOKUP(B20,'dam loai 3 T2'!$A$6:$X$50,20,0),0))))))</f>
        <v>2290.8750000000005</v>
      </c>
      <c r="F20" s="1235"/>
      <c r="G20" s="1236"/>
      <c r="H20" s="1237">
        <f>IF(C20=1,VLOOKUP(B20,'dam loai 1 T2'!$B$6:$R$41,17,0),IF(C20=2,(IF(D20="Ri",VLOOKUP(B20,'dam loai 2 T2'!$A$6:$X$50,23,0),IF(D20="Rj",VLOOKUP(B20,'dam loai 2 T2'!$A$6:$X$50,24,0),0))),IF(C20=3,(IF(D20="Ri",VLOOKUP(B20,'dam loai 3 T2'!$A$6:$X$50,23,0),IF(D20="Rj",VLOOKUP(B20,'dam loai 3 T2'!$A$6:$X$50,24,0),0))))))</f>
        <v>0.50625000000000009</v>
      </c>
      <c r="I20" s="1238"/>
      <c r="J20" s="1235"/>
      <c r="K20" s="1236"/>
      <c r="L20" s="288"/>
      <c r="M20" s="1235"/>
      <c r="N20" s="1236"/>
      <c r="O20" s="1248"/>
      <c r="P20" s="1249"/>
    </row>
    <row r="21" spans="1:21" ht="15.5">
      <c r="A21" s="1196" t="s">
        <v>599</v>
      </c>
      <c r="B21" s="299">
        <v>7</v>
      </c>
      <c r="C21" s="302">
        <v>1</v>
      </c>
      <c r="D21" s="300"/>
      <c r="E21" s="319">
        <f>IF(C21=1,VLOOKUP(B21,'dam loai 1 T2'!$B$6:$R$41,15,0),IF(C21=2,(IF(D21="Ri",VLOOKUP(B21,'dam loai 2 T2'!$A$6:$X$50,19,0),IF(D21="Rj",VLOOKUP(B21,'dam loai 2 T2'!$A$6:$X$50,20,0),0))),IF(C21=3,(IF(D21="Ri",VLOOKUP(B21,'dam loai 3 T2'!$A$6:$X$50,19,0),IF(D21="Rj",VLOOKUP(B21,'dam loai 3 T2'!$A$6:$X$50,20,0),0))))))</f>
        <v>2802.1133333333337</v>
      </c>
      <c r="F21" s="1233">
        <f>E21+E22</f>
        <v>4202.5750000000007</v>
      </c>
      <c r="G21" s="1234"/>
      <c r="H21" s="1237">
        <f>IF(C21=1,VLOOKUP(B21,'dam loai 1 T2'!$B$6:$R$41,17,0),IF(C21=2,(IF(D21="Ri",VLOOKUP(B21,'dam loai 2 T2'!$A$6:$X$50,23,0),IF(D21="Rj",VLOOKUP(B21,'dam loai 2 T2'!$A$6:$X$50,24,0),0))),IF(C21=3,(IF(D21="Ri",VLOOKUP(B21,'dam loai 3 T2'!$A$6:$X$50,23,0),IF(D21="Rj",VLOOKUP(B21,'dam loai 3 T2'!$A$6:$X$50,24,0),0))))))</f>
        <v>3.7133333333333338</v>
      </c>
      <c r="I21" s="1238"/>
      <c r="J21" s="1233">
        <f>H21+H22</f>
        <v>4.8062500000000004</v>
      </c>
      <c r="K21" s="1234"/>
      <c r="L21" s="288"/>
      <c r="M21" s="1233">
        <v>5.94</v>
      </c>
      <c r="N21" s="1234"/>
      <c r="O21" s="1246">
        <f t="shared" ref="O21" si="3">M21/F21*1000</f>
        <v>1.4134191537331278</v>
      </c>
      <c r="P21" s="1247"/>
    </row>
    <row r="22" spans="1:21" ht="15.5">
      <c r="A22" s="1197"/>
      <c r="B22" s="299">
        <v>11</v>
      </c>
      <c r="C22" s="302">
        <v>1</v>
      </c>
      <c r="D22" s="300"/>
      <c r="E22" s="319">
        <f>IF(C22=1,VLOOKUP(B22,'dam loai 1 T2'!$B$6:$R$41,15,0),IF(C22=2,(IF(D22="Ri",VLOOKUP(B22,'dam loai 2 T2'!$A$6:$X$50,19,0),IF(D22="Rj",VLOOKUP(B22,'dam loai 2 T2'!$A$6:$X$50,20,0),0))),IF(C22=3,(IF(D22="Ri",VLOOKUP(B22,'dam loai 3 T2'!$A$6:$X$50,19,0),IF(D22="Rj",VLOOKUP(B22,'dam loai 3 T2'!$A$6:$X$50,20,0),0))))))</f>
        <v>1400.4616666666668</v>
      </c>
      <c r="F22" s="1235"/>
      <c r="G22" s="1236"/>
      <c r="H22" s="1237">
        <f>IF(C22=1,VLOOKUP(B22,'dam loai 1 T2'!$B$6:$R$41,17,0),IF(C22=2,(IF(D22="Ri",VLOOKUP(B22,'dam loai 2 T2'!$A$6:$X$50,23,0),IF(D22="Rj",VLOOKUP(B22,'dam loai 2 T2'!$A$6:$X$50,24,0),0))),IF(C22=3,(IF(D22="Ri",VLOOKUP(B22,'dam loai 3 T2'!$A$6:$X$50,23,0),IF(D22="Rj",VLOOKUP(B22,'dam loai 3 T2'!$A$6:$X$50,24,0),0))))))</f>
        <v>1.0929166666666665</v>
      </c>
      <c r="I22" s="1238"/>
      <c r="J22" s="1235"/>
      <c r="K22" s="1236"/>
      <c r="L22" s="288"/>
      <c r="M22" s="1235"/>
      <c r="N22" s="1236"/>
      <c r="O22" s="1248"/>
      <c r="P22" s="1249"/>
    </row>
    <row r="23" spans="1:21" ht="15.5">
      <c r="A23" s="1196" t="s">
        <v>600</v>
      </c>
      <c r="B23" s="299">
        <v>8</v>
      </c>
      <c r="C23" s="302">
        <v>1</v>
      </c>
      <c r="D23" s="300"/>
      <c r="E23" s="319">
        <f>IF(C23=1,VLOOKUP(B23,'dam loai 1 T2'!$B$6:$R$41,15,0),IF(C23=2,(IF(D23="Ri",VLOOKUP(B23,'dam loai 2 T2'!$A$6:$X$50,19,0),IF(D23="Rj",VLOOKUP(B23,'dam loai 2 T2'!$A$6:$X$50,20,0),0))),IF(C23=3,(IF(D23="Ri",VLOOKUP(B23,'dam loai 3 T2'!$A$6:$X$50,19,0),IF(D23="Rj",VLOOKUP(B23,'dam loai 3 T2'!$A$6:$X$50,20,0),0))))))</f>
        <v>2801.5457595729167</v>
      </c>
      <c r="F23" s="1233">
        <f>E23+E24</f>
        <v>4202.0074262395838</v>
      </c>
      <c r="G23" s="1234"/>
      <c r="H23" s="1237">
        <f>IF(C23=1,VLOOKUP(B23,'dam loai 1 T2'!$B$6:$R$41,17,0),IF(C23=2,(IF(D23="Ri",VLOOKUP(B23,'dam loai 2 T2'!$A$6:$X$50,23,0),IF(D23="Rj",VLOOKUP(B23,'dam loai 2 T2'!$A$6:$X$50,24,0),0))),IF(C23=3,(IF(D23="Ri",VLOOKUP(B23,'dam loai 3 T2'!$A$6:$X$50,23,0),IF(D23="Rj",VLOOKUP(B23,'dam loai 3 T2'!$A$6:$X$50,24,0),0))))))</f>
        <v>1.9262200807291667</v>
      </c>
      <c r="I23" s="1238"/>
      <c r="J23" s="1233">
        <f>H23+H24</f>
        <v>3.0191367473958333</v>
      </c>
      <c r="K23" s="1234"/>
      <c r="L23" s="288"/>
      <c r="M23" s="1233">
        <v>4.2300000000000004</v>
      </c>
      <c r="N23" s="1234"/>
      <c r="O23" s="1246">
        <f t="shared" ref="O23" si="4">M23/F23*1000</f>
        <v>1.0066617144904637</v>
      </c>
      <c r="P23" s="1247"/>
    </row>
    <row r="24" spans="1:21" ht="15.5">
      <c r="A24" s="1197"/>
      <c r="B24" s="299">
        <v>12</v>
      </c>
      <c r="C24" s="302">
        <v>1</v>
      </c>
      <c r="D24" s="300"/>
      <c r="E24" s="319">
        <f>IF(C24=1,VLOOKUP(B24,'dam loai 1 T2'!$B$6:$R$41,15,0),IF(C24=2,(IF(D24="Ri",VLOOKUP(B24,'dam loai 2 T2'!$A$6:$X$50,19,0),IF(D24="Rj",VLOOKUP(B24,'dam loai 2 T2'!$A$6:$X$50,20,0),0))),IF(C24=3,(IF(D24="Ri",VLOOKUP(B24,'dam loai 3 T2'!$A$6:$X$50,19,0),IF(D24="Rj",VLOOKUP(B24,'dam loai 3 T2'!$A$6:$X$50,20,0),0))))))</f>
        <v>1400.4616666666668</v>
      </c>
      <c r="F24" s="1235"/>
      <c r="G24" s="1236"/>
      <c r="H24" s="1237">
        <f>IF(C24=1,VLOOKUP(B24,'dam loai 1 T2'!$B$6:$R$41,17,0),IF(C24=2,(IF(D24="Ri",VLOOKUP(B24,'dam loai 2 T2'!$A$6:$X$50,23,0),IF(D24="Rj",VLOOKUP(B24,'dam loai 2 T2'!$A$6:$X$50,24,0),0))),IF(C24=3,(IF(D24="Ri",VLOOKUP(B24,'dam loai 3 T2'!$A$6:$X$50,23,0),IF(D24="Rj",VLOOKUP(B24,'dam loai 3 T2'!$A$6:$X$50,24,0),0))))))</f>
        <v>1.0929166666666665</v>
      </c>
      <c r="I24" s="1238"/>
      <c r="J24" s="1235"/>
      <c r="K24" s="1236"/>
      <c r="L24" s="288"/>
      <c r="M24" s="1235"/>
      <c r="N24" s="1236"/>
      <c r="O24" s="1248"/>
      <c r="P24" s="1249"/>
    </row>
    <row r="25" spans="1:21" ht="15.5">
      <c r="A25" s="1196" t="s">
        <v>606</v>
      </c>
      <c r="B25" s="299">
        <v>9</v>
      </c>
      <c r="C25" s="320">
        <v>1</v>
      </c>
      <c r="D25" s="300"/>
      <c r="E25" s="319">
        <f>IF(C25=1,VLOOKUP(B25,'dam loai 1 T2'!$B$6:$R$41,15,0),IF(C25=2,(IF(D25="Ri",VLOOKUP(B25,'dam loai 2 T2'!$A$6:$X$50,19,0),IF(D25="Rj",VLOOKUP(B25,'dam loai 2 T2'!$A$6:$X$50,20,0),0))),IF(C25=3,(IF(D25="Ri",VLOOKUP(B25,'dam loai 3 T2'!$A$6:$X$50,19,0),IF(D25="Rj",VLOOKUP(B25,'dam loai 3 T2'!$A$6:$X$50,20,0),0))))))</f>
        <v>4582.1790929062508</v>
      </c>
      <c r="F25" s="1233">
        <f>E25+E26</f>
        <v>6873.0540929062518</v>
      </c>
      <c r="G25" s="1234"/>
      <c r="H25" s="1237">
        <f>IF(C25=1,VLOOKUP(B25,'dam loai 1 T2'!$B$6:$R$41,17,0),IF(C25=2,(IF(D25="Ri",VLOOKUP(B25,'dam loai 2 T2'!$A$6:$X$50,23,0),IF(D25="Rj",VLOOKUP(B25,'dam loai 2 T2'!$A$6:$X$50,24,0),0))),IF(C25=3,(IF(D25="Ri",VLOOKUP(B25,'dam loai 3 T2'!$A$6:$X$50,23,0),IF(D25="Rj",VLOOKUP(B25,'dam loai 3 T2'!$A$6:$X$50,24,0),0))))))</f>
        <v>0.55955341406250014</v>
      </c>
      <c r="I25" s="1238"/>
      <c r="J25" s="1233">
        <f>H25+H26</f>
        <v>1.0658034140625001</v>
      </c>
      <c r="K25" s="1234"/>
      <c r="L25" s="288"/>
      <c r="M25" s="1233">
        <v>2.25</v>
      </c>
      <c r="N25" s="1234"/>
      <c r="O25" s="1246">
        <f t="shared" ref="O25" si="5">M25/F25*1000</f>
        <v>0.32736538510911006</v>
      </c>
      <c r="P25" s="1247"/>
    </row>
    <row r="26" spans="1:21" ht="15.5">
      <c r="A26" s="1197"/>
      <c r="B26" s="299">
        <v>13</v>
      </c>
      <c r="C26" s="320">
        <v>1</v>
      </c>
      <c r="D26" s="300"/>
      <c r="E26" s="319">
        <f>IF(C26=1,VLOOKUP(B26,'dam loai 1 T2'!$B$6:$R$41,15,0),IF(C26=2,(IF(D26="Ri",VLOOKUP(B26,'dam loai 2 T2'!$A$6:$X$50,19,0),IF(D26="Rj",VLOOKUP(B26,'dam loai 2 T2'!$A$6:$X$50,20,0),0))),IF(C26=3,(IF(D26="Ri",VLOOKUP(B26,'dam loai 3 T2'!$A$6:$X$50,19,0),IF(D26="Rj",VLOOKUP(B26,'dam loai 3 T2'!$A$6:$X$50,20,0),0))))))</f>
        <v>2290.8750000000005</v>
      </c>
      <c r="F26" s="1235"/>
      <c r="G26" s="1236"/>
      <c r="H26" s="1243">
        <f>IF(C26=1,VLOOKUP(B26,'dam loai 1 T2'!$B$6:$R$41,17,0),IF(C26=2,(IF(D26="Ri",VLOOKUP(B26,'dam loai 2 T2'!$A$6:$X$50,23,0),IF(D26="Rj",VLOOKUP(B26,'dam loai 2 T2'!$A$6:$X$50,24,0),0))),IF(C26=3,(IF(D26="Ri",VLOOKUP(B26,'dam loai 3 T2'!$A$6:$X$50,23,0),IF(D26="Rj",VLOOKUP(B26,'dam loai 3 T2'!$A$6:$X$50,24,0),0))))))</f>
        <v>0.50625000000000009</v>
      </c>
      <c r="I26" s="1243"/>
      <c r="J26" s="1235"/>
      <c r="K26" s="1236"/>
      <c r="L26" s="288"/>
      <c r="M26" s="1235"/>
      <c r="N26" s="1236"/>
      <c r="O26" s="1248"/>
      <c r="P26" s="1249"/>
    </row>
    <row r="30" spans="1:21" ht="18">
      <c r="A30" s="303"/>
      <c r="B30" s="303"/>
      <c r="C30" s="303"/>
      <c r="D30" s="303"/>
      <c r="E30" s="303"/>
      <c r="F30" s="303"/>
      <c r="G30" s="303"/>
      <c r="H30" s="303"/>
      <c r="I30" s="303"/>
      <c r="J30" s="303"/>
      <c r="K30" s="303"/>
      <c r="L30" s="303"/>
      <c r="M30" s="303"/>
      <c r="N30" s="303"/>
      <c r="O30" s="303"/>
      <c r="P30" s="303"/>
      <c r="Q30" s="303"/>
      <c r="R30" s="303"/>
      <c r="S30" s="303"/>
      <c r="T30" s="303"/>
      <c r="U30" s="303"/>
    </row>
    <row r="31" spans="1:21" ht="18">
      <c r="A31" s="303"/>
      <c r="B31" s="303"/>
      <c r="C31" s="303"/>
      <c r="D31" s="303"/>
      <c r="E31" s="303"/>
      <c r="F31" s="303"/>
      <c r="G31" s="303"/>
      <c r="H31" s="303"/>
      <c r="I31" s="303"/>
      <c r="J31" s="303"/>
      <c r="K31" s="303"/>
      <c r="L31" s="303"/>
      <c r="M31" s="303"/>
      <c r="N31" s="303"/>
      <c r="O31" s="303"/>
      <c r="P31" s="303"/>
      <c r="Q31" s="303"/>
      <c r="R31" s="303"/>
      <c r="S31" s="303"/>
      <c r="T31" s="303"/>
      <c r="U31" s="303"/>
    </row>
  </sheetData>
  <mergeCells count="59">
    <mergeCell ref="M23:N24"/>
    <mergeCell ref="M25:N26"/>
    <mergeCell ref="O14:P15"/>
    <mergeCell ref="O16:P16"/>
    <mergeCell ref="O17:P18"/>
    <mergeCell ref="O19:P20"/>
    <mergeCell ref="O21:P22"/>
    <mergeCell ref="O23:P24"/>
    <mergeCell ref="O25:P26"/>
    <mergeCell ref="M14:N15"/>
    <mergeCell ref="M16:N16"/>
    <mergeCell ref="M17:N18"/>
    <mergeCell ref="M19:N20"/>
    <mergeCell ref="M21:N22"/>
    <mergeCell ref="A2:K2"/>
    <mergeCell ref="K3:K4"/>
    <mergeCell ref="A14:A16"/>
    <mergeCell ref="A17:A18"/>
    <mergeCell ref="E14:E15"/>
    <mergeCell ref="B4:B5"/>
    <mergeCell ref="C4:C5"/>
    <mergeCell ref="D4:D5"/>
    <mergeCell ref="B3:D3"/>
    <mergeCell ref="A13:K13"/>
    <mergeCell ref="I3:J3"/>
    <mergeCell ref="B14:B16"/>
    <mergeCell ref="A21:A22"/>
    <mergeCell ref="A23:A24"/>
    <mergeCell ref="J23:K24"/>
    <mergeCell ref="A19:A20"/>
    <mergeCell ref="E3:H5"/>
    <mergeCell ref="A3:A5"/>
    <mergeCell ref="H17:I17"/>
    <mergeCell ref="C14:D16"/>
    <mergeCell ref="H23:I23"/>
    <mergeCell ref="A25:A26"/>
    <mergeCell ref="J21:K22"/>
    <mergeCell ref="F14:G15"/>
    <mergeCell ref="F16:G16"/>
    <mergeCell ref="F17:G18"/>
    <mergeCell ref="F19:G20"/>
    <mergeCell ref="F21:G22"/>
    <mergeCell ref="J14:K15"/>
    <mergeCell ref="J16:K16"/>
    <mergeCell ref="J17:K18"/>
    <mergeCell ref="H14:I15"/>
    <mergeCell ref="H16:I16"/>
    <mergeCell ref="F23:G24"/>
    <mergeCell ref="H24:I24"/>
    <mergeCell ref="H25:I25"/>
    <mergeCell ref="H26:I26"/>
    <mergeCell ref="F25:G26"/>
    <mergeCell ref="H22:I22"/>
    <mergeCell ref="J25:K26"/>
    <mergeCell ref="H18:I18"/>
    <mergeCell ref="H19:I19"/>
    <mergeCell ref="H20:I20"/>
    <mergeCell ref="H21:I21"/>
    <mergeCell ref="J19:K20"/>
  </mergeCells>
  <phoneticPr fontId="47"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9D4BF-CEBD-46CB-842A-98823D930FFA}">
  <sheetPr codeName="Sheet33"/>
  <dimension ref="B1:T28"/>
  <sheetViews>
    <sheetView workbookViewId="0">
      <selection activeCell="X28" sqref="X28"/>
    </sheetView>
  </sheetViews>
  <sheetFormatPr defaultColWidth="8.83203125" defaultRowHeight="14"/>
  <cols>
    <col min="3" max="3" width="10.08203125" customWidth="1"/>
  </cols>
  <sheetData>
    <row r="1" spans="2:20" ht="14.5" thickBot="1">
      <c r="B1" s="288"/>
      <c r="C1" s="288"/>
      <c r="D1" s="288"/>
      <c r="E1" s="288"/>
      <c r="F1" s="288"/>
      <c r="G1" s="288"/>
      <c r="H1" s="288"/>
      <c r="I1" s="288"/>
      <c r="J1" s="288"/>
      <c r="K1" s="288"/>
      <c r="L1" s="288"/>
      <c r="M1" s="288"/>
      <c r="N1" s="288"/>
      <c r="O1" s="288"/>
      <c r="P1" s="288"/>
      <c r="Q1" s="288"/>
      <c r="R1" s="288"/>
      <c r="S1" s="288"/>
      <c r="T1" s="288"/>
    </row>
    <row r="2" spans="2:20" ht="18" thickBot="1">
      <c r="B2" s="1191" t="s">
        <v>570</v>
      </c>
      <c r="C2" s="1191"/>
      <c r="D2" s="1191"/>
      <c r="E2" s="1191"/>
      <c r="F2" s="1191"/>
      <c r="G2" s="1191"/>
      <c r="H2" s="1191"/>
      <c r="I2" s="1191"/>
      <c r="J2" s="1191"/>
      <c r="K2" s="1191"/>
      <c r="L2" s="1191"/>
      <c r="M2" s="1191"/>
      <c r="N2" s="1191"/>
      <c r="O2" s="1191"/>
      <c r="P2" s="1191"/>
      <c r="Q2" s="1191"/>
      <c r="R2" s="1191"/>
      <c r="S2" s="288"/>
      <c r="T2" s="288"/>
    </row>
    <row r="3" spans="2:20" ht="15.5" thickBot="1">
      <c r="B3" s="1195" t="s">
        <v>551</v>
      </c>
      <c r="C3" s="1195" t="s">
        <v>552</v>
      </c>
      <c r="D3" s="1195" t="s">
        <v>553</v>
      </c>
      <c r="E3" s="1195"/>
      <c r="F3" s="1195" t="s">
        <v>554</v>
      </c>
      <c r="G3" s="1195" t="s">
        <v>555</v>
      </c>
      <c r="H3" s="1195"/>
      <c r="I3" s="1195"/>
      <c r="J3" s="1195" t="s">
        <v>556</v>
      </c>
      <c r="K3" s="1195"/>
      <c r="L3" s="1195"/>
      <c r="M3" s="1195"/>
      <c r="N3" s="1195" t="s">
        <v>557</v>
      </c>
      <c r="O3" s="1195"/>
      <c r="P3" s="1195"/>
      <c r="Q3" s="1195" t="s">
        <v>558</v>
      </c>
      <c r="R3" s="1195"/>
      <c r="S3" s="288"/>
      <c r="T3" s="288"/>
    </row>
    <row r="4" spans="2:20" ht="18.5" thickBot="1">
      <c r="B4" s="1195"/>
      <c r="C4" s="1195"/>
      <c r="D4" s="1195"/>
      <c r="E4" s="1195"/>
      <c r="F4" s="1195"/>
      <c r="G4" s="1195"/>
      <c r="H4" s="1195"/>
      <c r="I4" s="1195"/>
      <c r="J4" s="1195"/>
      <c r="K4" s="1195"/>
      <c r="L4" s="1195"/>
      <c r="M4" s="1195"/>
      <c r="N4" s="261" t="s">
        <v>559</v>
      </c>
      <c r="O4" s="261" t="s">
        <v>560</v>
      </c>
      <c r="P4" s="261" t="s">
        <v>561</v>
      </c>
      <c r="Q4" s="261" t="s">
        <v>559</v>
      </c>
      <c r="R4" s="261" t="s">
        <v>561</v>
      </c>
      <c r="S4" s="288"/>
      <c r="T4" s="288"/>
    </row>
    <row r="5" spans="2:20" ht="15.5">
      <c r="B5" s="1195"/>
      <c r="C5" s="262" t="s">
        <v>6</v>
      </c>
      <c r="D5" s="262" t="s">
        <v>562</v>
      </c>
      <c r="E5" s="262" t="s">
        <v>563</v>
      </c>
      <c r="F5" s="262" t="s">
        <v>564</v>
      </c>
      <c r="G5" s="262" t="s">
        <v>565</v>
      </c>
      <c r="H5" s="262" t="s">
        <v>566</v>
      </c>
      <c r="I5" s="262" t="s">
        <v>208</v>
      </c>
      <c r="J5" s="1195"/>
      <c r="K5" s="1195"/>
      <c r="L5" s="1195"/>
      <c r="M5" s="1195"/>
      <c r="N5" s="262" t="s">
        <v>564</v>
      </c>
      <c r="O5" s="262" t="s">
        <v>564</v>
      </c>
      <c r="P5" s="262" t="s">
        <v>567</v>
      </c>
      <c r="Q5" s="262" t="s">
        <v>564</v>
      </c>
      <c r="R5" s="262" t="s">
        <v>567</v>
      </c>
      <c r="S5" s="288"/>
      <c r="T5" s="288"/>
    </row>
    <row r="6" spans="2:20" ht="15.5">
      <c r="B6" s="272">
        <v>1</v>
      </c>
      <c r="C6" s="273">
        <v>6</v>
      </c>
      <c r="D6" s="259">
        <f>TH!$B$53/10</f>
        <v>20</v>
      </c>
      <c r="E6" s="259">
        <f>TH!$B$50/10</f>
        <v>40</v>
      </c>
      <c r="F6" s="264">
        <f t="shared" ref="F6:F28" si="0">1.1*D6*E6*2500/10000</f>
        <v>220</v>
      </c>
      <c r="G6" s="274">
        <v>100</v>
      </c>
      <c r="H6" s="260">
        <f>TH!$B$18</f>
        <v>3.6</v>
      </c>
      <c r="I6" s="265">
        <f t="shared" ref="I6:I14" si="1">IF(G6=100,180*1.1*H6,IF(G6=200,330*1.1*H6,0))</f>
        <v>712.80000000000007</v>
      </c>
      <c r="J6" s="275" t="s">
        <v>103</v>
      </c>
      <c r="K6" s="276" t="s">
        <v>569</v>
      </c>
      <c r="L6" s="275" t="s">
        <v>106</v>
      </c>
      <c r="M6" s="276" t="s">
        <v>569</v>
      </c>
      <c r="N6" s="268">
        <f>(IF(K6="HT",VLOOKUP(J6,'tải sàn'!$B$5:$L$51,11,0),IF(K6="TG",VLOOKUP(J6,'tải sàn'!$B$5:$L$51,9,0),0)))+(IF(M6="HT",VLOOKUP(L6,'tải sàn'!$B$5:$L$51,11,0),IF(M6="TG",VLOOKUP(L6,'tải sàn'!$B$5:$L$51,9,0),0)))</f>
        <v>1.2377777777777779</v>
      </c>
      <c r="O6" s="268">
        <f t="shared" ref="O6:O14" si="2">F6+I6+N6</f>
        <v>934.03777777777782</v>
      </c>
      <c r="P6" s="269">
        <f t="shared" ref="P6:P14" si="3">O6*C6/2</f>
        <v>2802.1133333333337</v>
      </c>
      <c r="Q6" s="268">
        <f>(IF(K6="HT",VLOOKUP(J6,'tải sàn'!$B$5:$L$51,10,0),IF(K6="TG",VLOOKUP(J6,'tải sàn'!$B$5:$L$51,8,0),0)))+(IF(M6="HT",VLOOKUP(L6,'tải sàn'!$B$5:$L$51,10,0),IF(M6="TG",VLOOKUP(L6,'tải sàn'!$B$5:$L$51,8,0),0)))</f>
        <v>1.2377777777777779</v>
      </c>
      <c r="R6" s="269">
        <f t="shared" ref="R6:R14" si="4">Q6*C6/2</f>
        <v>3.7133333333333338</v>
      </c>
    </row>
    <row r="7" spans="2:20" ht="15.5">
      <c r="B7" s="272">
        <v>2</v>
      </c>
      <c r="C7" s="273">
        <v>3</v>
      </c>
      <c r="D7" s="259">
        <f>TH!$B$53/10</f>
        <v>20</v>
      </c>
      <c r="E7" s="259">
        <f>TH!$B$50/10</f>
        <v>40</v>
      </c>
      <c r="F7" s="264">
        <f t="shared" si="0"/>
        <v>220</v>
      </c>
      <c r="G7" s="274">
        <v>100</v>
      </c>
      <c r="H7" s="260">
        <f>TH!$B$18</f>
        <v>3.6</v>
      </c>
      <c r="I7" s="265">
        <f t="shared" si="1"/>
        <v>712.80000000000007</v>
      </c>
      <c r="J7" s="275" t="s">
        <v>101</v>
      </c>
      <c r="K7" s="276" t="s">
        <v>568</v>
      </c>
      <c r="L7" s="275" t="s">
        <v>105</v>
      </c>
      <c r="M7" s="276" t="s">
        <v>569</v>
      </c>
      <c r="N7" s="268">
        <f>(IF(K7="HT",VLOOKUP(J7,'tải sàn'!$B$5:$L$51,11,0),IF(K7="TG",VLOOKUP(J7,'tải sàn'!$B$5:$L$51,9,0),0)))+(IF(M7="HT",VLOOKUP(L7,'tải sàn'!$B$5:$L$51,11,0),IF(M7="TG",VLOOKUP(L7,'tải sàn'!$B$5:$L$51,9,0),0)))</f>
        <v>0.84111111111111114</v>
      </c>
      <c r="O7" s="268">
        <f t="shared" si="2"/>
        <v>933.64111111111117</v>
      </c>
      <c r="P7" s="269">
        <f t="shared" si="3"/>
        <v>1400.4616666666668</v>
      </c>
      <c r="Q7" s="268">
        <f>(IF(K7="HT",VLOOKUP(J7,'tải sàn'!$B$5:$L$51,10,0),IF(K7="TG",VLOOKUP(J7,'tải sàn'!$B$5:$L$51,8,0),0)))+(IF(M7="HT",VLOOKUP(L7,'tải sàn'!$B$5:$L$51,10,0),IF(M7="TG",VLOOKUP(L7,'tải sàn'!$B$5:$L$51,8,0),0)))</f>
        <v>0.7286111111111111</v>
      </c>
      <c r="R7" s="269">
        <f t="shared" si="4"/>
        <v>1.0929166666666665</v>
      </c>
    </row>
    <row r="8" spans="2:20" ht="15.5">
      <c r="B8" s="272">
        <v>3</v>
      </c>
      <c r="C8" s="273">
        <v>5.5</v>
      </c>
      <c r="D8" s="259">
        <f>TH!$B$53/10</f>
        <v>20</v>
      </c>
      <c r="E8" s="259">
        <f>TH!$B$50/10</f>
        <v>40</v>
      </c>
      <c r="F8" s="264">
        <f>1.1*D8*E8*2500/10000</f>
        <v>220</v>
      </c>
      <c r="G8" s="274">
        <v>100</v>
      </c>
      <c r="H8" s="260">
        <f>TH!$B$18</f>
        <v>3.6</v>
      </c>
      <c r="I8" s="265">
        <f>IF(G8=100,180*1.1*H8,IF(G8=200,330*1.1*H8,0))</f>
        <v>712.80000000000007</v>
      </c>
      <c r="J8" s="275" t="s">
        <v>102</v>
      </c>
      <c r="K8" s="276" t="s">
        <v>569</v>
      </c>
      <c r="L8" s="275" t="s">
        <v>104</v>
      </c>
      <c r="M8" s="276" t="s">
        <v>569</v>
      </c>
      <c r="N8" s="268">
        <f>(IF(K8="HT",VLOOKUP(J8,'tải sàn'!$B$5:$L$51,11,0),IF(K8="TG",VLOOKUP(J8,'tải sàn'!$B$5:$L$51,9,0),0)))+(IF(M8="HT",VLOOKUP(L8,'tải sàn'!$B$5:$L$51,11,0),IF(M8="TG",VLOOKUP(L8,'tải sàn'!$B$5:$L$51,9,0),0)))</f>
        <v>1.407167543200601</v>
      </c>
      <c r="O8" s="268">
        <f>F8+I8+N8</f>
        <v>934.20716754320063</v>
      </c>
      <c r="P8" s="269">
        <f>O8*C8/2</f>
        <v>2569.0697107438018</v>
      </c>
      <c r="Q8" s="268">
        <f>(IF(K8="HT",VLOOKUP(J8,'tải sàn'!$B$5:$L$51,10,0),IF(K8="TG",VLOOKUP(J8,'tải sàn'!$B$5:$L$51,8,0),0)))+(IF(M8="HT",VLOOKUP(L8,'tải sàn'!$B$5:$L$51,10,0),IF(M8="TG",VLOOKUP(L8,'tải sàn'!$B$5:$L$51,8,0),0)))</f>
        <v>1.0153568745304282</v>
      </c>
      <c r="R8" s="269">
        <f>Q8*C8/2</f>
        <v>2.7922314049586774</v>
      </c>
    </row>
    <row r="9" spans="2:20" ht="15.5">
      <c r="B9" s="272">
        <v>4</v>
      </c>
      <c r="C9" s="273">
        <v>4</v>
      </c>
      <c r="D9" s="259">
        <f>TH!$B$53/10</f>
        <v>20</v>
      </c>
      <c r="E9" s="259">
        <f>TH!$B$50/10</f>
        <v>40</v>
      </c>
      <c r="F9" s="264">
        <f t="shared" si="0"/>
        <v>220</v>
      </c>
      <c r="G9" s="274">
        <v>0</v>
      </c>
      <c r="H9" s="260">
        <f>TH!$B$18</f>
        <v>3.6</v>
      </c>
      <c r="I9" s="265">
        <f t="shared" si="1"/>
        <v>0</v>
      </c>
      <c r="J9" s="275" t="s">
        <v>108</v>
      </c>
      <c r="K9" s="276" t="s">
        <v>568</v>
      </c>
      <c r="L9" s="275" t="s">
        <v>107</v>
      </c>
      <c r="M9" s="276" t="s">
        <v>569</v>
      </c>
      <c r="N9" s="268">
        <f>(IF(K9="HT",VLOOKUP(J9,'tải sàn'!$B$5:$L$51,11,0),IF(K9="TG",VLOOKUP(J9,'tải sàn'!$B$5:$L$51,9,0),0)))+(IF(M9="HT",VLOOKUP(L9,'tải sàn'!$B$5:$L$51,11,0),IF(M9="TG",VLOOKUP(L9,'tải sàn'!$B$5:$L$51,9,0),0)))</f>
        <v>1.0274999999999999</v>
      </c>
      <c r="O9" s="268">
        <f t="shared" si="2"/>
        <v>221.0275</v>
      </c>
      <c r="P9" s="269">
        <f t="shared" si="3"/>
        <v>442.05500000000001</v>
      </c>
      <c r="Q9" s="268">
        <f>(IF(K9="HT",VLOOKUP(J9,'tải sàn'!$B$5:$L$51,10,0),IF(K9="TG",VLOOKUP(J9,'tải sàn'!$B$5:$L$51,8,0),0)))+(IF(M9="HT",VLOOKUP(L9,'tải sàn'!$B$5:$L$51,10,0),IF(M9="TG",VLOOKUP(L9,'tải sàn'!$B$5:$L$51,8,0),0)))</f>
        <v>1.0274999999999999</v>
      </c>
      <c r="R9" s="269">
        <f t="shared" si="4"/>
        <v>2.0549999999999997</v>
      </c>
    </row>
    <row r="10" spans="2:20" ht="15.5">
      <c r="B10" s="272">
        <v>5</v>
      </c>
      <c r="C10" s="273">
        <v>5.5</v>
      </c>
      <c r="D10" s="259">
        <f>TH!$B$53/10</f>
        <v>20</v>
      </c>
      <c r="E10" s="259">
        <f>TH!$B$50/10</f>
        <v>40</v>
      </c>
      <c r="F10" s="264">
        <f>1.1*D10*E10*2500/10000</f>
        <v>220</v>
      </c>
      <c r="G10" s="274">
        <v>100</v>
      </c>
      <c r="H10" s="260">
        <f>TH!$B$18</f>
        <v>3.6</v>
      </c>
      <c r="I10" s="265">
        <f>IF(G10=100,180*1.1*H10,IF(G10=200,330*1.1*H10,0))</f>
        <v>712.80000000000007</v>
      </c>
      <c r="J10" s="275" t="s">
        <v>102</v>
      </c>
      <c r="K10" s="276" t="s">
        <v>569</v>
      </c>
      <c r="L10" s="275" t="s">
        <v>104</v>
      </c>
      <c r="M10" s="276" t="s">
        <v>569</v>
      </c>
      <c r="N10" s="268">
        <f>(IF(K10="HT",VLOOKUP(J10,'tải sàn'!$B$5:$L$51,11,0),IF(K10="TG",VLOOKUP(J10,'tải sàn'!$B$5:$L$51,9,0),0)))+(IF(M10="HT",VLOOKUP(L10,'tải sàn'!$B$5:$L$51,11,0),IF(M10="TG",VLOOKUP(L10,'tải sàn'!$B$5:$L$51,9,0),0)))</f>
        <v>1.407167543200601</v>
      </c>
      <c r="O10" s="268">
        <f>F10+I10+N10</f>
        <v>934.20716754320063</v>
      </c>
      <c r="P10" s="269">
        <f>O10*C10/2</f>
        <v>2569.0697107438018</v>
      </c>
      <c r="Q10" s="268">
        <f>(IF(K10="HT",VLOOKUP(J10,'tải sàn'!$B$5:$L$51,10,0),IF(K10="TG",VLOOKUP(J10,'tải sàn'!$B$5:$L$51,8,0),0)))+(IF(M10="HT",VLOOKUP(L10,'tải sàn'!$B$5:$L$51,10,0),IF(M10="TG",VLOOKUP(L10,'tải sàn'!$B$5:$L$51,8,0),0)))</f>
        <v>1.0153568745304282</v>
      </c>
      <c r="R10" s="269">
        <f>Q10*C10/2</f>
        <v>2.7922314049586774</v>
      </c>
    </row>
    <row r="11" spans="2:20" ht="15.5">
      <c r="B11" s="272">
        <v>6</v>
      </c>
      <c r="C11" s="273">
        <v>3</v>
      </c>
      <c r="D11" s="259">
        <f>TH!$B$53/10</f>
        <v>20</v>
      </c>
      <c r="E11" s="259">
        <f>TH!$B$50/10</f>
        <v>40</v>
      </c>
      <c r="F11" s="264">
        <f t="shared" si="0"/>
        <v>220</v>
      </c>
      <c r="G11" s="274">
        <v>0</v>
      </c>
      <c r="H11" s="260">
        <f>TH!$B$18</f>
        <v>3.6</v>
      </c>
      <c r="I11" s="265">
        <f t="shared" si="1"/>
        <v>0</v>
      </c>
      <c r="J11" s="275" t="s">
        <v>101</v>
      </c>
      <c r="K11" s="276" t="s">
        <v>568</v>
      </c>
      <c r="L11" s="275" t="s">
        <v>105</v>
      </c>
      <c r="M11" s="276" t="s">
        <v>569</v>
      </c>
      <c r="N11" s="268">
        <f>(IF(K11="HT",VLOOKUP(J11,'tải sàn'!$B$5:$L$51,11,0),IF(K11="TG",VLOOKUP(J11,'tải sàn'!$B$5:$L$51,9,0),0)))+(IF(M11="HT",VLOOKUP(L11,'tải sàn'!$B$5:$L$51,11,0),IF(M11="TG",VLOOKUP(L11,'tải sàn'!$B$5:$L$51,9,0),0)))</f>
        <v>0.84111111111111114</v>
      </c>
      <c r="O11" s="268">
        <f t="shared" si="2"/>
        <v>220.8411111111111</v>
      </c>
      <c r="P11" s="269">
        <f t="shared" si="3"/>
        <v>331.26166666666666</v>
      </c>
      <c r="Q11" s="268">
        <f>(IF(K11="HT",VLOOKUP(J11,'tải sàn'!$B$5:$L$51,10,0),IF(K11="TG",VLOOKUP(J11,'tải sàn'!$B$5:$L$51,8,0),0)))+(IF(M11="HT",VLOOKUP(L11,'tải sàn'!$B$5:$L$51,10,0),IF(M11="TG",VLOOKUP(L11,'tải sàn'!$B$5:$L$51,8,0),0)))</f>
        <v>0.7286111111111111</v>
      </c>
      <c r="R11" s="269">
        <f t="shared" si="4"/>
        <v>1.0929166666666665</v>
      </c>
    </row>
    <row r="12" spans="2:20" ht="15.5">
      <c r="B12" s="272">
        <v>7</v>
      </c>
      <c r="C12" s="273">
        <v>6</v>
      </c>
      <c r="D12" s="259">
        <f>TH!$B$53/10</f>
        <v>20</v>
      </c>
      <c r="E12" s="259">
        <f>TH!$B$50/10</f>
        <v>40</v>
      </c>
      <c r="F12" s="264">
        <f t="shared" si="0"/>
        <v>220</v>
      </c>
      <c r="G12" s="274">
        <v>0</v>
      </c>
      <c r="H12" s="260">
        <f>TH!$B$18</f>
        <v>3.6</v>
      </c>
      <c r="I12" s="265">
        <f t="shared" si="1"/>
        <v>0</v>
      </c>
      <c r="J12" s="275" t="s">
        <v>103</v>
      </c>
      <c r="K12" s="276" t="s">
        <v>569</v>
      </c>
      <c r="L12" s="275" t="s">
        <v>106</v>
      </c>
      <c r="M12" s="276" t="s">
        <v>569</v>
      </c>
      <c r="N12" s="268">
        <f>(IF(K12="HT",VLOOKUP(J12,'tải sàn'!$B$5:$L$51,11,0),IF(K12="TG",VLOOKUP(J12,'tải sàn'!$B$5:$L$51,9,0),0)))+(IF(M12="HT",VLOOKUP(L12,'tải sàn'!$B$5:$L$51,11,0),IF(M12="TG",VLOOKUP(L12,'tải sàn'!$B$5:$L$51,9,0),0)))</f>
        <v>1.2377777777777779</v>
      </c>
      <c r="O12" s="268">
        <f t="shared" si="2"/>
        <v>221.23777777777778</v>
      </c>
      <c r="P12" s="269">
        <f t="shared" si="3"/>
        <v>663.71333333333337</v>
      </c>
      <c r="Q12" s="268">
        <f>(IF(K12="HT",VLOOKUP(J12,'tải sàn'!$B$5:$L$51,10,0),IF(K12="TG",VLOOKUP(J12,'tải sàn'!$B$5:$L$51,8,0),0)))+(IF(M12="HT",VLOOKUP(L12,'tải sàn'!$B$5:$L$51,10,0),IF(M12="TG",VLOOKUP(L12,'tải sàn'!$B$5:$L$51,8,0),0)))</f>
        <v>1.2377777777777779</v>
      </c>
      <c r="R12" s="269">
        <f t="shared" si="4"/>
        <v>3.7133333333333338</v>
      </c>
    </row>
    <row r="13" spans="2:20" ht="15.5">
      <c r="B13" s="272">
        <v>8</v>
      </c>
      <c r="C13" s="273">
        <v>4</v>
      </c>
      <c r="D13" s="259">
        <f>TH!$B$53/10</f>
        <v>20</v>
      </c>
      <c r="E13" s="259">
        <f>TH!$B$50/10</f>
        <v>40</v>
      </c>
      <c r="F13" s="264">
        <f t="shared" si="0"/>
        <v>220</v>
      </c>
      <c r="G13" s="274">
        <v>200</v>
      </c>
      <c r="H13" s="260">
        <f>TH!$B$18</f>
        <v>3.6</v>
      </c>
      <c r="I13" s="265">
        <f t="shared" si="1"/>
        <v>1306.8000000000002</v>
      </c>
      <c r="J13" s="275" t="s">
        <v>103</v>
      </c>
      <c r="K13" s="276" t="s">
        <v>568</v>
      </c>
      <c r="L13" s="275"/>
      <c r="M13" s="276"/>
      <c r="N13" s="268">
        <f>(IF(K13="HT",VLOOKUP(J13,'tải sàn'!$B$5:$L$51,11,0),IF(K13="TG",VLOOKUP(J13,'tải sàn'!$B$5:$L$51,9,0),0)))+(IF(M13="HT",VLOOKUP(L13,'tải sàn'!$B$5:$L$51,11,0),IF(M13="TG",VLOOKUP(L13,'tải sàn'!$B$5:$L$51,9,0),0)))</f>
        <v>0.6</v>
      </c>
      <c r="O13" s="268">
        <f t="shared" si="2"/>
        <v>1527.4</v>
      </c>
      <c r="P13" s="269">
        <f t="shared" si="3"/>
        <v>3054.8</v>
      </c>
      <c r="Q13" s="268">
        <f>(IF(K13="HT",VLOOKUP(J13,'tải sàn'!$B$5:$L$51,10,0),IF(K13="TG",VLOOKUP(J13,'tải sàn'!$B$5:$L$51,8,0),0)))+(IF(M13="HT",VLOOKUP(L13,'tải sàn'!$B$5:$L$51,10,0),IF(M13="TG",VLOOKUP(L13,'tải sàn'!$B$5:$L$51,8,0),0)))</f>
        <v>0.6</v>
      </c>
      <c r="R13" s="269">
        <f t="shared" si="4"/>
        <v>1.2</v>
      </c>
    </row>
    <row r="14" spans="2:20" ht="15.5">
      <c r="B14" s="272">
        <v>9</v>
      </c>
      <c r="C14" s="273">
        <v>4</v>
      </c>
      <c r="D14" s="259">
        <f>TH!$B$53/10</f>
        <v>20</v>
      </c>
      <c r="E14" s="259">
        <f>TH!$B$50/10</f>
        <v>40</v>
      </c>
      <c r="F14" s="264">
        <f t="shared" si="0"/>
        <v>220</v>
      </c>
      <c r="G14" s="274">
        <v>100</v>
      </c>
      <c r="H14" s="260">
        <f>TH!$B$18</f>
        <v>3.6</v>
      </c>
      <c r="I14" s="265">
        <f t="shared" si="1"/>
        <v>712.80000000000007</v>
      </c>
      <c r="J14" s="275" t="s">
        <v>103</v>
      </c>
      <c r="K14" s="276" t="s">
        <v>568</v>
      </c>
      <c r="L14" s="275" t="s">
        <v>110</v>
      </c>
      <c r="M14" s="276" t="s">
        <v>569</v>
      </c>
      <c r="N14" s="268">
        <f>(IF(K14="HT",VLOOKUP(J14,'tải sàn'!$B$5:$L$51,11,0),IF(K14="TG",VLOOKUP(J14,'tải sàn'!$B$5:$L$51,9,0),0)))+(IF(M14="HT",VLOOKUP(L14,'tải sàn'!$B$5:$L$51,11,0),IF(M14="TG",VLOOKUP(L14,'tải sàn'!$B$5:$L$51,9,0),0)))</f>
        <v>0.97269928364578573</v>
      </c>
      <c r="O14" s="268">
        <f t="shared" si="2"/>
        <v>933.77269928364581</v>
      </c>
      <c r="P14" s="269">
        <f t="shared" si="3"/>
        <v>1867.5453985672916</v>
      </c>
      <c r="Q14" s="268">
        <f>(IF(K14="HT",VLOOKUP(J14,'tải sàn'!$B$5:$L$51,10,0),IF(K14="TG",VLOOKUP(J14,'tải sàn'!$B$5:$L$51,8,0),0)))+(IF(M14="HT",VLOOKUP(L14,'tải sàn'!$B$5:$L$51,10,0),IF(M14="TG",VLOOKUP(L14,'tải sàn'!$B$5:$L$51,8,0),0)))</f>
        <v>0.97269928364578573</v>
      </c>
      <c r="R14" s="269">
        <f t="shared" si="4"/>
        <v>1.9453985672915715</v>
      </c>
    </row>
    <row r="15" spans="2:20" ht="15.5">
      <c r="B15" s="272">
        <v>10</v>
      </c>
      <c r="C15" s="273">
        <v>4</v>
      </c>
      <c r="D15" s="259">
        <f>TH!$B$53/10</f>
        <v>20</v>
      </c>
      <c r="E15" s="259">
        <f>TH!$B$50/10</f>
        <v>40</v>
      </c>
      <c r="F15" s="264">
        <f t="shared" si="0"/>
        <v>220</v>
      </c>
      <c r="G15" s="274">
        <v>100</v>
      </c>
      <c r="H15" s="260">
        <f>TH!$B$18</f>
        <v>3.6</v>
      </c>
      <c r="I15" s="265">
        <f>IF(G15=100,180*1.1*H15,IF(G15=200,330*1.1*H15,0))</f>
        <v>712.80000000000007</v>
      </c>
      <c r="J15" s="275" t="s">
        <v>101</v>
      </c>
      <c r="K15" s="276" t="s">
        <v>569</v>
      </c>
      <c r="L15" s="275" t="s">
        <v>102</v>
      </c>
      <c r="M15" s="276" t="s">
        <v>568</v>
      </c>
      <c r="N15" s="268">
        <f>(IF(K15="HT",VLOOKUP(J15,'tải sàn'!$B$5:$L$51,11,0),IF(K15="TG",VLOOKUP(J15,'tải sàn'!$B$5:$L$51,9,0),0)))+(IF(M15="HT",VLOOKUP(L15,'tải sàn'!$B$5:$L$51,11,0),IF(M15="TG",VLOOKUP(L15,'tải sàn'!$B$5:$L$51,9,0),0)))</f>
        <v>1.3179687499999999</v>
      </c>
      <c r="O15" s="268">
        <f t="shared" ref="O15:O28" si="5">F15+I15+N15</f>
        <v>934.11796875000005</v>
      </c>
      <c r="P15" s="269">
        <f t="shared" ref="P15:P28" si="6">O15*C15/2</f>
        <v>1868.2359375000001</v>
      </c>
      <c r="Q15" s="268">
        <f>(IF(K15="HT",VLOOKUP(J15,'tải sàn'!$B$5:$L$51,10,0),IF(K15="TG",VLOOKUP(J15,'tải sàn'!$B$5:$L$51,8,0),0)))+(IF(M15="HT",VLOOKUP(L15,'tải sàn'!$B$5:$L$51,10,0),IF(M15="TG",VLOOKUP(L15,'tải sàn'!$B$5:$L$51,8,0),0)))</f>
        <v>0.86660156249999987</v>
      </c>
      <c r="R15" s="269">
        <f t="shared" ref="R15:R28" si="7">Q15*C15/2</f>
        <v>1.7332031249999997</v>
      </c>
    </row>
    <row r="16" spans="2:20" ht="15.5">
      <c r="B16" s="272">
        <v>11</v>
      </c>
      <c r="C16" s="273">
        <v>4</v>
      </c>
      <c r="D16" s="259">
        <f>TH!$B$53/10</f>
        <v>20</v>
      </c>
      <c r="E16" s="259">
        <f>TH!$B$50/10</f>
        <v>40</v>
      </c>
      <c r="F16" s="264">
        <f t="shared" si="0"/>
        <v>220</v>
      </c>
      <c r="G16" s="274">
        <v>100</v>
      </c>
      <c r="H16" s="260">
        <f>TH!$B$18</f>
        <v>3.6</v>
      </c>
      <c r="I16" s="265">
        <f>IF(G16=100,180*1.1*H16,IF(G16=200,330*1.1*H16,0))</f>
        <v>712.80000000000007</v>
      </c>
      <c r="J16" s="275" t="s">
        <v>102</v>
      </c>
      <c r="K16" s="276" t="s">
        <v>568</v>
      </c>
      <c r="L16" s="275" t="s">
        <v>108</v>
      </c>
      <c r="M16" s="276" t="s">
        <v>568</v>
      </c>
      <c r="N16" s="268">
        <f>(IF(K16="HT",VLOOKUP(J16,'tải sàn'!$B$5:$L$51,11,0),IF(K16="TG",VLOOKUP(J16,'tải sàn'!$B$5:$L$51,9,0),0)))+(IF(M16="HT",VLOOKUP(L16,'tải sàn'!$B$5:$L$51,11,0),IF(M16="TG",VLOOKUP(L16,'tải sàn'!$B$5:$L$51,9,0),0)))</f>
        <v>1.3624999999999998</v>
      </c>
      <c r="O16" s="268">
        <f t="shared" si="5"/>
        <v>934.16250000000002</v>
      </c>
      <c r="P16" s="269">
        <f t="shared" si="6"/>
        <v>1868.325</v>
      </c>
      <c r="Q16" s="268">
        <f>(IF(K16="HT",VLOOKUP(J16,'tải sàn'!$B$5:$L$51,10,0),IF(K16="TG",VLOOKUP(J16,'tải sàn'!$B$5:$L$51,8,0),0)))+(IF(M16="HT",VLOOKUP(L16,'tải sàn'!$B$5:$L$51,10,0),IF(M16="TG",VLOOKUP(L16,'tải sàn'!$B$5:$L$51,8,0),0)))</f>
        <v>1.0499999999999998</v>
      </c>
      <c r="R16" s="269">
        <f t="shared" si="7"/>
        <v>2.0999999999999996</v>
      </c>
    </row>
    <row r="17" spans="2:18" ht="15.5">
      <c r="B17" s="272">
        <v>12</v>
      </c>
      <c r="C17" s="273">
        <v>4</v>
      </c>
      <c r="D17" s="259">
        <f>TH!$B$53/10</f>
        <v>20</v>
      </c>
      <c r="E17" s="259">
        <f>TH!$B$50/10</f>
        <v>40</v>
      </c>
      <c r="F17" s="264">
        <f t="shared" si="0"/>
        <v>220</v>
      </c>
      <c r="G17" s="274">
        <v>100</v>
      </c>
      <c r="H17" s="260">
        <f>TH!$B$18</f>
        <v>3.6</v>
      </c>
      <c r="I17" s="265">
        <f>IF(G17=100,180*1.1*H17,IF(G17=200,330*1.1*H17,0))</f>
        <v>712.80000000000007</v>
      </c>
      <c r="J17" s="275" t="s">
        <v>102</v>
      </c>
      <c r="K17" s="276" t="s">
        <v>568</v>
      </c>
      <c r="L17" s="275" t="s">
        <v>108</v>
      </c>
      <c r="M17" s="276" t="s">
        <v>568</v>
      </c>
      <c r="N17" s="268">
        <f>(IF(K17="HT",VLOOKUP(J17,'tải sàn'!$B$5:$L$51,11,0),IF(K17="TG",VLOOKUP(J17,'tải sàn'!$B$5:$L$51,9,0),0)))+(IF(M17="HT",VLOOKUP(L17,'tải sàn'!$B$5:$L$51,11,0),IF(M17="TG",VLOOKUP(L17,'tải sàn'!$B$5:$L$51,9,0),0)))</f>
        <v>1.3624999999999998</v>
      </c>
      <c r="O17" s="268">
        <f t="shared" si="5"/>
        <v>934.16250000000002</v>
      </c>
      <c r="P17" s="269">
        <f t="shared" si="6"/>
        <v>1868.325</v>
      </c>
      <c r="Q17" s="268">
        <f>(IF(K17="HT",VLOOKUP(J17,'tải sàn'!$B$5:$L$51,10,0),IF(K17="TG",VLOOKUP(J17,'tải sàn'!$B$5:$L$51,8,0),0)))+(IF(M17="HT",VLOOKUP(L17,'tải sàn'!$B$5:$L$51,10,0),IF(M17="TG",VLOOKUP(L17,'tải sàn'!$B$5:$L$51,8,0),0)))</f>
        <v>1.0499999999999998</v>
      </c>
      <c r="R17" s="269">
        <f t="shared" si="7"/>
        <v>2.0999999999999996</v>
      </c>
    </row>
    <row r="18" spans="2:18" ht="15.5">
      <c r="B18" s="272">
        <v>13</v>
      </c>
      <c r="C18" s="273">
        <v>4</v>
      </c>
      <c r="D18" s="259">
        <f>TH!$B$53/10</f>
        <v>20</v>
      </c>
      <c r="E18" s="259">
        <f>TH!$B$50/10</f>
        <v>40</v>
      </c>
      <c r="F18" s="264">
        <f t="shared" si="0"/>
        <v>220</v>
      </c>
      <c r="G18" s="274">
        <v>100</v>
      </c>
      <c r="H18" s="260">
        <f>TH!$B$18</f>
        <v>3.6</v>
      </c>
      <c r="I18" s="265">
        <f>IF(G18=100,180*1.1*H18,IF(G18=200,330*1.1*H18,0))</f>
        <v>712.80000000000007</v>
      </c>
      <c r="J18" s="275" t="s">
        <v>101</v>
      </c>
      <c r="K18" s="276" t="s">
        <v>569</v>
      </c>
      <c r="L18" s="275" t="s">
        <v>102</v>
      </c>
      <c r="M18" s="276" t="s">
        <v>568</v>
      </c>
      <c r="N18" s="268">
        <f>(IF(K18="HT",VLOOKUP(J18,'tải sàn'!$B$5:$L$51,11,0),IF(K18="TG",VLOOKUP(J18,'tải sàn'!$B$5:$L$51,9,0),0)))+(IF(M18="HT",VLOOKUP(L18,'tải sàn'!$B$5:$L$51,11,0),IF(M18="TG",VLOOKUP(L18,'tải sàn'!$B$5:$L$51,9,0),0)))</f>
        <v>1.3179687499999999</v>
      </c>
      <c r="O18" s="268">
        <f t="shared" si="5"/>
        <v>934.11796875000005</v>
      </c>
      <c r="P18" s="269">
        <f t="shared" si="6"/>
        <v>1868.2359375000001</v>
      </c>
      <c r="Q18" s="268">
        <f>(IF(K18="HT",VLOOKUP(J18,'tải sàn'!$B$5:$L$51,10,0),IF(K18="TG",VLOOKUP(J18,'tải sàn'!$B$5:$L$51,8,0),0)))+(IF(M18="HT",VLOOKUP(L18,'tải sàn'!$B$5:$L$51,10,0),IF(M18="TG",VLOOKUP(L18,'tải sàn'!$B$5:$L$51,8,0),0)))</f>
        <v>0.86660156249999987</v>
      </c>
      <c r="R18" s="269">
        <f t="shared" si="7"/>
        <v>1.7332031249999997</v>
      </c>
    </row>
    <row r="19" spans="2:18" ht="15.5">
      <c r="B19" s="272">
        <v>14</v>
      </c>
      <c r="C19" s="273">
        <v>4</v>
      </c>
      <c r="D19" s="259">
        <f>TH!$B$53/10</f>
        <v>20</v>
      </c>
      <c r="E19" s="259">
        <f>TH!$B$50/10</f>
        <v>40</v>
      </c>
      <c r="F19" s="264">
        <f t="shared" si="0"/>
        <v>220</v>
      </c>
      <c r="G19" s="274">
        <v>100</v>
      </c>
      <c r="H19" s="260">
        <f>TH!$B$18</f>
        <v>3.6</v>
      </c>
      <c r="I19" s="265">
        <f t="shared" ref="I19:I28" si="8">IF(G19=100,180*1.1*H19,IF(G19=200,330*1.1*H19,0))</f>
        <v>712.80000000000007</v>
      </c>
      <c r="J19" s="275" t="s">
        <v>103</v>
      </c>
      <c r="K19" s="276" t="s">
        <v>568</v>
      </c>
      <c r="L19" s="275" t="s">
        <v>110</v>
      </c>
      <c r="M19" s="276" t="s">
        <v>569</v>
      </c>
      <c r="N19" s="268">
        <f>(IF(K19="HT",VLOOKUP(J19,'tải sàn'!$B$5:$L$51,11,0),IF(K19="TG",VLOOKUP(J19,'tải sàn'!$B$5:$L$51,9,0),0)))+(IF(M19="HT",VLOOKUP(L19,'tải sàn'!$B$5:$L$51,11,0),IF(M19="TG",VLOOKUP(L19,'tải sàn'!$B$5:$L$51,9,0),0)))</f>
        <v>0.97269928364578573</v>
      </c>
      <c r="O19" s="268">
        <f t="shared" si="5"/>
        <v>933.77269928364581</v>
      </c>
      <c r="P19" s="269">
        <f t="shared" si="6"/>
        <v>1867.5453985672916</v>
      </c>
      <c r="Q19" s="268">
        <f>(IF(K19="HT",VLOOKUP(J19,'tải sàn'!$B$5:$L$51,10,0),IF(K19="TG",VLOOKUP(J19,'tải sàn'!$B$5:$L$51,8,0),0)))+(IF(M19="HT",VLOOKUP(L19,'tải sàn'!$B$5:$L$51,10,0),IF(M19="TG",VLOOKUP(L19,'tải sàn'!$B$5:$L$51,8,0),0)))</f>
        <v>0.97269928364578573</v>
      </c>
      <c r="R19" s="269">
        <f t="shared" si="7"/>
        <v>1.9453985672915715</v>
      </c>
    </row>
    <row r="20" spans="2:18" ht="15.5">
      <c r="B20" s="272">
        <v>15</v>
      </c>
      <c r="C20" s="273">
        <v>4</v>
      </c>
      <c r="D20" s="259">
        <f>TH!$B$53/10</f>
        <v>20</v>
      </c>
      <c r="E20" s="259">
        <f>TH!$B$50/10</f>
        <v>40</v>
      </c>
      <c r="F20" s="264">
        <f t="shared" si="0"/>
        <v>220</v>
      </c>
      <c r="G20" s="274">
        <v>200</v>
      </c>
      <c r="H20" s="260">
        <f>TH!$B$18</f>
        <v>3.6</v>
      </c>
      <c r="I20" s="265">
        <f t="shared" si="8"/>
        <v>1306.8000000000002</v>
      </c>
      <c r="J20" s="275" t="s">
        <v>103</v>
      </c>
      <c r="K20" s="276" t="s">
        <v>568</v>
      </c>
      <c r="L20" s="275"/>
      <c r="M20" s="276"/>
      <c r="N20" s="268">
        <f>(IF(K20="HT",VLOOKUP(J20,'tải sàn'!$B$5:$L$51,11,0),IF(K20="TG",VLOOKUP(J20,'tải sàn'!$B$5:$L$51,9,0),0)))+(IF(M20="HT",VLOOKUP(L20,'tải sàn'!$B$5:$L$51,11,0),IF(M20="TG",VLOOKUP(L20,'tải sàn'!$B$5:$L$51,9,0),0)))</f>
        <v>0.6</v>
      </c>
      <c r="O20" s="268">
        <f t="shared" si="5"/>
        <v>1527.4</v>
      </c>
      <c r="P20" s="269">
        <f t="shared" si="6"/>
        <v>3054.8</v>
      </c>
      <c r="Q20" s="268">
        <f>(IF(K20="HT",VLOOKUP(J20,'tải sàn'!$B$5:$L$51,10,0),IF(K20="TG",VLOOKUP(J20,'tải sàn'!$B$5:$L$51,8,0),0)))+(IF(M20="HT",VLOOKUP(L20,'tải sàn'!$B$5:$L$51,10,0),IF(M20="TG",VLOOKUP(L20,'tải sàn'!$B$5:$L$51,8,0),0)))</f>
        <v>0.6</v>
      </c>
      <c r="R20" s="269">
        <f t="shared" si="7"/>
        <v>1.2</v>
      </c>
    </row>
    <row r="21" spans="2:18" ht="15.5">
      <c r="B21" s="272">
        <v>16</v>
      </c>
      <c r="C21" s="273">
        <v>2</v>
      </c>
      <c r="D21" s="259">
        <f>TH!$B$53/10</f>
        <v>20</v>
      </c>
      <c r="E21" s="259">
        <f>TH!$B$50/10</f>
        <v>40</v>
      </c>
      <c r="F21" s="264">
        <f t="shared" si="0"/>
        <v>220</v>
      </c>
      <c r="G21" s="274">
        <v>200</v>
      </c>
      <c r="H21" s="260">
        <f>TH!$B$18</f>
        <v>3.6</v>
      </c>
      <c r="I21" s="265">
        <f t="shared" si="8"/>
        <v>1306.8000000000002</v>
      </c>
      <c r="J21" s="275" t="s">
        <v>106</v>
      </c>
      <c r="K21" s="276" t="s">
        <v>568</v>
      </c>
      <c r="L21" s="275"/>
      <c r="M21" s="276"/>
      <c r="N21" s="268">
        <f>(IF(K21="HT",VLOOKUP(J21,'tải sàn'!$B$5:$L$51,11,0),IF(K21="TG",VLOOKUP(J21,'tải sàn'!$B$5:$L$51,9,0),0)))+(IF(M21="HT",VLOOKUP(L21,'tải sàn'!$B$5:$L$51,11,0),IF(M21="TG",VLOOKUP(L21,'tải sàn'!$B$5:$L$51,9,0),0)))</f>
        <v>0.3</v>
      </c>
      <c r="O21" s="268">
        <f t="shared" si="5"/>
        <v>1527.1000000000001</v>
      </c>
      <c r="P21" s="269">
        <f t="shared" si="6"/>
        <v>1527.1000000000001</v>
      </c>
      <c r="Q21" s="268">
        <f>(IF(K21="HT",VLOOKUP(J21,'tải sàn'!$B$5:$L$51,10,0),IF(K21="TG",VLOOKUP(J21,'tải sàn'!$B$5:$L$51,8,0),0)))+(IF(M21="HT",VLOOKUP(L21,'tải sàn'!$B$5:$L$51,10,0),IF(M21="TG",VLOOKUP(L21,'tải sàn'!$B$5:$L$51,8,0),0)))</f>
        <v>0.3</v>
      </c>
      <c r="R21" s="269">
        <f t="shared" si="7"/>
        <v>0.3</v>
      </c>
    </row>
    <row r="22" spans="2:18" ht="15.5">
      <c r="B22" s="272">
        <v>17</v>
      </c>
      <c r="C22" s="273">
        <v>2</v>
      </c>
      <c r="D22" s="259">
        <f>TH!$B$53/10</f>
        <v>20</v>
      </c>
      <c r="E22" s="259">
        <f>TH!$B$50/10</f>
        <v>40</v>
      </c>
      <c r="F22" s="264">
        <f t="shared" si="0"/>
        <v>220</v>
      </c>
      <c r="G22" s="274">
        <v>0</v>
      </c>
      <c r="H22" s="260">
        <f>TH!$B$18</f>
        <v>3.6</v>
      </c>
      <c r="I22" s="265">
        <f t="shared" si="8"/>
        <v>0</v>
      </c>
      <c r="J22" s="275" t="s">
        <v>106</v>
      </c>
      <c r="K22" s="276" t="s">
        <v>568</v>
      </c>
      <c r="L22" s="275" t="s">
        <v>105</v>
      </c>
      <c r="M22" s="276" t="s">
        <v>568</v>
      </c>
      <c r="N22" s="268">
        <f>(IF(K22="HT",VLOOKUP(J22,'tải sàn'!$B$5:$L$51,11,0),IF(K22="TG",VLOOKUP(J22,'tải sàn'!$B$5:$L$51,9,0),0)))+(IF(M22="HT",VLOOKUP(L22,'tải sàn'!$B$5:$L$51,11,0),IF(M22="TG",VLOOKUP(L22,'tải sàn'!$B$5:$L$51,9,0),0)))</f>
        <v>0.6</v>
      </c>
      <c r="O22" s="268">
        <f t="shared" si="5"/>
        <v>220.6</v>
      </c>
      <c r="P22" s="269">
        <f t="shared" si="6"/>
        <v>220.6</v>
      </c>
      <c r="Q22" s="268">
        <f>(IF(K22="HT",VLOOKUP(J22,'tải sàn'!$B$5:$L$51,10,0),IF(K22="TG",VLOOKUP(J22,'tải sàn'!$B$5:$L$51,8,0),0)))+(IF(M22="HT",VLOOKUP(L22,'tải sàn'!$B$5:$L$51,10,0),IF(M22="TG",VLOOKUP(L22,'tải sàn'!$B$5:$L$51,8,0),0)))</f>
        <v>0.6</v>
      </c>
      <c r="R22" s="269">
        <f t="shared" si="7"/>
        <v>0.6</v>
      </c>
    </row>
    <row r="23" spans="2:18" ht="15.5">
      <c r="B23" s="272">
        <v>18</v>
      </c>
      <c r="C23" s="273">
        <v>2</v>
      </c>
      <c r="D23" s="259">
        <f>TH!$B$53/10</f>
        <v>20</v>
      </c>
      <c r="E23" s="259">
        <f>TH!$B$50/10</f>
        <v>40</v>
      </c>
      <c r="F23" s="264">
        <f t="shared" si="0"/>
        <v>220</v>
      </c>
      <c r="G23" s="274">
        <v>0</v>
      </c>
      <c r="H23" s="260">
        <f>TH!$B$18</f>
        <v>3.6</v>
      </c>
      <c r="I23" s="265">
        <f t="shared" si="8"/>
        <v>0</v>
      </c>
      <c r="J23" s="275" t="s">
        <v>105</v>
      </c>
      <c r="K23" s="276" t="s">
        <v>568</v>
      </c>
      <c r="L23" s="275" t="s">
        <v>104</v>
      </c>
      <c r="M23" s="276" t="s">
        <v>568</v>
      </c>
      <c r="N23" s="268">
        <f>(IF(K23="HT",VLOOKUP(J23,'tải sàn'!$B$5:$L$51,11,0),IF(K23="TG",VLOOKUP(J23,'tải sàn'!$B$5:$L$51,9,0),0)))+(IF(M23="HT",VLOOKUP(L23,'tải sàn'!$B$5:$L$51,11,0),IF(M23="TG",VLOOKUP(L23,'tải sàn'!$B$5:$L$51,9,0),0)))</f>
        <v>0.6</v>
      </c>
      <c r="O23" s="268">
        <f t="shared" si="5"/>
        <v>220.6</v>
      </c>
      <c r="P23" s="269">
        <f t="shared" si="6"/>
        <v>220.6</v>
      </c>
      <c r="Q23" s="268">
        <f>(IF(K23="HT",VLOOKUP(J23,'tải sàn'!$B$5:$L$51,10,0),IF(K23="TG",VLOOKUP(J23,'tải sàn'!$B$5:$L$51,8,0),0)))+(IF(M23="HT",VLOOKUP(L23,'tải sàn'!$B$5:$L$51,10,0),IF(M23="TG",VLOOKUP(L23,'tải sàn'!$B$5:$L$51,8,0),0)))</f>
        <v>0.6</v>
      </c>
      <c r="R23" s="269">
        <f t="shared" si="7"/>
        <v>0.6</v>
      </c>
    </row>
    <row r="24" spans="2:18" ht="15.5">
      <c r="B24" s="272">
        <v>19</v>
      </c>
      <c r="C24" s="273">
        <v>2</v>
      </c>
      <c r="D24" s="259">
        <f>TH!$B$53/10</f>
        <v>20</v>
      </c>
      <c r="E24" s="259">
        <f>TH!$B$50/10</f>
        <v>40</v>
      </c>
      <c r="F24" s="264">
        <f t="shared" si="0"/>
        <v>220</v>
      </c>
      <c r="G24" s="274">
        <v>0</v>
      </c>
      <c r="H24" s="260">
        <f>TH!$B$18</f>
        <v>3.6</v>
      </c>
      <c r="I24" s="265">
        <f t="shared" si="8"/>
        <v>0</v>
      </c>
      <c r="J24" s="275" t="s">
        <v>104</v>
      </c>
      <c r="K24" s="276" t="s">
        <v>568</v>
      </c>
      <c r="L24" s="275" t="s">
        <v>107</v>
      </c>
      <c r="M24" s="276" t="s">
        <v>568</v>
      </c>
      <c r="N24" s="268">
        <f>(IF(K24="HT",VLOOKUP(J24,'tải sàn'!$B$5:$L$51,11,0),IF(K24="TG",VLOOKUP(J24,'tải sàn'!$B$5:$L$51,9,0),0)))+(IF(M24="HT",VLOOKUP(L24,'tải sàn'!$B$5:$L$51,11,0),IF(M24="TG",VLOOKUP(L24,'tải sàn'!$B$5:$L$51,9,0),0)))</f>
        <v>0.6</v>
      </c>
      <c r="O24" s="268">
        <f t="shared" si="5"/>
        <v>220.6</v>
      </c>
      <c r="P24" s="269">
        <f t="shared" si="6"/>
        <v>220.6</v>
      </c>
      <c r="Q24" s="268">
        <f>(IF(K24="HT",VLOOKUP(J24,'tải sàn'!$B$5:$L$51,10,0),IF(K24="TG",VLOOKUP(J24,'tải sàn'!$B$5:$L$51,8,0),0)))+(IF(M24="HT",VLOOKUP(L24,'tải sàn'!$B$5:$L$51,10,0),IF(M24="TG",VLOOKUP(L24,'tải sàn'!$B$5:$L$51,8,0),0)))</f>
        <v>0.6</v>
      </c>
      <c r="R24" s="269">
        <f t="shared" si="7"/>
        <v>0.6</v>
      </c>
    </row>
    <row r="25" spans="2:18" ht="15.5">
      <c r="B25" s="272">
        <v>20</v>
      </c>
      <c r="C25" s="273">
        <v>2</v>
      </c>
      <c r="D25" s="259">
        <f>TH!$B$53/10</f>
        <v>20</v>
      </c>
      <c r="E25" s="259">
        <f>TH!$B$50/10</f>
        <v>40</v>
      </c>
      <c r="F25" s="264">
        <f t="shared" si="0"/>
        <v>220</v>
      </c>
      <c r="G25" s="274">
        <v>0</v>
      </c>
      <c r="H25" s="260">
        <f>TH!$B$18</f>
        <v>3.6</v>
      </c>
      <c r="I25" s="265">
        <f t="shared" si="8"/>
        <v>0</v>
      </c>
      <c r="J25" s="275" t="s">
        <v>104</v>
      </c>
      <c r="K25" s="276" t="s">
        <v>568</v>
      </c>
      <c r="L25" s="275" t="s">
        <v>107</v>
      </c>
      <c r="M25" s="276" t="s">
        <v>568</v>
      </c>
      <c r="N25" s="268">
        <f>(IF(K25="HT",VLOOKUP(J25,'tải sàn'!$B$5:$L$51,11,0),IF(K25="TG",VLOOKUP(J25,'tải sàn'!$B$5:$L$51,9,0),0)))+(IF(M25="HT",VLOOKUP(L25,'tải sàn'!$B$5:$L$51,11,0),IF(M25="TG",VLOOKUP(L25,'tải sàn'!$B$5:$L$51,9,0),0)))</f>
        <v>0.6</v>
      </c>
      <c r="O25" s="268">
        <f t="shared" si="5"/>
        <v>220.6</v>
      </c>
      <c r="P25" s="269">
        <f t="shared" si="6"/>
        <v>220.6</v>
      </c>
      <c r="Q25" s="268">
        <f>(IF(K25="HT",VLOOKUP(J25,'tải sàn'!$B$5:$L$51,10,0),IF(K25="TG",VLOOKUP(J25,'tải sàn'!$B$5:$L$51,8,0),0)))+(IF(M25="HT",VLOOKUP(L25,'tải sàn'!$B$5:$L$51,10,0),IF(M25="TG",VLOOKUP(L25,'tải sàn'!$B$5:$L$51,8,0),0)))</f>
        <v>0.6</v>
      </c>
      <c r="R25" s="269">
        <f t="shared" si="7"/>
        <v>0.6</v>
      </c>
    </row>
    <row r="26" spans="2:18" ht="15.5">
      <c r="B26" s="272">
        <v>21</v>
      </c>
      <c r="C26" s="273">
        <v>2</v>
      </c>
      <c r="D26" s="259">
        <f>TH!$B$53/10</f>
        <v>20</v>
      </c>
      <c r="E26" s="259">
        <f>TH!$B$50/10</f>
        <v>40</v>
      </c>
      <c r="F26" s="264">
        <f t="shared" si="0"/>
        <v>220</v>
      </c>
      <c r="G26" s="274">
        <v>0</v>
      </c>
      <c r="H26" s="260">
        <f>TH!$B$18</f>
        <v>3.6</v>
      </c>
      <c r="I26" s="265">
        <f t="shared" si="8"/>
        <v>0</v>
      </c>
      <c r="J26" s="275" t="s">
        <v>105</v>
      </c>
      <c r="K26" s="276" t="s">
        <v>568</v>
      </c>
      <c r="L26" s="275" t="s">
        <v>104</v>
      </c>
      <c r="M26" s="276" t="s">
        <v>568</v>
      </c>
      <c r="N26" s="268">
        <f>(IF(K26="HT",VLOOKUP(J26,'tải sàn'!$B$5:$L$51,11,0),IF(K26="TG",VLOOKUP(J26,'tải sàn'!$B$5:$L$51,9,0),0)))+(IF(M26="HT",VLOOKUP(L26,'tải sàn'!$B$5:$L$51,11,0),IF(M26="TG",VLOOKUP(L26,'tải sàn'!$B$5:$L$51,9,0),0)))</f>
        <v>0.6</v>
      </c>
      <c r="O26" s="268">
        <f t="shared" si="5"/>
        <v>220.6</v>
      </c>
      <c r="P26" s="269">
        <f t="shared" si="6"/>
        <v>220.6</v>
      </c>
      <c r="Q26" s="268">
        <f>(IF(K26="HT",VLOOKUP(J26,'tải sàn'!$B$5:$L$51,10,0),IF(K26="TG",VLOOKUP(J26,'tải sàn'!$B$5:$L$51,8,0),0)))+(IF(M26="HT",VLOOKUP(L26,'tải sàn'!$B$5:$L$51,10,0),IF(M26="TG",VLOOKUP(L26,'tải sàn'!$B$5:$L$51,8,0),0)))</f>
        <v>0.6</v>
      </c>
      <c r="R26" s="269">
        <f t="shared" si="7"/>
        <v>0.6</v>
      </c>
    </row>
    <row r="27" spans="2:18" ht="15.5">
      <c r="B27" s="272">
        <v>22</v>
      </c>
      <c r="C27" s="273">
        <v>2</v>
      </c>
      <c r="D27" s="259">
        <f>TH!$B$53/10</f>
        <v>20</v>
      </c>
      <c r="E27" s="259">
        <f>TH!$B$50/10</f>
        <v>40</v>
      </c>
      <c r="F27" s="264">
        <f t="shared" si="0"/>
        <v>220</v>
      </c>
      <c r="G27" s="274">
        <v>0</v>
      </c>
      <c r="H27" s="260">
        <f>TH!$B$18</f>
        <v>3.6</v>
      </c>
      <c r="I27" s="265">
        <f t="shared" si="8"/>
        <v>0</v>
      </c>
      <c r="J27" s="275" t="s">
        <v>106</v>
      </c>
      <c r="K27" s="276" t="s">
        <v>568</v>
      </c>
      <c r="L27" s="275" t="s">
        <v>105</v>
      </c>
      <c r="M27" s="276" t="s">
        <v>568</v>
      </c>
      <c r="N27" s="268">
        <f>(IF(K27="HT",VLOOKUP(J27,'tải sàn'!$B$5:$L$51,11,0),IF(K27="TG",VLOOKUP(J27,'tải sàn'!$B$5:$L$51,9,0),0)))+(IF(M27="HT",VLOOKUP(L27,'tải sàn'!$B$5:$L$51,11,0),IF(M27="TG",VLOOKUP(L27,'tải sàn'!$B$5:$L$51,9,0),0)))</f>
        <v>0.6</v>
      </c>
      <c r="O27" s="268">
        <f t="shared" si="5"/>
        <v>220.6</v>
      </c>
      <c r="P27" s="269">
        <f t="shared" si="6"/>
        <v>220.6</v>
      </c>
      <c r="Q27" s="268">
        <f>(IF(K27="HT",VLOOKUP(J27,'tải sàn'!$B$5:$L$51,10,0),IF(K27="TG",VLOOKUP(J27,'tải sàn'!$B$5:$L$51,8,0),0)))+(IF(M27="HT",VLOOKUP(L27,'tải sàn'!$B$5:$L$51,10,0),IF(M27="TG",VLOOKUP(L27,'tải sàn'!$B$5:$L$51,8,0),0)))</f>
        <v>0.6</v>
      </c>
      <c r="R27" s="269">
        <f t="shared" si="7"/>
        <v>0.6</v>
      </c>
    </row>
    <row r="28" spans="2:18" ht="15.5">
      <c r="B28" s="272">
        <v>23</v>
      </c>
      <c r="C28" s="273">
        <v>2</v>
      </c>
      <c r="D28" s="259">
        <f>TH!$B$53/10</f>
        <v>20</v>
      </c>
      <c r="E28" s="259">
        <f>TH!$B$50/10</f>
        <v>40</v>
      </c>
      <c r="F28" s="264">
        <f t="shared" si="0"/>
        <v>220</v>
      </c>
      <c r="G28" s="274">
        <v>200</v>
      </c>
      <c r="H28" s="260">
        <f>TH!$B$18</f>
        <v>3.6</v>
      </c>
      <c r="I28" s="265">
        <f t="shared" si="8"/>
        <v>1306.8000000000002</v>
      </c>
      <c r="J28" s="275" t="s">
        <v>106</v>
      </c>
      <c r="K28" s="276" t="s">
        <v>568</v>
      </c>
      <c r="L28" s="275"/>
      <c r="M28" s="276"/>
      <c r="N28" s="268">
        <f>(IF(K28="HT",VLOOKUP(J28,'tải sàn'!$B$5:$L$51,11,0),IF(K28="TG",VLOOKUP(J28,'tải sàn'!$B$5:$L$51,9,0),0)))+(IF(M28="HT",VLOOKUP(L28,'tải sàn'!$B$5:$L$51,11,0),IF(M28="TG",VLOOKUP(L28,'tải sàn'!$B$5:$L$51,9,0),0)))</f>
        <v>0.3</v>
      </c>
      <c r="O28" s="268">
        <f t="shared" si="5"/>
        <v>1527.1000000000001</v>
      </c>
      <c r="P28" s="269">
        <f t="shared" si="6"/>
        <v>1527.1000000000001</v>
      </c>
      <c r="Q28" s="268">
        <f>(IF(K28="HT",VLOOKUP(J28,'tải sàn'!$B$5:$L$51,10,0),IF(K28="TG",VLOOKUP(J28,'tải sàn'!$B$5:$L$51,8,0),0)))+(IF(M28="HT",VLOOKUP(L28,'tải sàn'!$B$5:$L$51,10,0),IF(M28="TG",VLOOKUP(L28,'tải sàn'!$B$5:$L$51,8,0),0)))</f>
        <v>0.3</v>
      </c>
      <c r="R28" s="269">
        <f t="shared" si="7"/>
        <v>0.3</v>
      </c>
    </row>
  </sheetData>
  <mergeCells count="9">
    <mergeCell ref="B2:R2"/>
    <mergeCell ref="B3:B5"/>
    <mergeCell ref="C3:C4"/>
    <mergeCell ref="D3:E4"/>
    <mergeCell ref="F3:F4"/>
    <mergeCell ref="G3:I4"/>
    <mergeCell ref="J3:M5"/>
    <mergeCell ref="N3:P3"/>
    <mergeCell ref="Q3:R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30EBB-826C-4338-AAD6-9064CEA60B6C}">
  <sheetPr codeName="Sheet34"/>
  <dimension ref="A1:X12"/>
  <sheetViews>
    <sheetView zoomScale="85" zoomScaleNormal="85" workbookViewId="0">
      <selection activeCell="A6" sqref="A6:A10"/>
    </sheetView>
  </sheetViews>
  <sheetFormatPr defaultColWidth="8.83203125" defaultRowHeight="14"/>
  <sheetData>
    <row r="1" spans="1:24" ht="14.5" thickBot="1">
      <c r="A1" s="288"/>
      <c r="B1" s="288"/>
      <c r="C1" s="288"/>
      <c r="D1" s="288"/>
      <c r="E1" s="288"/>
      <c r="F1" s="288"/>
      <c r="G1" s="288"/>
      <c r="H1" s="288"/>
      <c r="I1" s="288"/>
      <c r="J1" s="288"/>
      <c r="K1" s="288"/>
      <c r="L1" s="288"/>
      <c r="M1" s="288"/>
      <c r="N1" s="288"/>
      <c r="O1" s="288"/>
      <c r="P1" s="288"/>
      <c r="Q1" s="288"/>
      <c r="R1" s="288"/>
      <c r="S1" s="288"/>
      <c r="T1" s="288"/>
      <c r="U1" s="288"/>
      <c r="V1" s="288"/>
      <c r="W1" s="288"/>
      <c r="X1" s="288"/>
    </row>
    <row r="2" spans="1:24" ht="18" thickBot="1">
      <c r="A2" s="1212" t="s">
        <v>571</v>
      </c>
      <c r="B2" s="1213"/>
      <c r="C2" s="1213"/>
      <c r="D2" s="1213"/>
      <c r="E2" s="1213"/>
      <c r="F2" s="1213"/>
      <c r="G2" s="1213"/>
      <c r="H2" s="1213"/>
      <c r="I2" s="1213"/>
      <c r="J2" s="1213"/>
      <c r="K2" s="1213"/>
      <c r="L2" s="1213"/>
      <c r="M2" s="1213"/>
      <c r="N2" s="1213"/>
      <c r="O2" s="1213"/>
      <c r="P2" s="1213"/>
      <c r="Q2" s="1213"/>
      <c r="R2" s="1213"/>
      <c r="S2" s="1213"/>
      <c r="T2" s="1213"/>
      <c r="U2" s="1213"/>
      <c r="V2" s="1213"/>
      <c r="W2" s="1213"/>
      <c r="X2" s="1214"/>
    </row>
    <row r="3" spans="1:24" ht="15">
      <c r="A3" s="1215" t="s">
        <v>551</v>
      </c>
      <c r="B3" s="1208" t="s">
        <v>572</v>
      </c>
      <c r="C3" s="1210"/>
      <c r="D3" s="1224" t="s">
        <v>573</v>
      </c>
      <c r="E3" s="1221"/>
      <c r="F3" s="1218" t="s">
        <v>554</v>
      </c>
      <c r="G3" s="1208" t="s">
        <v>555</v>
      </c>
      <c r="H3" s="1209"/>
      <c r="I3" s="1210"/>
      <c r="J3" s="1218" t="s">
        <v>574</v>
      </c>
      <c r="K3" s="1208" t="s">
        <v>556</v>
      </c>
      <c r="L3" s="1209"/>
      <c r="M3" s="1209"/>
      <c r="N3" s="1210"/>
      <c r="O3" s="1224" t="s">
        <v>575</v>
      </c>
      <c r="P3" s="1220"/>
      <c r="Q3" s="1220"/>
      <c r="R3" s="1220"/>
      <c r="S3" s="1220"/>
      <c r="T3" s="1221"/>
      <c r="U3" s="1219" t="s">
        <v>576</v>
      </c>
      <c r="V3" s="1219"/>
      <c r="W3" s="1219"/>
      <c r="X3" s="1219"/>
    </row>
    <row r="4" spans="1:24" ht="33">
      <c r="A4" s="1216"/>
      <c r="B4" s="1222" t="s">
        <v>577</v>
      </c>
      <c r="C4" s="1222" t="s">
        <v>578</v>
      </c>
      <c r="D4" s="1225" t="s">
        <v>579</v>
      </c>
      <c r="E4" s="1222" t="s">
        <v>580</v>
      </c>
      <c r="F4" s="1219"/>
      <c r="G4" s="1211" t="s">
        <v>581</v>
      </c>
      <c r="H4" s="1211" t="s">
        <v>582</v>
      </c>
      <c r="I4" s="1211" t="s">
        <v>583</v>
      </c>
      <c r="J4" s="1218"/>
      <c r="K4" s="1208"/>
      <c r="L4" s="1209"/>
      <c r="M4" s="1209"/>
      <c r="N4" s="1210"/>
      <c r="O4" s="292" t="s">
        <v>584</v>
      </c>
      <c r="P4" s="292" t="s">
        <v>585</v>
      </c>
      <c r="Q4" s="1227" t="s">
        <v>586</v>
      </c>
      <c r="R4" s="289" t="s">
        <v>587</v>
      </c>
      <c r="S4" s="289" t="s">
        <v>588</v>
      </c>
      <c r="T4" s="289" t="s">
        <v>589</v>
      </c>
      <c r="U4" s="292" t="s">
        <v>585</v>
      </c>
      <c r="V4" s="289" t="s">
        <v>587</v>
      </c>
      <c r="W4" s="289" t="s">
        <v>588</v>
      </c>
      <c r="X4" s="289" t="s">
        <v>589</v>
      </c>
    </row>
    <row r="5" spans="1:24" ht="15.5">
      <c r="A5" s="1217"/>
      <c r="B5" s="1223"/>
      <c r="C5" s="1223"/>
      <c r="D5" s="1226"/>
      <c r="E5" s="1223"/>
      <c r="F5" s="290" t="s">
        <v>564</v>
      </c>
      <c r="G5" s="1211"/>
      <c r="H5" s="1211"/>
      <c r="I5" s="1211"/>
      <c r="J5" s="1219"/>
      <c r="K5" s="1208"/>
      <c r="L5" s="1209"/>
      <c r="M5" s="1220"/>
      <c r="N5" s="1221"/>
      <c r="O5" s="290" t="s">
        <v>564</v>
      </c>
      <c r="P5" s="295" t="s">
        <v>508</v>
      </c>
      <c r="Q5" s="1219"/>
      <c r="R5" s="290" t="s">
        <v>567</v>
      </c>
      <c r="S5" s="290" t="s">
        <v>567</v>
      </c>
      <c r="T5" s="290" t="s">
        <v>567</v>
      </c>
      <c r="U5" s="290" t="s">
        <v>508</v>
      </c>
      <c r="V5" s="290" t="s">
        <v>567</v>
      </c>
      <c r="W5" s="290" t="s">
        <v>567</v>
      </c>
      <c r="X5" s="290" t="s">
        <v>567</v>
      </c>
    </row>
    <row r="6" spans="1:24" ht="15.5">
      <c r="A6" s="1196"/>
      <c r="B6" s="1198">
        <v>2.7</v>
      </c>
      <c r="C6" s="1198">
        <v>2.8</v>
      </c>
      <c r="D6" s="1196">
        <f>TH!$B$53/10</f>
        <v>20</v>
      </c>
      <c r="E6" s="1196">
        <f>TH!$B$50/10</f>
        <v>40</v>
      </c>
      <c r="F6" s="1202">
        <f>1.1*D6*E6*2500/10000</f>
        <v>220</v>
      </c>
      <c r="G6" s="293">
        <v>200</v>
      </c>
      <c r="H6" s="293">
        <f>TH!$B$18</f>
        <v>3.6</v>
      </c>
      <c r="I6" s="294">
        <f>IF(G6=100,180*1.1*H6,IF(G6=200,330*1.1*H6,0))</f>
        <v>1306.8000000000002</v>
      </c>
      <c r="J6" s="293" t="s">
        <v>507</v>
      </c>
      <c r="K6" s="296" t="s">
        <v>110</v>
      </c>
      <c r="L6" s="297" t="s">
        <v>569</v>
      </c>
      <c r="M6" s="296" t="s">
        <v>102</v>
      </c>
      <c r="N6" s="297" t="s">
        <v>569</v>
      </c>
      <c r="O6" s="291">
        <f>(IF(L6="HT",VLOOKUP(K6,'tải sàn'!$B$5:$L$51,11,0),IF(L6="TG",VLOOKUP(K6,'tải sàn'!$B$5:$L$51,9,0),0)))+(IF(N6="HT",VLOOKUP(M6,'tải sàn'!$B$5:$L$51,11,0),IF(N6="TG",VLOOKUP(M6,'tải sàn'!$B$5:$L$51,9,0),0)))</f>
        <v>1.3287173152010072</v>
      </c>
      <c r="P6" s="305">
        <f>F6+I6+O6</f>
        <v>1528.1287173152011</v>
      </c>
      <c r="Q6" s="1204">
        <v>10</v>
      </c>
      <c r="R6" s="1206">
        <f>VLOOKUP(Q6,'dam loai 1 TD'!$B$6:$R$28,15,0)</f>
        <v>1868.2359375000001</v>
      </c>
      <c r="S6" s="1200">
        <f>((P6*B6*(C6+(B6/2))/(B6+C6))+(P7*C6*(C6/2))/(B6+C6))+(R6*C6/(B6+C6))</f>
        <v>5466.7902714910042</v>
      </c>
      <c r="T6" s="1200">
        <f>((P6*B6*(B6/2))/(B6+C6))+(P7*C6*(B6+(C6/2))/(B6+C6))+(R6*B6/(B6+C6))</f>
        <v>6037.1100532483924</v>
      </c>
      <c r="U6" s="291">
        <f>(IF(L6="HT",VLOOKUP(K6,'tải sàn'!$B$5:$L$51,10,0),IF(L6="TG",VLOOKUP(K6,'tải sàn'!$B$5:$L$51,8,0),0)))+(IF(N6="HT",VLOOKUP(M6,'tải sàn'!$B$5:$L$51,10,0),IF(N6="TG",VLOOKUP(M6,'tải sàn'!$B$5:$L$51,8,0),0)))</f>
        <v>0.93690664653083444</v>
      </c>
      <c r="V6" s="1206">
        <f>VLOOKUP(Q6,'dam loai 1 TD'!$B$6:$R$28,17,0)</f>
        <v>1.7332031249999997</v>
      </c>
      <c r="W6" s="1200">
        <f>((U6*B6*(C6+(B6/2))/(B6+C6))+(U7*C6*(C6/2))/(B6+C6))+(V6*C6/(B6+C6))</f>
        <v>3.1932182885249798</v>
      </c>
      <c r="X6" s="1200">
        <f>((U6*B6*(B6/2))/(B6+C6))+(U7*C6*(B6+(C6/2))/(B6+C6))+(V6*B6/(B6+C6))</f>
        <v>2.6494133981864092</v>
      </c>
    </row>
    <row r="7" spans="1:24" ht="15.5">
      <c r="A7" s="1197"/>
      <c r="B7" s="1199">
        <v>2.7</v>
      </c>
      <c r="C7" s="1199">
        <v>7</v>
      </c>
      <c r="D7" s="1197">
        <v>20</v>
      </c>
      <c r="E7" s="1197">
        <v>120</v>
      </c>
      <c r="F7" s="1203">
        <v>660</v>
      </c>
      <c r="G7" s="293">
        <v>200</v>
      </c>
      <c r="H7" s="293">
        <f>TH!$B$18</f>
        <v>3.6</v>
      </c>
      <c r="I7" s="294">
        <f>IF(G7=100,180*1.1*H7,IF(G7=200,330*1.1*H7,0))</f>
        <v>1306.8000000000002</v>
      </c>
      <c r="J7" s="293" t="s">
        <v>508</v>
      </c>
      <c r="K7" s="296"/>
      <c r="L7" s="297"/>
      <c r="M7" s="296" t="s">
        <v>102</v>
      </c>
      <c r="N7" s="297" t="s">
        <v>569</v>
      </c>
      <c r="O7" s="291">
        <f>(IF(L7="HT",VLOOKUP(K7,'tải sàn'!$B$5:$L$51,11,0),IF(L7="TG",VLOOKUP(K7,'tải sàn'!$B$5:$L$51,9,0),0)))+(IF(N7="HT",VLOOKUP(M7,'tải sàn'!$B$5:$L$51,11,0),IF(N7="TG",VLOOKUP(M7,'tải sàn'!$B$5:$L$51,9,0),0)))</f>
        <v>0.95601803155522158</v>
      </c>
      <c r="P7" s="305">
        <f>F7+I7+O7</f>
        <v>1967.7560180315554</v>
      </c>
      <c r="Q7" s="1205"/>
      <c r="R7" s="1207"/>
      <c r="S7" s="1201"/>
      <c r="T7" s="1201"/>
      <c r="U7" s="291">
        <f>(IF(L7="HT",VLOOKUP(K7,'tải sàn'!$B$5:$L$51,10,0),IF(L7="TG",VLOOKUP(K7,'tải sàn'!$B$5:$L$51,8,0),0)))+(IF(N7="HT",VLOOKUP(M7,'tải sàn'!$B$5:$L$51,10,0),IF(N7="TG",VLOOKUP(M7,'tải sàn'!$B$5:$L$51,8,0),0)))</f>
        <v>0.5642073628850488</v>
      </c>
      <c r="V7" s="1207"/>
      <c r="W7" s="1201"/>
      <c r="X7" s="1201"/>
    </row>
    <row r="8" spans="1:24" ht="15.5">
      <c r="A8" s="1196"/>
      <c r="B8" s="1198">
        <v>2.7</v>
      </c>
      <c r="C8" s="1198">
        <v>2.8</v>
      </c>
      <c r="D8" s="1196">
        <f>TH!$B$53/10</f>
        <v>20</v>
      </c>
      <c r="E8" s="1196">
        <f>TH!$B$50/10</f>
        <v>40</v>
      </c>
      <c r="F8" s="1202">
        <v>220</v>
      </c>
      <c r="G8" s="293">
        <v>200</v>
      </c>
      <c r="H8" s="293">
        <f>TH!$B$18</f>
        <v>3.6</v>
      </c>
      <c r="I8" s="294">
        <f>IF(G8=100,180*1.1*H8,IF(G8=200,330*1.1*H8,0))</f>
        <v>1306.8000000000002</v>
      </c>
      <c r="J8" s="293" t="s">
        <v>507</v>
      </c>
      <c r="K8" s="296" t="s">
        <v>110</v>
      </c>
      <c r="L8" s="297" t="s">
        <v>569</v>
      </c>
      <c r="M8" s="296" t="s">
        <v>102</v>
      </c>
      <c r="N8" s="297" t="s">
        <v>569</v>
      </c>
      <c r="O8" s="291">
        <f>(IF(L8="HT",VLOOKUP(K8,'tải sàn'!$B$5:$L$51,11,0),IF(L8="TG",VLOOKUP(K8,'tải sàn'!$B$5:$L$51,9,0),0)))+(IF(N8="HT",VLOOKUP(M8,'tải sàn'!$B$5:$L$51,11,0),IF(N8="TG",VLOOKUP(M8,'tải sàn'!$B$5:$L$51,9,0),0)))</f>
        <v>1.3287173152010072</v>
      </c>
      <c r="P8" s="305">
        <f>F8+I8+O8</f>
        <v>1528.1287173152011</v>
      </c>
      <c r="Q8" s="1204">
        <v>13</v>
      </c>
      <c r="R8" s="1206">
        <f>VLOOKUP(Q8,'dam loai 1 TD'!$B$6:$R$28,15,0)</f>
        <v>1868.2359375000001</v>
      </c>
      <c r="S8" s="1200">
        <f>((P8*B8*(C8+(B8/2))/(B8+C8))+(P9*C8*(C8/2))/(B8+C8))+(R8*C8/(B8+C8))</f>
        <v>5153.1902714910048</v>
      </c>
      <c r="T8" s="1200">
        <f>((P8*B8*(B8/2))/(B8+C8))+(P9*C8*(B8+(C8/2))/(B8+C8))+(R8*B8/(B8+C8))</f>
        <v>5118.7100532483919</v>
      </c>
      <c r="U8" s="291">
        <f>(IF(L8="HT",VLOOKUP(K8,'tải sàn'!$B$5:$L$51,10,0),IF(L8="TG",VLOOKUP(K8,'tải sàn'!$B$5:$L$51,8,0),0)))+(IF(N8="HT",VLOOKUP(M8,'tải sàn'!$B$5:$L$51,10,0),IF(N8="TG",VLOOKUP(M8,'tải sàn'!$B$5:$L$51,8,0),0)))</f>
        <v>0.93690664653083444</v>
      </c>
      <c r="V8" s="1206">
        <f>VLOOKUP(Q8,'dam loai 1 TD'!$B$6:$R$28,17,0)</f>
        <v>1.7332031249999997</v>
      </c>
      <c r="W8" s="1200">
        <f>((U8*B8*(C8+(B8/2))/(B8+C8))+(U9*C8*(C8/2))/(B8+C8))+(V8*C8/(B8+C8))</f>
        <v>3.1932182885249798</v>
      </c>
      <c r="X8" s="1200">
        <f>((U8*B8*(B8/2))/(B8+C8))+(U9*C8*(B8+(C8/2))/(B8+C8))+(V8*B8/(B8+C8))</f>
        <v>2.6494133981864092</v>
      </c>
    </row>
    <row r="9" spans="1:24" ht="15.5">
      <c r="A9" s="1197"/>
      <c r="B9" s="1199">
        <v>2.7</v>
      </c>
      <c r="C9" s="1199">
        <v>7</v>
      </c>
      <c r="D9" s="1197">
        <v>20</v>
      </c>
      <c r="E9" s="1197">
        <v>120</v>
      </c>
      <c r="F9" s="1203">
        <v>220</v>
      </c>
      <c r="G9" s="293">
        <v>200</v>
      </c>
      <c r="H9" s="293">
        <f>TH!$B$18</f>
        <v>3.6</v>
      </c>
      <c r="I9" s="294">
        <f>IF(G9=100,180*1.1*H9,IF(G9=200,330*1.1*H9,0))</f>
        <v>1306.8000000000002</v>
      </c>
      <c r="J9" s="293" t="s">
        <v>508</v>
      </c>
      <c r="K9" s="296"/>
      <c r="L9" s="297"/>
      <c r="M9" s="296" t="s">
        <v>102</v>
      </c>
      <c r="N9" s="297" t="s">
        <v>569</v>
      </c>
      <c r="O9" s="291">
        <f>(IF(L9="HT",VLOOKUP(K9,'tải sàn'!$B$5:$L$51,11,0),IF(L9="TG",VLOOKUP(K9,'tải sàn'!$B$5:$L$51,9,0),0)))+(IF(N9="HT",VLOOKUP(M9,'tải sàn'!$B$5:$L$51,11,0),IF(N9="TG",VLOOKUP(M9,'tải sàn'!$B$5:$L$51,9,0),0)))</f>
        <v>0.95601803155522158</v>
      </c>
      <c r="P9" s="305">
        <f>F9+I9+O9</f>
        <v>1527.7560180315554</v>
      </c>
      <c r="Q9" s="1205"/>
      <c r="R9" s="1207"/>
      <c r="S9" s="1201"/>
      <c r="T9" s="1201"/>
      <c r="U9" s="291">
        <f>(IF(L9="HT",VLOOKUP(K9,'tải sàn'!$B$5:$L$51,10,0),IF(L9="TG",VLOOKUP(K9,'tải sàn'!$B$5:$L$51,8,0),0)))+(IF(N9="HT",VLOOKUP(M9,'tải sàn'!$B$5:$L$51,10,0),IF(N9="TG",VLOOKUP(M9,'tải sàn'!$B$5:$L$51,8,0),0)))</f>
        <v>0.5642073628850488</v>
      </c>
      <c r="V9" s="1207"/>
      <c r="W9" s="1201"/>
      <c r="X9" s="1201"/>
    </row>
    <row r="12" spans="1:24" ht="15.5">
      <c r="D12" s="259"/>
      <c r="E12" s="259"/>
    </row>
  </sheetData>
  <mergeCells count="44">
    <mergeCell ref="X8:X9"/>
    <mergeCell ref="Q8:Q9"/>
    <mergeCell ref="R8:R9"/>
    <mergeCell ref="S8:S9"/>
    <mergeCell ref="T8:T9"/>
    <mergeCell ref="V8:V9"/>
    <mergeCell ref="W8:W9"/>
    <mergeCell ref="A8:A9"/>
    <mergeCell ref="B8:B9"/>
    <mergeCell ref="C8:C9"/>
    <mergeCell ref="D8:D9"/>
    <mergeCell ref="E8:E9"/>
    <mergeCell ref="F8:F9"/>
    <mergeCell ref="R6:R7"/>
    <mergeCell ref="S6:S7"/>
    <mergeCell ref="T6:T7"/>
    <mergeCell ref="V6:V7"/>
    <mergeCell ref="W6:W7"/>
    <mergeCell ref="X6:X7"/>
    <mergeCell ref="I4:I5"/>
    <mergeCell ref="Q4:Q5"/>
    <mergeCell ref="A6:A7"/>
    <mergeCell ref="B6:B7"/>
    <mergeCell ref="C6:C7"/>
    <mergeCell ref="D6:D7"/>
    <mergeCell ref="E6:E7"/>
    <mergeCell ref="F6:F7"/>
    <mergeCell ref="Q6:Q7"/>
    <mergeCell ref="B4:B5"/>
    <mergeCell ref="C4:C5"/>
    <mergeCell ref="D4:D5"/>
    <mergeCell ref="E4:E5"/>
    <mergeCell ref="G4:G5"/>
    <mergeCell ref="H4:H5"/>
    <mergeCell ref="A2:X2"/>
    <mergeCell ref="A3:A5"/>
    <mergeCell ref="B3:C3"/>
    <mergeCell ref="D3:E3"/>
    <mergeCell ref="F3:F4"/>
    <mergeCell ref="G3:I3"/>
    <mergeCell ref="J3:J5"/>
    <mergeCell ref="K3:N5"/>
    <mergeCell ref="O3:T3"/>
    <mergeCell ref="U3:X3"/>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D725-52DB-420B-BCCC-CCC326FB8C7D}">
  <sheetPr codeName="Sheet35"/>
  <dimension ref="A1:X19"/>
  <sheetViews>
    <sheetView workbookViewId="0">
      <selection activeCell="M20" sqref="M20"/>
    </sheetView>
  </sheetViews>
  <sheetFormatPr defaultColWidth="8.83203125" defaultRowHeight="14"/>
  <sheetData>
    <row r="1" spans="1:24" ht="18" thickBot="1">
      <c r="A1" s="1212" t="s">
        <v>607</v>
      </c>
      <c r="B1" s="1213"/>
      <c r="C1" s="1213"/>
      <c r="D1" s="1213"/>
      <c r="E1" s="1213"/>
      <c r="F1" s="1213"/>
      <c r="G1" s="1213"/>
      <c r="H1" s="1213"/>
      <c r="I1" s="1213"/>
      <c r="J1" s="1213"/>
      <c r="K1" s="1213"/>
      <c r="L1" s="1213"/>
      <c r="M1" s="1213"/>
      <c r="N1" s="1213"/>
      <c r="O1" s="1213"/>
      <c r="P1" s="1213"/>
      <c r="Q1" s="1213"/>
      <c r="R1" s="1213"/>
      <c r="S1" s="1213"/>
      <c r="T1" s="1213"/>
      <c r="U1" s="1213"/>
      <c r="V1" s="1213"/>
      <c r="W1" s="1213"/>
      <c r="X1" s="1214"/>
    </row>
    <row r="2" spans="1:24" ht="15">
      <c r="A2" s="1215" t="s">
        <v>551</v>
      </c>
      <c r="B2" s="1208" t="s">
        <v>572</v>
      </c>
      <c r="C2" s="1210"/>
      <c r="D2" s="1224" t="s">
        <v>573</v>
      </c>
      <c r="E2" s="1221"/>
      <c r="F2" s="1232" t="s">
        <v>554</v>
      </c>
      <c r="G2" s="1208" t="s">
        <v>555</v>
      </c>
      <c r="H2" s="1209"/>
      <c r="I2" s="1210"/>
      <c r="J2" s="1218" t="s">
        <v>574</v>
      </c>
      <c r="K2" s="1208" t="s">
        <v>556</v>
      </c>
      <c r="L2" s="1209"/>
      <c r="M2" s="1209"/>
      <c r="N2" s="1210"/>
      <c r="O2" s="1224" t="s">
        <v>575</v>
      </c>
      <c r="P2" s="1220"/>
      <c r="Q2" s="1220"/>
      <c r="R2" s="1220"/>
      <c r="S2" s="1220"/>
      <c r="T2" s="1221"/>
      <c r="U2" s="1219" t="s">
        <v>576</v>
      </c>
      <c r="V2" s="1219"/>
      <c r="W2" s="1219"/>
      <c r="X2" s="1219"/>
    </row>
    <row r="3" spans="1:24">
      <c r="A3" s="1216"/>
      <c r="B3" s="1222" t="s">
        <v>577</v>
      </c>
      <c r="C3" s="1222" t="s">
        <v>578</v>
      </c>
      <c r="D3" s="1225" t="s">
        <v>579</v>
      </c>
      <c r="E3" s="1222" t="s">
        <v>580</v>
      </c>
      <c r="F3" s="1218"/>
      <c r="G3" s="1211" t="s">
        <v>581</v>
      </c>
      <c r="H3" s="1211" t="s">
        <v>582</v>
      </c>
      <c r="I3" s="1211" t="s">
        <v>583</v>
      </c>
      <c r="J3" s="1218"/>
      <c r="K3" s="1208"/>
      <c r="L3" s="1209"/>
      <c r="M3" s="1209"/>
      <c r="N3" s="1210"/>
      <c r="O3" s="1227" t="s">
        <v>584</v>
      </c>
      <c r="P3" s="1227" t="s">
        <v>585</v>
      </c>
      <c r="Q3" s="1227" t="s">
        <v>608</v>
      </c>
      <c r="R3" s="1227" t="s">
        <v>587</v>
      </c>
      <c r="S3" s="1227" t="s">
        <v>588</v>
      </c>
      <c r="T3" s="1227" t="s">
        <v>589</v>
      </c>
      <c r="U3" s="1227" t="s">
        <v>585</v>
      </c>
      <c r="V3" s="1227" t="s">
        <v>587</v>
      </c>
      <c r="W3" s="1227" t="s">
        <v>588</v>
      </c>
      <c r="X3" s="1227" t="s">
        <v>589</v>
      </c>
    </row>
    <row r="4" spans="1:24">
      <c r="A4" s="1216"/>
      <c r="B4" s="1231"/>
      <c r="C4" s="1231"/>
      <c r="D4" s="1230"/>
      <c r="E4" s="1231"/>
      <c r="F4" s="1219"/>
      <c r="G4" s="1211"/>
      <c r="H4" s="1211"/>
      <c r="I4" s="1211"/>
      <c r="J4" s="1218"/>
      <c r="K4" s="1208"/>
      <c r="L4" s="1209"/>
      <c r="M4" s="1209"/>
      <c r="N4" s="1210"/>
      <c r="O4" s="1219"/>
      <c r="P4" s="1219"/>
      <c r="Q4" s="1218"/>
      <c r="R4" s="1219"/>
      <c r="S4" s="1219"/>
      <c r="T4" s="1219"/>
      <c r="U4" s="1219"/>
      <c r="V4" s="1219"/>
      <c r="W4" s="1219"/>
      <c r="X4" s="1219"/>
    </row>
    <row r="5" spans="1:24" ht="15.5">
      <c r="A5" s="1217"/>
      <c r="B5" s="1223"/>
      <c r="C5" s="1223"/>
      <c r="D5" s="1226"/>
      <c r="E5" s="1223"/>
      <c r="F5" s="308" t="s">
        <v>564</v>
      </c>
      <c r="G5" s="1211"/>
      <c r="H5" s="1211"/>
      <c r="I5" s="1211"/>
      <c r="J5" s="1219"/>
      <c r="K5" s="1208"/>
      <c r="L5" s="1209"/>
      <c r="M5" s="1220"/>
      <c r="N5" s="1221"/>
      <c r="O5" s="308" t="s">
        <v>564</v>
      </c>
      <c r="P5" s="313" t="s">
        <v>508</v>
      </c>
      <c r="Q5" s="1218"/>
      <c r="R5" s="308" t="s">
        <v>567</v>
      </c>
      <c r="S5" s="308" t="s">
        <v>567</v>
      </c>
      <c r="T5" s="308" t="s">
        <v>567</v>
      </c>
      <c r="U5" s="308" t="s">
        <v>508</v>
      </c>
      <c r="V5" s="308" t="s">
        <v>567</v>
      </c>
      <c r="W5" s="308" t="s">
        <v>567</v>
      </c>
      <c r="X5" s="308" t="s">
        <v>567</v>
      </c>
    </row>
    <row r="6" spans="1:24" ht="15.5">
      <c r="A6" s="1196"/>
      <c r="B6" s="1198">
        <v>2.5</v>
      </c>
      <c r="C6" s="1198">
        <v>3.5</v>
      </c>
      <c r="D6" s="1196">
        <v>20</v>
      </c>
      <c r="E6" s="1196">
        <v>60</v>
      </c>
      <c r="F6" s="1202">
        <v>330</v>
      </c>
      <c r="G6" s="311"/>
      <c r="H6" s="311">
        <v>3.2</v>
      </c>
      <c r="I6" s="312">
        <v>0</v>
      </c>
      <c r="J6" s="311" t="s">
        <v>507</v>
      </c>
      <c r="K6" s="314" t="s">
        <v>101</v>
      </c>
      <c r="L6" s="315" t="s">
        <v>569</v>
      </c>
      <c r="M6" s="314" t="s">
        <v>104</v>
      </c>
      <c r="N6" s="315" t="s">
        <v>568</v>
      </c>
      <c r="O6" s="309">
        <v>957.84247685185187</v>
      </c>
      <c r="P6" s="325">
        <v>1287.8424768518519</v>
      </c>
      <c r="Q6" s="321">
        <v>9</v>
      </c>
      <c r="R6" s="1228">
        <v>4981.6097543068154</v>
      </c>
      <c r="S6" s="1200">
        <v>7448.2292980232214</v>
      </c>
      <c r="T6" s="1200">
        <v>7587.6222115273576</v>
      </c>
      <c r="U6" s="309">
        <v>957.88194444444446</v>
      </c>
      <c r="V6" s="1206">
        <v>2012.6040288800707</v>
      </c>
      <c r="W6" s="1200">
        <v>4075.8224022633749</v>
      </c>
      <c r="X6" s="1200">
        <v>3780.6134718547914</v>
      </c>
    </row>
    <row r="7" spans="1:24" ht="15.5">
      <c r="A7" s="1197"/>
      <c r="B7" s="1199">
        <v>2.7</v>
      </c>
      <c r="C7" s="1199">
        <v>7</v>
      </c>
      <c r="D7" s="1197">
        <v>20</v>
      </c>
      <c r="E7" s="1197">
        <v>120</v>
      </c>
      <c r="F7" s="1203">
        <v>660</v>
      </c>
      <c r="G7" s="311">
        <v>100</v>
      </c>
      <c r="H7" s="311">
        <v>3.2</v>
      </c>
      <c r="I7" s="312">
        <v>633.60000000000014</v>
      </c>
      <c r="J7" s="311" t="s">
        <v>508</v>
      </c>
      <c r="K7" s="314" t="s">
        <v>101</v>
      </c>
      <c r="L7" s="315" t="s">
        <v>569</v>
      </c>
      <c r="M7" s="314" t="s">
        <v>106</v>
      </c>
      <c r="N7" s="315" t="s">
        <v>569</v>
      </c>
      <c r="O7" s="309">
        <v>989.15301803260991</v>
      </c>
      <c r="P7" s="325">
        <v>1952.75301803261</v>
      </c>
      <c r="Q7" s="322" t="s">
        <v>609</v>
      </c>
      <c r="R7" s="1229"/>
      <c r="S7" s="1201"/>
      <c r="T7" s="1201"/>
      <c r="U7" s="309">
        <v>985.46485260770976</v>
      </c>
      <c r="V7" s="1207"/>
      <c r="W7" s="1201"/>
      <c r="X7" s="1201"/>
    </row>
    <row r="8" spans="1:24" ht="15.5">
      <c r="A8" s="1196"/>
      <c r="B8" s="1198">
        <v>2.5</v>
      </c>
      <c r="C8" s="1198">
        <v>3.5</v>
      </c>
      <c r="D8" s="1196">
        <v>20</v>
      </c>
      <c r="E8" s="1196">
        <v>60</v>
      </c>
      <c r="F8" s="1202">
        <v>330</v>
      </c>
      <c r="G8" s="311">
        <v>100</v>
      </c>
      <c r="H8" s="311">
        <v>3.2</v>
      </c>
      <c r="I8" s="312">
        <v>633.60000000000014</v>
      </c>
      <c r="J8" s="311" t="s">
        <v>507</v>
      </c>
      <c r="K8" s="314" t="s">
        <v>106</v>
      </c>
      <c r="L8" s="315" t="s">
        <v>568</v>
      </c>
      <c r="M8" s="314" t="s">
        <v>104</v>
      </c>
      <c r="N8" s="315" t="s">
        <v>569</v>
      </c>
      <c r="O8" s="309">
        <v>678.94223679698212</v>
      </c>
      <c r="P8" s="325">
        <v>1642.5422367969823</v>
      </c>
      <c r="Q8" s="321">
        <v>9</v>
      </c>
      <c r="R8" s="1228">
        <v>4752.5294662540946</v>
      </c>
      <c r="S8" s="1200">
        <v>7763.3069849766689</v>
      </c>
      <c r="T8" s="1200">
        <v>7061.7493395593192</v>
      </c>
      <c r="U8" s="309">
        <v>598.11171124828536</v>
      </c>
      <c r="V8" s="1206">
        <v>1947.5928681657847</v>
      </c>
      <c r="W8" s="1200">
        <v>2986.2577964248972</v>
      </c>
      <c r="X8" s="1200">
        <v>2741.4115892305999</v>
      </c>
    </row>
    <row r="9" spans="1:24" ht="15.5">
      <c r="A9" s="1197"/>
      <c r="B9" s="1199">
        <v>2.2999999999999998</v>
      </c>
      <c r="C9" s="1199">
        <v>3</v>
      </c>
      <c r="D9" s="1197">
        <v>20</v>
      </c>
      <c r="E9" s="1197">
        <v>40</v>
      </c>
      <c r="F9" s="1203">
        <v>220</v>
      </c>
      <c r="G9" s="311">
        <v>100</v>
      </c>
      <c r="H9" s="311">
        <v>3.2</v>
      </c>
      <c r="I9" s="312">
        <v>633.60000000000014</v>
      </c>
      <c r="J9" s="311" t="s">
        <v>508</v>
      </c>
      <c r="K9" s="314" t="s">
        <v>105</v>
      </c>
      <c r="L9" s="315" t="s">
        <v>568</v>
      </c>
      <c r="M9" s="314" t="s">
        <v>104</v>
      </c>
      <c r="N9" s="315" t="s">
        <v>569</v>
      </c>
      <c r="O9" s="309">
        <v>741.02036179698212</v>
      </c>
      <c r="P9" s="325">
        <v>1704.6203617969823</v>
      </c>
      <c r="Q9" s="322" t="s">
        <v>598</v>
      </c>
      <c r="R9" s="1229"/>
      <c r="S9" s="1201"/>
      <c r="T9" s="1201"/>
      <c r="U9" s="309">
        <v>652.79921124828536</v>
      </c>
      <c r="V9" s="1207"/>
      <c r="W9" s="1201"/>
      <c r="X9" s="1201"/>
    </row>
    <row r="10" spans="1:24" ht="15.5">
      <c r="A10" s="1196"/>
      <c r="B10" s="1198"/>
      <c r="C10" s="1198"/>
      <c r="D10" s="1196"/>
      <c r="E10" s="1196"/>
      <c r="F10" s="1202">
        <v>0</v>
      </c>
      <c r="G10" s="311"/>
      <c r="H10" s="311"/>
      <c r="I10" s="312">
        <v>0</v>
      </c>
      <c r="J10" s="311"/>
      <c r="K10" s="314"/>
      <c r="L10" s="315"/>
      <c r="M10" s="314"/>
      <c r="N10" s="315"/>
      <c r="O10" s="309">
        <v>0</v>
      </c>
      <c r="P10" s="325">
        <v>0</v>
      </c>
      <c r="Q10" s="321"/>
      <c r="R10" s="1228" t="s">
        <v>610</v>
      </c>
      <c r="S10" s="1200" t="e">
        <v>#DIV/0!</v>
      </c>
      <c r="T10" s="1200" t="e">
        <v>#DIV/0!</v>
      </c>
      <c r="U10" s="309">
        <v>0</v>
      </c>
      <c r="V10" s="1206" t="s">
        <v>610</v>
      </c>
      <c r="W10" s="1200" t="e">
        <v>#DIV/0!</v>
      </c>
      <c r="X10" s="1200" t="e">
        <v>#DIV/0!</v>
      </c>
    </row>
    <row r="11" spans="1:24" ht="15.5">
      <c r="A11" s="1197"/>
      <c r="B11" s="1199"/>
      <c r="C11" s="1199"/>
      <c r="D11" s="1197"/>
      <c r="E11" s="1197"/>
      <c r="F11" s="1203">
        <v>0</v>
      </c>
      <c r="G11" s="311"/>
      <c r="H11" s="311"/>
      <c r="I11" s="312">
        <v>0</v>
      </c>
      <c r="J11" s="311"/>
      <c r="K11" s="314"/>
      <c r="L11" s="315"/>
      <c r="M11" s="314"/>
      <c r="N11" s="315"/>
      <c r="O11" s="309">
        <v>0</v>
      </c>
      <c r="P11" s="325">
        <v>0</v>
      </c>
      <c r="Q11" s="322"/>
      <c r="R11" s="1229"/>
      <c r="S11" s="1201"/>
      <c r="T11" s="1201"/>
      <c r="U11" s="309">
        <v>0</v>
      </c>
      <c r="V11" s="1207"/>
      <c r="W11" s="1201"/>
      <c r="X11" s="1201"/>
    </row>
    <row r="12" spans="1:24" ht="15.5">
      <c r="A12" s="1196"/>
      <c r="B12" s="1198"/>
      <c r="C12" s="1198"/>
      <c r="D12" s="1196"/>
      <c r="E12" s="1196"/>
      <c r="F12" s="1202">
        <v>0</v>
      </c>
      <c r="G12" s="311"/>
      <c r="H12" s="311"/>
      <c r="I12" s="312">
        <v>0</v>
      </c>
      <c r="J12" s="311"/>
      <c r="K12" s="314"/>
      <c r="L12" s="315"/>
      <c r="M12" s="314"/>
      <c r="N12" s="315"/>
      <c r="O12" s="309">
        <v>0</v>
      </c>
      <c r="P12" s="325">
        <v>0</v>
      </c>
      <c r="Q12" s="321"/>
      <c r="R12" s="1228" t="s">
        <v>610</v>
      </c>
      <c r="S12" s="1200" t="e">
        <v>#DIV/0!</v>
      </c>
      <c r="T12" s="1200" t="e">
        <v>#DIV/0!</v>
      </c>
      <c r="U12" s="309">
        <v>0</v>
      </c>
      <c r="V12" s="1206" t="s">
        <v>610</v>
      </c>
      <c r="W12" s="1200" t="e">
        <v>#DIV/0!</v>
      </c>
      <c r="X12" s="1200" t="e">
        <v>#DIV/0!</v>
      </c>
    </row>
    <row r="13" spans="1:24" ht="15.5">
      <c r="A13" s="1197"/>
      <c r="B13" s="1199"/>
      <c r="C13" s="1199"/>
      <c r="D13" s="1197"/>
      <c r="E13" s="1197"/>
      <c r="F13" s="1203">
        <v>0</v>
      </c>
      <c r="G13" s="311"/>
      <c r="H13" s="311"/>
      <c r="I13" s="312">
        <v>0</v>
      </c>
      <c r="J13" s="311"/>
      <c r="K13" s="314"/>
      <c r="L13" s="315"/>
      <c r="M13" s="314"/>
      <c r="N13" s="315"/>
      <c r="O13" s="309">
        <v>0</v>
      </c>
      <c r="P13" s="325">
        <v>0</v>
      </c>
      <c r="Q13" s="322"/>
      <c r="R13" s="1229"/>
      <c r="S13" s="1201"/>
      <c r="T13" s="1201"/>
      <c r="U13" s="309">
        <v>0</v>
      </c>
      <c r="V13" s="1207"/>
      <c r="W13" s="1201"/>
      <c r="X13" s="1201"/>
    </row>
    <row r="14" spans="1:24" ht="15.5">
      <c r="A14" s="1196"/>
      <c r="B14" s="1198"/>
      <c r="C14" s="1198"/>
      <c r="D14" s="1196"/>
      <c r="E14" s="1196"/>
      <c r="F14" s="1202">
        <v>0</v>
      </c>
      <c r="G14" s="311"/>
      <c r="H14" s="311"/>
      <c r="I14" s="312">
        <v>0</v>
      </c>
      <c r="J14" s="311"/>
      <c r="K14" s="314"/>
      <c r="L14" s="315"/>
      <c r="M14" s="314"/>
      <c r="N14" s="315"/>
      <c r="O14" s="309">
        <v>0</v>
      </c>
      <c r="P14" s="325">
        <v>0</v>
      </c>
      <c r="Q14" s="321"/>
      <c r="R14" s="1228" t="s">
        <v>610</v>
      </c>
      <c r="S14" s="1200" t="e">
        <v>#DIV/0!</v>
      </c>
      <c r="T14" s="1200" t="e">
        <v>#DIV/0!</v>
      </c>
      <c r="U14" s="309">
        <v>0</v>
      </c>
      <c r="V14" s="1206" t="s">
        <v>610</v>
      </c>
      <c r="W14" s="1200" t="e">
        <v>#DIV/0!</v>
      </c>
      <c r="X14" s="1200" t="e">
        <v>#DIV/0!</v>
      </c>
    </row>
    <row r="15" spans="1:24" ht="15.5">
      <c r="A15" s="1197"/>
      <c r="B15" s="1199"/>
      <c r="C15" s="1199"/>
      <c r="D15" s="1197"/>
      <c r="E15" s="1197"/>
      <c r="F15" s="1203">
        <v>0</v>
      </c>
      <c r="G15" s="311"/>
      <c r="H15" s="311"/>
      <c r="I15" s="312">
        <v>0</v>
      </c>
      <c r="J15" s="311"/>
      <c r="K15" s="314"/>
      <c r="L15" s="315"/>
      <c r="M15" s="314"/>
      <c r="N15" s="315"/>
      <c r="O15" s="309">
        <v>0</v>
      </c>
      <c r="P15" s="325">
        <v>0</v>
      </c>
      <c r="Q15" s="322"/>
      <c r="R15" s="1229"/>
      <c r="S15" s="1201"/>
      <c r="T15" s="1201"/>
      <c r="U15" s="309">
        <v>0</v>
      </c>
      <c r="V15" s="1207"/>
      <c r="W15" s="1201"/>
      <c r="X15" s="1201"/>
    </row>
    <row r="16" spans="1:24" ht="15.5">
      <c r="A16" s="1196"/>
      <c r="B16" s="1198"/>
      <c r="C16" s="1198"/>
      <c r="D16" s="1196"/>
      <c r="E16" s="1196"/>
      <c r="F16" s="1202">
        <v>0</v>
      </c>
      <c r="G16" s="311"/>
      <c r="H16" s="311"/>
      <c r="I16" s="312">
        <v>0</v>
      </c>
      <c r="J16" s="311"/>
      <c r="K16" s="314"/>
      <c r="L16" s="315"/>
      <c r="M16" s="314"/>
      <c r="N16" s="315"/>
      <c r="O16" s="309">
        <v>0</v>
      </c>
      <c r="P16" s="325">
        <v>0</v>
      </c>
      <c r="Q16" s="321"/>
      <c r="R16" s="1228" t="s">
        <v>610</v>
      </c>
      <c r="S16" s="1200" t="e">
        <v>#DIV/0!</v>
      </c>
      <c r="T16" s="1200" t="e">
        <v>#DIV/0!</v>
      </c>
      <c r="U16" s="309">
        <v>0</v>
      </c>
      <c r="V16" s="1206" t="s">
        <v>610</v>
      </c>
      <c r="W16" s="1200" t="e">
        <v>#DIV/0!</v>
      </c>
      <c r="X16" s="1200" t="e">
        <v>#DIV/0!</v>
      </c>
    </row>
    <row r="17" spans="1:24" ht="15.5">
      <c r="A17" s="1197"/>
      <c r="B17" s="1199"/>
      <c r="C17" s="1199"/>
      <c r="D17" s="1197"/>
      <c r="E17" s="1197"/>
      <c r="F17" s="1203">
        <v>0</v>
      </c>
      <c r="G17" s="311"/>
      <c r="H17" s="311"/>
      <c r="I17" s="312">
        <v>0</v>
      </c>
      <c r="J17" s="311"/>
      <c r="K17" s="314"/>
      <c r="L17" s="315"/>
      <c r="M17" s="314"/>
      <c r="N17" s="315"/>
      <c r="O17" s="309">
        <v>0</v>
      </c>
      <c r="P17" s="325">
        <v>0</v>
      </c>
      <c r="Q17" s="322"/>
      <c r="R17" s="1229"/>
      <c r="S17" s="1201"/>
      <c r="T17" s="1201"/>
      <c r="U17" s="309">
        <v>0</v>
      </c>
      <c r="V17" s="1207"/>
      <c r="W17" s="1201"/>
      <c r="X17" s="1201"/>
    </row>
    <row r="18" spans="1:24" ht="15.5">
      <c r="A18" s="1196"/>
      <c r="B18" s="1198"/>
      <c r="C18" s="1198"/>
      <c r="D18" s="1196"/>
      <c r="E18" s="1196"/>
      <c r="F18" s="1202">
        <v>0</v>
      </c>
      <c r="G18" s="311"/>
      <c r="H18" s="311"/>
      <c r="I18" s="312">
        <v>0</v>
      </c>
      <c r="J18" s="311"/>
      <c r="K18" s="314"/>
      <c r="L18" s="315"/>
      <c r="M18" s="314"/>
      <c r="N18" s="315"/>
      <c r="O18" s="309">
        <v>0</v>
      </c>
      <c r="P18" s="325">
        <v>0</v>
      </c>
      <c r="Q18" s="321"/>
      <c r="R18" s="1228" t="s">
        <v>610</v>
      </c>
      <c r="S18" s="1200" t="e">
        <v>#DIV/0!</v>
      </c>
      <c r="T18" s="1200" t="e">
        <v>#DIV/0!</v>
      </c>
      <c r="U18" s="309">
        <v>0</v>
      </c>
      <c r="V18" s="1206" t="s">
        <v>610</v>
      </c>
      <c r="W18" s="1200" t="e">
        <v>#DIV/0!</v>
      </c>
      <c r="X18" s="1200" t="e">
        <v>#DIV/0!</v>
      </c>
    </row>
    <row r="19" spans="1:24" ht="15.5">
      <c r="A19" s="1197"/>
      <c r="B19" s="1199"/>
      <c r="C19" s="1199"/>
      <c r="D19" s="1197"/>
      <c r="E19" s="1197"/>
      <c r="F19" s="1203">
        <v>0</v>
      </c>
      <c r="G19" s="311"/>
      <c r="H19" s="311"/>
      <c r="I19" s="312">
        <v>0</v>
      </c>
      <c r="J19" s="311"/>
      <c r="K19" s="314"/>
      <c r="L19" s="315"/>
      <c r="M19" s="314"/>
      <c r="N19" s="315"/>
      <c r="O19" s="309">
        <v>0</v>
      </c>
      <c r="P19" s="325">
        <v>0</v>
      </c>
      <c r="Q19" s="322"/>
      <c r="R19" s="1229"/>
      <c r="S19" s="1201"/>
      <c r="T19" s="1201"/>
      <c r="U19" s="309">
        <v>0</v>
      </c>
      <c r="V19" s="1207"/>
      <c r="W19" s="1201"/>
      <c r="X19" s="1201"/>
    </row>
  </sheetData>
  <mergeCells count="111">
    <mergeCell ref="X16:X17"/>
    <mergeCell ref="A18:A19"/>
    <mergeCell ref="B18:B19"/>
    <mergeCell ref="C18:C19"/>
    <mergeCell ref="D18:D19"/>
    <mergeCell ref="E18:E19"/>
    <mergeCell ref="V14:V15"/>
    <mergeCell ref="W14:W15"/>
    <mergeCell ref="X14:X15"/>
    <mergeCell ref="A16:A17"/>
    <mergeCell ref="B16:B17"/>
    <mergeCell ref="C16:C17"/>
    <mergeCell ref="D16:D17"/>
    <mergeCell ref="E16:E17"/>
    <mergeCell ref="F16:F17"/>
    <mergeCell ref="R16:R17"/>
    <mergeCell ref="X18:X19"/>
    <mergeCell ref="F18:F19"/>
    <mergeCell ref="R18:R19"/>
    <mergeCell ref="S18:S19"/>
    <mergeCell ref="T18:T19"/>
    <mergeCell ref="V18:V19"/>
    <mergeCell ref="R10:R11"/>
    <mergeCell ref="S10:S11"/>
    <mergeCell ref="T10:T11"/>
    <mergeCell ref="W18:W19"/>
    <mergeCell ref="S16:S17"/>
    <mergeCell ref="T16:T17"/>
    <mergeCell ref="A14:A15"/>
    <mergeCell ref="B14:B15"/>
    <mergeCell ref="C14:C15"/>
    <mergeCell ref="D14:D15"/>
    <mergeCell ref="E14:E15"/>
    <mergeCell ref="F14:F15"/>
    <mergeCell ref="R14:R15"/>
    <mergeCell ref="S14:S15"/>
    <mergeCell ref="T14:T15"/>
    <mergeCell ref="V16:V17"/>
    <mergeCell ref="W16:W17"/>
    <mergeCell ref="C6:C7"/>
    <mergeCell ref="D6:D7"/>
    <mergeCell ref="E6:E7"/>
    <mergeCell ref="V10:V11"/>
    <mergeCell ref="W10:W11"/>
    <mergeCell ref="X10:X11"/>
    <mergeCell ref="A12:A13"/>
    <mergeCell ref="B12:B13"/>
    <mergeCell ref="C12:C13"/>
    <mergeCell ref="D12:D13"/>
    <mergeCell ref="E12:E13"/>
    <mergeCell ref="X12:X13"/>
    <mergeCell ref="F12:F13"/>
    <mergeCell ref="R12:R13"/>
    <mergeCell ref="S12:S13"/>
    <mergeCell ref="T12:T13"/>
    <mergeCell ref="V12:V13"/>
    <mergeCell ref="W12:W13"/>
    <mergeCell ref="A10:A11"/>
    <mergeCell ref="B10:B11"/>
    <mergeCell ref="C10:C11"/>
    <mergeCell ref="D10:D11"/>
    <mergeCell ref="E10:E11"/>
    <mergeCell ref="F10:F11"/>
    <mergeCell ref="E3:E5"/>
    <mergeCell ref="G3:G5"/>
    <mergeCell ref="H3:H5"/>
    <mergeCell ref="X6:X7"/>
    <mergeCell ref="A8:A9"/>
    <mergeCell ref="B8:B9"/>
    <mergeCell ref="C8:C9"/>
    <mergeCell ref="D8:D9"/>
    <mergeCell ref="E8:E9"/>
    <mergeCell ref="F8:F9"/>
    <mergeCell ref="R8:R9"/>
    <mergeCell ref="S8:S9"/>
    <mergeCell ref="T8:T9"/>
    <mergeCell ref="F6:F7"/>
    <mergeCell ref="R6:R7"/>
    <mergeCell ref="S6:S7"/>
    <mergeCell ref="T6:T7"/>
    <mergeCell ref="V6:V7"/>
    <mergeCell ref="W6:W7"/>
    <mergeCell ref="V8:V9"/>
    <mergeCell ref="W8:W9"/>
    <mergeCell ref="X8:X9"/>
    <mergeCell ref="A6:A7"/>
    <mergeCell ref="B6:B7"/>
    <mergeCell ref="A1:X1"/>
    <mergeCell ref="A2:A5"/>
    <mergeCell ref="B2:C2"/>
    <mergeCell ref="D2:E2"/>
    <mergeCell ref="F2:F4"/>
    <mergeCell ref="G2:I2"/>
    <mergeCell ref="J2:J5"/>
    <mergeCell ref="K2:N5"/>
    <mergeCell ref="O2:T2"/>
    <mergeCell ref="U2:X2"/>
    <mergeCell ref="T3:T4"/>
    <mergeCell ref="U3:U4"/>
    <mergeCell ref="V3:V4"/>
    <mergeCell ref="W3:W4"/>
    <mergeCell ref="X3:X4"/>
    <mergeCell ref="R3:R4"/>
    <mergeCell ref="S3:S4"/>
    <mergeCell ref="I3:I5"/>
    <mergeCell ref="O3:O4"/>
    <mergeCell ref="P3:P4"/>
    <mergeCell ref="Q3:Q5"/>
    <mergeCell ref="B3:B5"/>
    <mergeCell ref="C3:C5"/>
    <mergeCell ref="D3:D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FBDF-157A-48F2-B50F-20D2D77BB339}">
  <sheetPr codeName="Sheet36"/>
  <dimension ref="A1:N33"/>
  <sheetViews>
    <sheetView topLeftCell="A14" workbookViewId="0">
      <selection activeCell="M28" sqref="M28"/>
    </sheetView>
  </sheetViews>
  <sheetFormatPr defaultColWidth="8.83203125" defaultRowHeight="14"/>
  <sheetData>
    <row r="1" spans="1:11" ht="14.5" thickBot="1">
      <c r="A1" s="307"/>
      <c r="B1" s="307"/>
      <c r="C1" s="307"/>
      <c r="D1" s="307"/>
      <c r="E1" s="307"/>
      <c r="F1" s="307"/>
      <c r="G1" s="307"/>
      <c r="H1" s="307"/>
      <c r="I1" s="307"/>
      <c r="J1" s="307"/>
      <c r="K1" s="307"/>
    </row>
    <row r="2" spans="1:11" ht="18" thickBot="1">
      <c r="A2" s="1212" t="s">
        <v>601</v>
      </c>
      <c r="B2" s="1213"/>
      <c r="C2" s="1213"/>
      <c r="D2" s="1213"/>
      <c r="E2" s="1213"/>
      <c r="F2" s="1213"/>
      <c r="G2" s="1213"/>
      <c r="H2" s="1213"/>
      <c r="I2" s="1213"/>
      <c r="J2" s="1213"/>
      <c r="K2" s="1214"/>
    </row>
    <row r="3" spans="1:11" ht="15">
      <c r="A3" s="1232" t="s">
        <v>590</v>
      </c>
      <c r="B3" s="1208" t="s">
        <v>555</v>
      </c>
      <c r="C3" s="1209"/>
      <c r="D3" s="1210"/>
      <c r="E3" s="1208" t="s">
        <v>556</v>
      </c>
      <c r="F3" s="1209"/>
      <c r="G3" s="1209"/>
      <c r="H3" s="1210"/>
      <c r="I3" s="1224" t="s">
        <v>575</v>
      </c>
      <c r="J3" s="1220"/>
      <c r="K3" s="1232" t="s">
        <v>576</v>
      </c>
    </row>
    <row r="4" spans="1:11" ht="33">
      <c r="A4" s="1218"/>
      <c r="B4" s="1211" t="s">
        <v>581</v>
      </c>
      <c r="C4" s="1211" t="s">
        <v>582</v>
      </c>
      <c r="D4" s="1211" t="s">
        <v>583</v>
      </c>
      <c r="E4" s="1208"/>
      <c r="F4" s="1209"/>
      <c r="G4" s="1209"/>
      <c r="H4" s="1210"/>
      <c r="I4" s="310" t="s">
        <v>584</v>
      </c>
      <c r="J4" s="310" t="s">
        <v>560</v>
      </c>
      <c r="K4" s="1219"/>
    </row>
    <row r="5" spans="1:11" ht="15.5">
      <c r="A5" s="1219"/>
      <c r="B5" s="1211"/>
      <c r="C5" s="1211"/>
      <c r="D5" s="1211"/>
      <c r="E5" s="1208"/>
      <c r="F5" s="1209"/>
      <c r="G5" s="1220"/>
      <c r="H5" s="1221"/>
      <c r="I5" s="308" t="s">
        <v>564</v>
      </c>
      <c r="J5" s="308" t="s">
        <v>564</v>
      </c>
      <c r="K5" s="308" t="s">
        <v>564</v>
      </c>
    </row>
    <row r="6" spans="1:11" ht="15.5">
      <c r="A6" s="327" t="s">
        <v>611</v>
      </c>
      <c r="B6" s="311">
        <v>100</v>
      </c>
      <c r="C6" s="311">
        <f>TH!$B$18</f>
        <v>3.6</v>
      </c>
      <c r="D6" s="324">
        <f>IF(B6=100,180*1.1*C6,IF(B6=200,330*1.1*C6,0))</f>
        <v>712.80000000000007</v>
      </c>
      <c r="E6" s="314" t="s">
        <v>103</v>
      </c>
      <c r="F6" s="315" t="s">
        <v>569</v>
      </c>
      <c r="G6" s="314" t="s">
        <v>106</v>
      </c>
      <c r="H6" s="315" t="s">
        <v>569</v>
      </c>
      <c r="I6" s="309">
        <f>(IF(F6="HT",VLOOKUP(E6,'tải sàn'!$B$5:$L$51,11,0),IF(F6="TG",VLOOKUP(E6,'tải sàn'!$B$5:$L$51,9,0),0)))+(IF(H6="HT",VLOOKUP(G6,'tải sàn'!$B$5:$L$51,11,0),IF(H6="TG",VLOOKUP(G6,'tải sàn'!$B$5:$L$51,9,0),0)))</f>
        <v>1.2377777777777779</v>
      </c>
      <c r="J6" s="326">
        <f>D6+I6</f>
        <v>714.03777777777782</v>
      </c>
      <c r="K6" s="326">
        <f>(IF(F6="HT",VLOOKUP(E6,'tải sàn'!$B$5:$L$51,10,0),IF(F6="TG",VLOOKUP(E6,'tải sàn'!$B$5:$L$51,8,0),0)))+(IF(H6="HT",VLOOKUP(G6,'tải sàn'!$B$5:$L$51,10,0),IF(H6="TG",VLOOKUP(G6,'tải sàn'!$B$5:$L$51,8,0),0)))</f>
        <v>1.2377777777777779</v>
      </c>
    </row>
    <row r="7" spans="1:11" ht="15.5">
      <c r="A7" s="327" t="s">
        <v>612</v>
      </c>
      <c r="B7" s="311">
        <v>100</v>
      </c>
      <c r="C7" s="311">
        <f>TH!$B$18</f>
        <v>3.6</v>
      </c>
      <c r="D7" s="324">
        <f t="shared" ref="D7:D12" si="0">IF(B7=100,180*1.1*C7,IF(B7=200,330*1.1*C7,0))</f>
        <v>712.80000000000007</v>
      </c>
      <c r="E7" s="314" t="s">
        <v>101</v>
      </c>
      <c r="F7" s="315" t="s">
        <v>568</v>
      </c>
      <c r="G7" s="314" t="s">
        <v>105</v>
      </c>
      <c r="H7" s="315" t="s">
        <v>569</v>
      </c>
      <c r="I7" s="309">
        <f>(IF(F7="HT",VLOOKUP(E7,'tải sàn'!$B$5:$L$51,11,0),IF(F7="TG",VLOOKUP(E7,'tải sàn'!$B$5:$L$51,9,0),0)))+(IF(H7="HT",VLOOKUP(G7,'tải sàn'!$B$5:$L$51,11,0),IF(H7="TG",VLOOKUP(G7,'tải sàn'!$B$5:$L$51,9,0),0)))</f>
        <v>0.84111111111111114</v>
      </c>
      <c r="J7" s="326">
        <f t="shared" ref="J7:J12" si="1">D7+I7</f>
        <v>713.64111111111117</v>
      </c>
      <c r="K7" s="326">
        <f>(IF(F7="HT",VLOOKUP(E7,'tải sàn'!$B$5:$L$51,10,0),IF(F7="TG",VLOOKUP(E7,'tải sàn'!$B$5:$L$51,8,0),0)))+(IF(H7="HT",VLOOKUP(G7,'tải sàn'!$B$5:$L$51,10,0),IF(H7="TG",VLOOKUP(G7,'tải sàn'!$B$5:$L$51,8,0),0)))</f>
        <v>0.7286111111111111</v>
      </c>
    </row>
    <row r="8" spans="1:11" ht="15.5">
      <c r="A8" s="328" t="s">
        <v>613</v>
      </c>
      <c r="B8" s="311">
        <v>100</v>
      </c>
      <c r="C8" s="311">
        <f>TH!$B$18</f>
        <v>3.6</v>
      </c>
      <c r="D8" s="324">
        <f t="shared" si="0"/>
        <v>712.80000000000007</v>
      </c>
      <c r="E8" s="314" t="s">
        <v>102</v>
      </c>
      <c r="F8" s="315" t="s">
        <v>569</v>
      </c>
      <c r="G8" s="314" t="s">
        <v>104</v>
      </c>
      <c r="H8" s="315" t="s">
        <v>569</v>
      </c>
      <c r="I8" s="309">
        <f>(IF(F8="HT",VLOOKUP(E8,'tải sàn'!$B$5:$L$51,11,0),IF(F8="TG",VLOOKUP(E8,'tải sàn'!$B$5:$L$51,9,0),0)))+(IF(H8="HT",VLOOKUP(G8,'tải sàn'!$B$5:$L$51,11,0),IF(H8="TG",VLOOKUP(G8,'tải sàn'!$B$5:$L$51,9,0),0)))</f>
        <v>1.407167543200601</v>
      </c>
      <c r="J8" s="326">
        <f t="shared" si="1"/>
        <v>714.20716754320063</v>
      </c>
      <c r="K8" s="326">
        <f>(IF(F8="HT",VLOOKUP(E8,'tải sàn'!$B$5:$L$51,10,0),IF(F8="TG",VLOOKUP(E8,'tải sàn'!$B$5:$L$51,8,0),0)))+(IF(H8="HT",VLOOKUP(G8,'tải sàn'!$B$5:$L$51,10,0),IF(H8="TG",VLOOKUP(G8,'tải sàn'!$B$5:$L$51,8,0),0)))</f>
        <v>1.0153568745304282</v>
      </c>
    </row>
    <row r="9" spans="1:11" ht="15.5">
      <c r="A9" s="328" t="s">
        <v>614</v>
      </c>
      <c r="B9" s="311">
        <v>0</v>
      </c>
      <c r="C9" s="311">
        <f>TH!$B$18</f>
        <v>3.6</v>
      </c>
      <c r="D9" s="324">
        <f t="shared" si="0"/>
        <v>0</v>
      </c>
      <c r="E9" s="314" t="s">
        <v>108</v>
      </c>
      <c r="F9" s="315" t="s">
        <v>568</v>
      </c>
      <c r="G9" s="314" t="s">
        <v>107</v>
      </c>
      <c r="H9" s="315" t="s">
        <v>569</v>
      </c>
      <c r="I9" s="309">
        <f>(IF(F9="HT",VLOOKUP(E9,'tải sàn'!$B$5:$L$51,11,0),IF(F9="TG",VLOOKUP(E9,'tải sàn'!$B$5:$L$51,9,0),0)))+(IF(H9="HT",VLOOKUP(G9,'tải sàn'!$B$5:$L$51,11,0),IF(H9="TG",VLOOKUP(G9,'tải sàn'!$B$5:$L$51,9,0),0)))</f>
        <v>1.0274999999999999</v>
      </c>
      <c r="J9" s="326">
        <f t="shared" si="1"/>
        <v>1.0274999999999999</v>
      </c>
      <c r="K9" s="326">
        <f>(IF(F9="HT",VLOOKUP(E9,'tải sàn'!$B$5:$L$51,10,0),IF(F9="TG",VLOOKUP(E9,'tải sàn'!$B$5:$L$51,8,0),0)))+(IF(H9="HT",VLOOKUP(G9,'tải sàn'!$B$5:$L$51,10,0),IF(H9="TG",VLOOKUP(G9,'tải sàn'!$B$5:$L$51,8,0),0)))</f>
        <v>1.0274999999999999</v>
      </c>
    </row>
    <row r="10" spans="1:11" ht="15.5">
      <c r="A10" s="328" t="s">
        <v>615</v>
      </c>
      <c r="B10" s="311">
        <v>100</v>
      </c>
      <c r="C10" s="311">
        <f>TH!$B$18</f>
        <v>3.6</v>
      </c>
      <c r="D10" s="324">
        <f t="shared" si="0"/>
        <v>712.80000000000007</v>
      </c>
      <c r="E10" s="314" t="s">
        <v>102</v>
      </c>
      <c r="F10" s="315" t="s">
        <v>569</v>
      </c>
      <c r="G10" s="314" t="s">
        <v>104</v>
      </c>
      <c r="H10" s="315" t="s">
        <v>569</v>
      </c>
      <c r="I10" s="309">
        <f>(IF(F10="HT",VLOOKUP(E10,'tải sàn'!$B$5:$L$51,11,0),IF(F10="TG",VLOOKUP(E10,'tải sàn'!$B$5:$L$51,9,0),0)))+(IF(H10="HT",VLOOKUP(G10,'tải sàn'!$B$5:$L$51,11,0),IF(H10="TG",VLOOKUP(G10,'tải sàn'!$B$5:$L$51,9,0),0)))</f>
        <v>1.407167543200601</v>
      </c>
      <c r="J10" s="326">
        <f t="shared" si="1"/>
        <v>714.20716754320063</v>
      </c>
      <c r="K10" s="326">
        <f>(IF(F10="HT",VLOOKUP(E10,'tải sàn'!$B$5:$L$51,10,0),IF(F10="TG",VLOOKUP(E10,'tải sàn'!$B$5:$L$51,8,0),0)))+(IF(H10="HT",VLOOKUP(G10,'tải sàn'!$B$5:$L$51,10,0),IF(H10="TG",VLOOKUP(G10,'tải sàn'!$B$5:$L$51,8,0),0)))</f>
        <v>1.0153568745304282</v>
      </c>
    </row>
    <row r="11" spans="1:11" ht="15.5">
      <c r="A11" s="328" t="s">
        <v>616</v>
      </c>
      <c r="B11" s="311">
        <v>0</v>
      </c>
      <c r="C11" s="311">
        <f>TH!$B$18</f>
        <v>3.6</v>
      </c>
      <c r="D11" s="324">
        <f t="shared" si="0"/>
        <v>0</v>
      </c>
      <c r="E11" s="314" t="s">
        <v>101</v>
      </c>
      <c r="F11" s="315" t="s">
        <v>568</v>
      </c>
      <c r="G11" s="314" t="s">
        <v>105</v>
      </c>
      <c r="H11" s="315" t="s">
        <v>569</v>
      </c>
      <c r="I11" s="309">
        <f>(IF(F11="HT",VLOOKUP(E11,'tải sàn'!$B$5:$L$51,11,0),IF(F11="TG",VLOOKUP(E11,'tải sàn'!$B$5:$L$51,9,0),0)))+(IF(H11="HT",VLOOKUP(G11,'tải sàn'!$B$5:$L$51,11,0),IF(H11="TG",VLOOKUP(G11,'tải sàn'!$B$5:$L$51,9,0),0)))</f>
        <v>0.84111111111111114</v>
      </c>
      <c r="J11" s="326">
        <f>D11+I11</f>
        <v>0.84111111111111114</v>
      </c>
      <c r="K11" s="326">
        <f>(IF(F11="HT",VLOOKUP(E11,'tải sàn'!$B$5:$L$51,10,0),IF(F11="TG",VLOOKUP(E11,'tải sàn'!$B$5:$L$51,8,0),0)))+(IF(H11="HT",VLOOKUP(G11,'tải sàn'!$B$5:$L$51,10,0),IF(H11="TG",VLOOKUP(G11,'tải sàn'!$B$5:$L$51,8,0),0)))</f>
        <v>0.7286111111111111</v>
      </c>
    </row>
    <row r="12" spans="1:11" ht="15.5">
      <c r="A12" s="328" t="s">
        <v>617</v>
      </c>
      <c r="B12" s="311">
        <v>0</v>
      </c>
      <c r="C12" s="311">
        <f>TH!$B$18</f>
        <v>3.6</v>
      </c>
      <c r="D12" s="324">
        <f t="shared" si="0"/>
        <v>0</v>
      </c>
      <c r="E12" s="314" t="s">
        <v>103</v>
      </c>
      <c r="F12" s="315" t="s">
        <v>569</v>
      </c>
      <c r="G12" s="314" t="s">
        <v>106</v>
      </c>
      <c r="H12" s="315" t="s">
        <v>569</v>
      </c>
      <c r="I12" s="309">
        <f>(IF(F12="HT",VLOOKUP(E12,'tải sàn'!$B$5:$L$51,11,0),IF(F12="TG",VLOOKUP(E12,'tải sàn'!$B$5:$L$51,9,0),0)))+(IF(H12="HT",VLOOKUP(G12,'tải sàn'!$B$5:$L$51,11,0),IF(H12="TG",VLOOKUP(G12,'tải sàn'!$B$5:$L$51,9,0),0)))</f>
        <v>1.2377777777777779</v>
      </c>
      <c r="J12" s="326">
        <f t="shared" si="1"/>
        <v>1.2377777777777779</v>
      </c>
      <c r="K12" s="326">
        <f>(IF(F12="HT",VLOOKUP(E12,'tải sàn'!$B$5:$L$51,10,0),IF(F12="TG",VLOOKUP(E12,'tải sàn'!$B$5:$L$51,8,0),0)))+(IF(H12="HT",VLOOKUP(G12,'tải sàn'!$B$5:$L$51,10,0),IF(H12="TG",VLOOKUP(G12,'tải sàn'!$B$5:$L$51,8,0),0)))</f>
        <v>1.2377777777777779</v>
      </c>
    </row>
    <row r="13" spans="1:11" ht="14.5" thickBot="1">
      <c r="A13" s="329"/>
      <c r="B13" s="307"/>
      <c r="C13" s="307"/>
      <c r="D13" s="307"/>
      <c r="E13" s="307"/>
      <c r="F13" s="307"/>
      <c r="G13" s="307"/>
      <c r="H13" s="307"/>
      <c r="I13" s="307"/>
      <c r="J13" s="307"/>
      <c r="K13" s="307"/>
    </row>
    <row r="14" spans="1:11" ht="18" thickBot="1">
      <c r="A14" s="1212" t="s">
        <v>605</v>
      </c>
      <c r="B14" s="1213"/>
      <c r="C14" s="1213"/>
      <c r="D14" s="1213"/>
      <c r="E14" s="1213"/>
      <c r="F14" s="1213"/>
      <c r="G14" s="1213"/>
      <c r="H14" s="1213"/>
      <c r="I14" s="1213"/>
      <c r="J14" s="1213"/>
      <c r="K14" s="1214"/>
    </row>
    <row r="15" spans="1:11">
      <c r="A15" s="1218" t="s">
        <v>592</v>
      </c>
      <c r="B15" s="1219" t="s">
        <v>593</v>
      </c>
      <c r="C15" s="1239" t="s">
        <v>594</v>
      </c>
      <c r="D15" s="1240"/>
      <c r="E15" s="1244" t="s">
        <v>198</v>
      </c>
      <c r="F15" s="1239" t="s">
        <v>595</v>
      </c>
      <c r="G15" s="1240"/>
      <c r="H15" s="1239" t="s">
        <v>197</v>
      </c>
      <c r="I15" s="1240"/>
      <c r="J15" s="1239" t="s">
        <v>596</v>
      </c>
      <c r="K15" s="1240"/>
    </row>
    <row r="16" spans="1:11">
      <c r="A16" s="1218"/>
      <c r="B16" s="1245"/>
      <c r="C16" s="1239"/>
      <c r="D16" s="1240"/>
      <c r="E16" s="1244"/>
      <c r="F16" s="1239"/>
      <c r="G16" s="1240"/>
      <c r="H16" s="1239"/>
      <c r="I16" s="1240"/>
      <c r="J16" s="1239"/>
      <c r="K16" s="1240"/>
    </row>
    <row r="17" spans="1:14" ht="15.5">
      <c r="A17" s="1219"/>
      <c r="B17" s="1245"/>
      <c r="C17" s="1239"/>
      <c r="D17" s="1240"/>
      <c r="E17" s="316" t="s">
        <v>567</v>
      </c>
      <c r="F17" s="1241" t="s">
        <v>567</v>
      </c>
      <c r="G17" s="1242"/>
      <c r="H17" s="1241" t="s">
        <v>567</v>
      </c>
      <c r="I17" s="1242"/>
      <c r="J17" s="1241" t="s">
        <v>567</v>
      </c>
      <c r="K17" s="1242"/>
    </row>
    <row r="18" spans="1:14" ht="15.5">
      <c r="A18" s="1196">
        <v>1</v>
      </c>
      <c r="B18" s="317">
        <v>16</v>
      </c>
      <c r="C18" s="320">
        <v>1</v>
      </c>
      <c r="D18" s="318"/>
      <c r="E18" s="319">
        <f>IF(C18=1,VLOOKUP(B18,'dam loai 1 TD'!$B$6:$R$41,15,0),IF(C18=2,(IF(D18="Ri",VLOOKUP(B18,'dam loai 2 TD'!$A$6:$X$50,19,0),IF(D18="Rj",VLOOKUP(B18,'dam loai 2 TD'!$A$6:$X$50,20,0),0))),IF(C18=3,(IF(D18="Ri",VLOOKUP(B18,'dam loai 3 TD'!$A$6:$X$50,19,0),IF(D18="Rj",VLOOKUP(B18,'dam loai 3 TD'!$A$6:$X$50,20,0),0))))))</f>
        <v>1527.1000000000001</v>
      </c>
      <c r="F18" s="1233">
        <f>E18+E19</f>
        <v>4581.9000000000005</v>
      </c>
      <c r="G18" s="1234"/>
      <c r="H18" s="1237">
        <f>IF(C18=1,VLOOKUP(B18,'dam loai 1 TD'!$B$6:$R$41,17,0),IF(C18=2,(IF(D18="Ri",VLOOKUP(B18,'dam loai 2 TD'!$A$6:$X$50,23,0),IF(D18="Rj",VLOOKUP(B18,'dam loai 2 TD'!$A$6:$X$50,24,0),0))),IF(C18=3,(IF(D18="Ri",VLOOKUP(B18,'dam loai 3 TD'!$A$6:$X$50,23,0),IF(D18="Rj",VLOOKUP(B18,'dam loai 3 TD'!$A$6:$X$50,24,0),0))))))</f>
        <v>0.3</v>
      </c>
      <c r="I18" s="1238"/>
      <c r="J18" s="1233">
        <f>H18+H19</f>
        <v>1.5</v>
      </c>
      <c r="K18" s="1234"/>
      <c r="L18" s="307"/>
      <c r="M18" s="307"/>
      <c r="N18" s="307"/>
    </row>
    <row r="19" spans="1:14" ht="15.5">
      <c r="A19" s="1197"/>
      <c r="B19" s="317">
        <v>8</v>
      </c>
      <c r="C19" s="320">
        <v>1</v>
      </c>
      <c r="D19" s="318"/>
      <c r="E19" s="319">
        <f>IF(C19=1,VLOOKUP(B19,'dam loai 1 TD'!$B$6:$R$41,15,0),IF(C19=2,(IF(D19="Ri",VLOOKUP(B19,'dam loai 2 TD'!$A$6:$X$50,19,0),IF(D19="Rj",VLOOKUP(B19,'dam loai 2 TD'!$A$6:$X$50,20,0),0))),IF(C19=3,(IF(D19="Ri",VLOOKUP(B19,'dam loai 3 TD'!$A$6:$X$50,19,0),IF(D19="Rj",VLOOKUP(B19,'dam loai 3 TD'!$A$6:$X$50,20,0),0))))))</f>
        <v>3054.8</v>
      </c>
      <c r="F19" s="1235"/>
      <c r="G19" s="1236"/>
      <c r="H19" s="1237">
        <f>IF(C19=1,VLOOKUP(B19,'dam loai 1 TD'!$B$6:$R$41,17,0),IF(C19=2,(IF(D19="Ri",VLOOKUP(B19,'dam loai 2 TD'!$A$6:$X$50,23,0),IF(D19="Rj",VLOOKUP(B19,'dam loai 2 TD'!$A$6:$X$50,24,0),0))),IF(C19=3,(IF(D19="Ri",VLOOKUP(B19,'dam loai 3 TD'!$A$6:$X$50,23,0),IF(D19="Rj",VLOOKUP(B19,'dam loai 3 TD'!$A$6:$X$50,24,0),0))))))</f>
        <v>1.2</v>
      </c>
      <c r="I19" s="1238"/>
      <c r="J19" s="1235"/>
      <c r="K19" s="1236"/>
      <c r="L19" s="307"/>
      <c r="M19" s="307"/>
      <c r="N19" s="307"/>
    </row>
    <row r="20" spans="1:14" ht="15.5">
      <c r="A20" s="1196">
        <v>2</v>
      </c>
      <c r="B20" s="317">
        <v>17</v>
      </c>
      <c r="C20" s="320">
        <v>1</v>
      </c>
      <c r="D20" s="318"/>
      <c r="E20" s="319">
        <f>IF(C20=1,VLOOKUP(B20,'dam loai 1 TD'!$B$6:$R$41,15,0),IF(C20=2,(IF(D20="Ri",VLOOKUP(B20,'dam loai 2 TD'!$A$6:$X$50,19,0),IF(D20="Rj",VLOOKUP(B20,'dam loai 2 TD'!$A$6:$X$50,20,0),0))),IF(C20=3,(IF(D20="Ri",VLOOKUP(B20,'dam loai 3 TD'!$A$6:$X$50,19,0),IF(D20="Rj",VLOOKUP(B20,'dam loai 3 TD'!$A$6:$X$50,20,0),0))))))</f>
        <v>220.6</v>
      </c>
      <c r="F20" s="1233">
        <f>E20+E21</f>
        <v>2088.1453985672915</v>
      </c>
      <c r="G20" s="1234"/>
      <c r="H20" s="1237">
        <f>IF(C20=1,VLOOKUP(B20,'dam loai 1 TD'!$B$6:$R$41,17,0),IF(C20=2,(IF(D20="Ri",VLOOKUP(B20,'dam loai 2 TD'!$A$6:$X$50,23,0),IF(D20="Rj",VLOOKUP(B20,'dam loai 2 TD'!$A$6:$X$50,24,0),0))),IF(C20=3,(IF(D20="Ri",VLOOKUP(B20,'dam loai 3 TD'!$A$6:$X$50,23,0),IF(D20="Rj",VLOOKUP(B20,'dam loai 3 TD'!$A$6:$X$50,24,0),0))))))</f>
        <v>0.6</v>
      </c>
      <c r="I20" s="1238"/>
      <c r="J20" s="1233">
        <f>H20+H21</f>
        <v>2.5453985672915715</v>
      </c>
      <c r="K20" s="1234"/>
      <c r="L20" s="307"/>
      <c r="M20" s="307"/>
      <c r="N20" s="307"/>
    </row>
    <row r="21" spans="1:14" ht="15.5">
      <c r="A21" s="1197"/>
      <c r="B21" s="317">
        <v>9</v>
      </c>
      <c r="C21" s="320">
        <v>1</v>
      </c>
      <c r="D21" s="318"/>
      <c r="E21" s="319">
        <f>IF(C21=1,VLOOKUP(B21,'dam loai 1 TD'!$B$6:$R$41,15,0),IF(C21=2,(IF(D21="Ri",VLOOKUP(B21,'dam loai 2 TD'!$A$6:$X$50,19,0),IF(D21="Rj",VLOOKUP(B21,'dam loai 2 TD'!$A$6:$X$50,20,0),0))),IF(C21=3,(IF(D21="Ri",VLOOKUP(B21,'dam loai 3 TD'!$A$6:$X$50,19,0),IF(D21="Rj",VLOOKUP(B21,'dam loai 3 TD'!$A$6:$X$50,20,0),0))))))</f>
        <v>1867.5453985672916</v>
      </c>
      <c r="F21" s="1235"/>
      <c r="G21" s="1236"/>
      <c r="H21" s="1237">
        <f>IF(C21=1,VLOOKUP(B21,'dam loai 1 TD'!$B$6:$R$41,17,0),IF(C21=2,(IF(D21="Ri",VLOOKUP(B21,'dam loai 2 TD'!$A$6:$X$50,23,0),IF(D21="Rj",VLOOKUP(B21,'dam loai 2 TD'!$A$6:$X$50,24,0),0))),IF(C21=3,(IF(D21="Ri",VLOOKUP(B21,'dam loai 3 TD'!$A$6:$X$50,23,0),IF(D21="Rj",VLOOKUP(B21,'dam loai 3 TD'!$A$6:$X$50,24,0),0))))))</f>
        <v>1.9453985672915715</v>
      </c>
      <c r="I21" s="1238"/>
      <c r="J21" s="1235"/>
      <c r="K21" s="1236"/>
      <c r="L21" s="307"/>
      <c r="M21" s="307"/>
      <c r="N21" s="323"/>
    </row>
    <row r="22" spans="1:14" ht="15.5">
      <c r="A22" s="1196">
        <v>3</v>
      </c>
      <c r="B22" s="317">
        <v>18</v>
      </c>
      <c r="C22" s="320">
        <v>1</v>
      </c>
      <c r="D22" s="318"/>
      <c r="E22" s="319">
        <f>IF(C22=1,VLOOKUP(B22,'dam loai 1 TD'!$B$6:$R$41,15,0),IF(C22=2,(IF(D22="Ri",VLOOKUP(B22,'dam loai 2 TD'!$A$6:$X$50,19,0),IF(D22="Rj",VLOOKUP(B22,'dam loai 2 TD'!$A$6:$X$50,20,0),0))),IF(C22=3,(IF(D22="Ri",VLOOKUP(B22,'dam loai 3 TD'!$A$6:$X$50,19,0),IF(D22="Rj",VLOOKUP(B22,'dam loai 3 TD'!$A$6:$X$50,20,0),0))))))</f>
        <v>220.6</v>
      </c>
      <c r="F22" s="1233">
        <f>E22+E23</f>
        <v>2088.8359375</v>
      </c>
      <c r="G22" s="1234"/>
      <c r="H22" s="1237">
        <f>IF(C22=1,VLOOKUP(B22,'dam loai 1 TD'!$B$6:$R$41,17,0),IF(C22=2,(IF(D22="Ri",VLOOKUP(B22,'dam loai 2 TD'!$A$6:$X$50,23,0),IF(D22="Rj",VLOOKUP(B22,'dam loai 2 TD'!$A$6:$X$50,24,0),0))),IF(C22=3,(IF(D22="Ri",VLOOKUP(B22,'dam loai 3 TD'!$A$6:$X$50,23,0),IF(D22="Rj",VLOOKUP(B22,'dam loai 3 TD'!$A$6:$X$50,24,0),0))))))</f>
        <v>0.6</v>
      </c>
      <c r="I22" s="1238"/>
      <c r="J22" s="1233">
        <f>H22+H23</f>
        <v>2.3332031249999998</v>
      </c>
      <c r="K22" s="1234"/>
      <c r="L22" s="307"/>
      <c r="M22" s="307"/>
      <c r="N22" s="307"/>
    </row>
    <row r="23" spans="1:14" ht="15.5">
      <c r="A23" s="1197"/>
      <c r="B23" s="317">
        <v>10</v>
      </c>
      <c r="C23" s="320">
        <v>1</v>
      </c>
      <c r="D23" s="318"/>
      <c r="E23" s="319">
        <f>IF(C23=1,VLOOKUP(B23,'dam loai 1 TD'!$B$6:$R$41,15,0),IF(C23=2,(IF(D23="Ri",VLOOKUP(B23,'dam loai 2 TD'!$A$6:$X$50,19,0),IF(D23="Rj",VLOOKUP(B23,'dam loai 2 TD'!$A$6:$X$50,20,0),0))),IF(C23=3,(IF(D23="Ri",VLOOKUP(B23,'dam loai 3 TD'!$A$6:$X$50,19,0),IF(D23="Rj",VLOOKUP(B23,'dam loai 3 TD'!$A$6:$X$50,20,0),0))))))</f>
        <v>1868.2359375000001</v>
      </c>
      <c r="F23" s="1235"/>
      <c r="G23" s="1236"/>
      <c r="H23" s="1237">
        <f>IF(C23=1,VLOOKUP(B23,'dam loai 1 TD'!$B$6:$R$41,17,0),IF(C23=2,(IF(D23="Ri",VLOOKUP(B23,'dam loai 2 TD'!$A$6:$X$50,23,0),IF(D23="Rj",VLOOKUP(B23,'dam loai 2 TD'!$A$6:$X$50,24,0),0))),IF(C23=3,(IF(D23="Ri",VLOOKUP(B23,'dam loai 3 TD'!$A$6:$X$50,23,0),IF(D23="Rj",VLOOKUP(B23,'dam loai 3 TD'!$A$6:$X$50,24,0),0))))))</f>
        <v>1.7332031249999997</v>
      </c>
      <c r="I23" s="1238"/>
      <c r="J23" s="1235"/>
      <c r="K23" s="1236"/>
      <c r="L23" s="307"/>
      <c r="M23" s="307"/>
      <c r="N23" s="307"/>
    </row>
    <row r="24" spans="1:14" ht="15.5">
      <c r="A24" s="1196">
        <v>4</v>
      </c>
      <c r="B24" s="317">
        <v>19</v>
      </c>
      <c r="C24" s="320">
        <v>1</v>
      </c>
      <c r="D24" s="318"/>
      <c r="E24" s="319">
        <f>IF(C24=1,VLOOKUP(B24,'dam loai 1 TD'!$B$6:$R$41,15,0),IF(C24=2,(IF(D24="Ri",VLOOKUP(B24,'dam loai 2 TD'!$A$6:$X$50,19,0),IF(D24="Rj",VLOOKUP(B24,'dam loai 2 TD'!$A$6:$X$50,20,0),0))),IF(C24=3,(IF(D24="Ri",VLOOKUP(B24,'dam loai 3 TD'!$A$6:$X$50,19,0),IF(D24="Rj",VLOOKUP(B24,'dam loai 3 TD'!$A$6:$X$50,20,0),0))))))</f>
        <v>220.6</v>
      </c>
      <c r="F24" s="1233">
        <f>E24+E25</f>
        <v>2088.9250000000002</v>
      </c>
      <c r="G24" s="1234"/>
      <c r="H24" s="1237">
        <f>IF(C24=1,VLOOKUP(B24,'dam loai 1 TD'!$B$6:$R$41,17,0),IF(C24=2,(IF(D24="Ri",VLOOKUP(B24,'dam loai 2 TD'!$A$6:$X$50,23,0),IF(D24="Rj",VLOOKUP(B24,'dam loai 2 TD'!$A$6:$X$50,24,0),0))),IF(C24=3,(IF(D24="Ri",VLOOKUP(B24,'dam loai 3 TD'!$A$6:$X$50,23,0),IF(D24="Rj",VLOOKUP(B24,'dam loai 3 TD'!$A$6:$X$50,24,0),0))))))</f>
        <v>0.6</v>
      </c>
      <c r="I24" s="1238"/>
      <c r="J24" s="1233">
        <f>H24+H25</f>
        <v>2.6999999999999997</v>
      </c>
      <c r="K24" s="1234"/>
      <c r="L24" s="307"/>
      <c r="M24" s="307"/>
      <c r="N24" s="307"/>
    </row>
    <row r="25" spans="1:14" ht="15.5">
      <c r="A25" s="1197"/>
      <c r="B25" s="317">
        <v>11</v>
      </c>
      <c r="C25" s="320">
        <v>1</v>
      </c>
      <c r="D25" s="318"/>
      <c r="E25" s="319">
        <f>IF(C25=1,VLOOKUP(B25,'dam loai 1 TD'!$B$6:$R$41,15,0),IF(C25=2,(IF(D25="Ri",VLOOKUP(B25,'dam loai 2 TD'!$A$6:$X$50,19,0),IF(D25="Rj",VLOOKUP(B25,'dam loai 2 TD'!$A$6:$X$50,20,0),0))),IF(C25=3,(IF(D25="Ri",VLOOKUP(B25,'dam loai 3 TD'!$A$6:$X$50,19,0),IF(D25="Rj",VLOOKUP(B25,'dam loai 3 TD'!$A$6:$X$50,20,0),0))))))</f>
        <v>1868.325</v>
      </c>
      <c r="F25" s="1235"/>
      <c r="G25" s="1236"/>
      <c r="H25" s="1237">
        <f>IF(C25=1,VLOOKUP(B25,'dam loai 1 TD'!$B$6:$R$41,17,0),IF(C25=2,(IF(D25="Ri",VLOOKUP(B25,'dam loai 2 TD'!$A$6:$X$50,23,0),IF(D25="Rj",VLOOKUP(B25,'dam loai 2 TD'!$A$6:$X$50,24,0),0))),IF(C25=3,(IF(D25="Ri",VLOOKUP(B25,'dam loai 3 TD'!$A$6:$X$50,23,0),IF(D25="Rj",VLOOKUP(B25,'dam loai 3 TD'!$A$6:$X$50,24,0),0))))))</f>
        <v>2.0999999999999996</v>
      </c>
      <c r="I25" s="1238"/>
      <c r="J25" s="1235"/>
      <c r="K25" s="1236"/>
      <c r="L25" s="307"/>
      <c r="M25" s="307"/>
      <c r="N25" s="307"/>
    </row>
    <row r="26" spans="1:14" ht="15.5">
      <c r="A26" s="1196">
        <v>5</v>
      </c>
      <c r="B26" s="317">
        <v>20</v>
      </c>
      <c r="C26" s="320">
        <v>1</v>
      </c>
      <c r="D26" s="318"/>
      <c r="E26" s="319">
        <f>IF(C26=1,VLOOKUP(B26,'dam loai 1 TD'!$B$6:$R$41,15,0),IF(C26=2,(IF(D26="Ri",VLOOKUP(B26,'dam loai 2 TD'!$A$6:$X$50,19,0),IF(D26="Rj",VLOOKUP(B26,'dam loai 2 TD'!$A$6:$X$50,20,0),0))),IF(C26=3,(IF(D26="Ri",VLOOKUP(B26,'dam loai 3 TD'!$A$6:$X$50,19,0),IF(D26="Rj",VLOOKUP(B26,'dam loai 3 TD'!$A$6:$X$50,20,0),0))))))</f>
        <v>220.6</v>
      </c>
      <c r="F26" s="1233">
        <f t="shared" ref="F26:F32" si="2">E26+E27</f>
        <v>2088.9250000000002</v>
      </c>
      <c r="G26" s="1234"/>
      <c r="H26" s="1237">
        <f>IF(C26=1,VLOOKUP(B26,'dam loai 1 TD'!$B$6:$R$41,17,0),IF(C26=2,(IF(D26="Ri",VLOOKUP(B26,'dam loai 2 TD'!$A$6:$X$50,23,0),IF(D26="Rj",VLOOKUP(B26,'dam loai 2 TD'!$A$6:$X$50,24,0),0))),IF(C26=3,(IF(D26="Ri",VLOOKUP(B26,'dam loai 3 TD'!$A$6:$X$50,23,0),IF(D26="Rj",VLOOKUP(B26,'dam loai 3 TD'!$A$6:$X$50,24,0),0))))))</f>
        <v>0.6</v>
      </c>
      <c r="I26" s="1238"/>
      <c r="J26" s="1233">
        <f>H26+H27</f>
        <v>2.6999999999999997</v>
      </c>
      <c r="K26" s="1234"/>
      <c r="L26" s="307"/>
      <c r="M26" s="307"/>
      <c r="N26" s="307"/>
    </row>
    <row r="27" spans="1:14" ht="15.5">
      <c r="A27" s="1197"/>
      <c r="B27" s="317">
        <v>12</v>
      </c>
      <c r="C27" s="320">
        <v>1</v>
      </c>
      <c r="D27" s="318"/>
      <c r="E27" s="319">
        <f>IF(C27=1,VLOOKUP(B27,'dam loai 1 TD'!$B$6:$R$41,15,0),IF(C27=2,(IF(D27="Ri",VLOOKUP(B27,'dam loai 2 TD'!$A$6:$X$50,19,0),IF(D27="Rj",VLOOKUP(B27,'dam loai 2 TD'!$A$6:$X$50,20,0),0))),IF(C27=3,(IF(D27="Ri",VLOOKUP(B27,'dam loai 3 TD'!$A$6:$X$50,19,0),IF(D27="Rj",VLOOKUP(B27,'dam loai 3 TD'!$A$6:$X$50,20,0),0))))))</f>
        <v>1868.325</v>
      </c>
      <c r="F27" s="1235"/>
      <c r="G27" s="1236"/>
      <c r="H27" s="1237">
        <f>IF(C27=1,VLOOKUP(B27,'dam loai 1 TD'!$B$6:$R$41,17,0),IF(C27=2,(IF(D27="Ri",VLOOKUP(B27,'dam loai 2 TD'!$A$6:$X$50,23,0),IF(D27="Rj",VLOOKUP(B27,'dam loai 2 TD'!$A$6:$X$50,24,0),0))),IF(C27=3,(IF(D27="Ri",VLOOKUP(B27,'dam loai 3 TD'!$A$6:$X$50,23,0),IF(D27="Rj",VLOOKUP(B27,'dam loai 3 TD'!$A$6:$X$50,24,0),0))))))</f>
        <v>2.0999999999999996</v>
      </c>
      <c r="I27" s="1238"/>
      <c r="J27" s="1235"/>
      <c r="K27" s="1236"/>
      <c r="L27" s="307"/>
      <c r="M27" s="307"/>
      <c r="N27" s="307"/>
    </row>
    <row r="28" spans="1:14" ht="15.5">
      <c r="A28" s="1196">
        <v>6</v>
      </c>
      <c r="B28" s="317">
        <v>21</v>
      </c>
      <c r="C28" s="320">
        <v>1</v>
      </c>
      <c r="D28" s="318"/>
      <c r="E28" s="319">
        <f>IF(C28=1,VLOOKUP(B28,'dam loai 1 TD'!$B$6:$R$41,15,0),IF(C28=2,(IF(D28="Ri",VLOOKUP(B28,'dam loai 2 TD'!$A$6:$X$50,19,0),IF(D28="Rj",VLOOKUP(B28,'dam loai 2 TD'!$A$6:$X$50,20,0),0))),IF(C28=3,(IF(D28="Ri",VLOOKUP(B28,'dam loai 3 TD'!$A$6:$X$50,19,0),IF(D28="Rj",VLOOKUP(B28,'dam loai 3 TD'!$A$6:$X$50,20,0),0))))))</f>
        <v>220.6</v>
      </c>
      <c r="F28" s="1233">
        <f t="shared" si="2"/>
        <v>2088.8359375</v>
      </c>
      <c r="G28" s="1234"/>
      <c r="H28" s="1237">
        <f>IF(C28=1,VLOOKUP(B28,'dam loai 1 TD'!$B$6:$R$41,17,0),IF(C28=2,(IF(D28="Ri",VLOOKUP(B28,'dam loai 2 TD'!$A$6:$X$50,23,0),IF(D28="Rj",VLOOKUP(B28,'dam loai 2 TD'!$A$6:$X$50,24,0),0))),IF(C28=3,(IF(D28="Ri",VLOOKUP(B28,'dam loai 3 TD'!$A$6:$X$50,23,0),IF(D28="Rj",VLOOKUP(B28,'dam loai 3 TD'!$A$6:$X$50,24,0),0))))))</f>
        <v>0.6</v>
      </c>
      <c r="I28" s="1238"/>
      <c r="J28" s="1233">
        <f>H28+H29</f>
        <v>2.3332031249999998</v>
      </c>
      <c r="K28" s="1234"/>
      <c r="L28" s="307"/>
      <c r="M28" s="307"/>
      <c r="N28" s="307"/>
    </row>
    <row r="29" spans="1:14" ht="15.5">
      <c r="A29" s="1197"/>
      <c r="B29" s="317">
        <v>13</v>
      </c>
      <c r="C29" s="320">
        <v>1</v>
      </c>
      <c r="D29" s="318"/>
      <c r="E29" s="319">
        <f>IF(C29=1,VLOOKUP(B29,'dam loai 1 TD'!$B$6:$R$41,15,0),IF(C29=2,(IF(D29="Ri",VLOOKUP(B29,'dam loai 2 TD'!$A$6:$X$50,19,0),IF(D29="Rj",VLOOKUP(B29,'dam loai 2 TD'!$A$6:$X$50,20,0),0))),IF(C29=3,(IF(D29="Ri",VLOOKUP(B29,'dam loai 3 TD'!$A$6:$X$50,19,0),IF(D29="Rj",VLOOKUP(B29,'dam loai 3 TD'!$A$6:$X$50,20,0),0))))))</f>
        <v>1868.2359375000001</v>
      </c>
      <c r="F29" s="1235"/>
      <c r="G29" s="1236"/>
      <c r="H29" s="1237">
        <f>IF(C29=1,VLOOKUP(B29,'dam loai 1 TD'!$B$6:$R$41,17,0),IF(C29=2,(IF(D29="Ri",VLOOKUP(B29,'dam loai 2 TD'!$A$6:$X$50,23,0),IF(D29="Rj",VLOOKUP(B29,'dam loai 2 TD'!$A$6:$X$50,24,0),0))),IF(C29=3,(IF(D29="Ri",VLOOKUP(B29,'dam loai 3 TD'!$A$6:$X$50,23,0),IF(D29="Rj",VLOOKUP(B29,'dam loai 3 TD'!$A$6:$X$50,24,0),0))))))</f>
        <v>1.7332031249999997</v>
      </c>
      <c r="I29" s="1238"/>
      <c r="J29" s="1235"/>
      <c r="K29" s="1236"/>
      <c r="L29" s="307"/>
      <c r="M29" s="307"/>
      <c r="N29" s="307"/>
    </row>
    <row r="30" spans="1:14" ht="15.5">
      <c r="A30" s="1196">
        <v>7</v>
      </c>
      <c r="B30" s="317">
        <v>22</v>
      </c>
      <c r="C30" s="320">
        <v>1</v>
      </c>
      <c r="D30" s="318"/>
      <c r="E30" s="319">
        <f>IF(C30=1,VLOOKUP(B30,'dam loai 1 TD'!$B$6:$R$41,15,0),IF(C30=2,(IF(D30="Ri",VLOOKUP(B30,'dam loai 2 TD'!$A$6:$X$50,19,0),IF(D30="Rj",VLOOKUP(B30,'dam loai 2 TD'!$A$6:$X$50,20,0),0))),IF(C30=3,(IF(D30="Ri",VLOOKUP(B30,'dam loai 3 TD'!$A$6:$X$50,19,0),IF(D30="Rj",VLOOKUP(B30,'dam loai 3 TD'!$A$6:$X$50,20,0),0))))))</f>
        <v>220.6</v>
      </c>
      <c r="F30" s="1233">
        <f t="shared" si="2"/>
        <v>2088.1453985672915</v>
      </c>
      <c r="G30" s="1234"/>
      <c r="H30" s="1237">
        <f>IF(C30=1,VLOOKUP(B30,'dam loai 1 TD'!$B$6:$R$41,17,0),IF(C30=2,(IF(D30="Ri",VLOOKUP(B30,'dam loai 2 TD'!$A$6:$X$50,23,0),IF(D30="Rj",VLOOKUP(B30,'dam loai 2 TD'!$A$6:$X$50,24,0),0))),IF(C30=3,(IF(D30="Ri",VLOOKUP(B30,'dam loai 3 TD'!$A$6:$X$50,23,0),IF(D30="Rj",VLOOKUP(B30,'dam loai 3 TD'!$A$6:$X$50,24,0),0))))))</f>
        <v>0.6</v>
      </c>
      <c r="I30" s="1238"/>
      <c r="J30" s="1233">
        <f>H30+H31</f>
        <v>2.5453985672915715</v>
      </c>
      <c r="K30" s="1234"/>
      <c r="L30" s="307"/>
      <c r="M30" s="307"/>
      <c r="N30" s="307"/>
    </row>
    <row r="31" spans="1:14" ht="15.5">
      <c r="A31" s="1197"/>
      <c r="B31" s="317">
        <v>14</v>
      </c>
      <c r="C31" s="320">
        <v>1</v>
      </c>
      <c r="D31" s="318"/>
      <c r="E31" s="319">
        <f>IF(C31=1,VLOOKUP(B31,'dam loai 1 TD'!$B$6:$R$41,15,0),IF(C31=2,(IF(D31="Ri",VLOOKUP(B31,'dam loai 2 TD'!$A$6:$X$50,19,0),IF(D31="Rj",VLOOKUP(B31,'dam loai 2 TD'!$A$6:$X$50,20,0),0))),IF(C31=3,(IF(D31="Ri",VLOOKUP(B31,'dam loai 3 TD'!$A$6:$X$50,19,0),IF(D31="Rj",VLOOKUP(B31,'dam loai 3 TD'!$A$6:$X$50,20,0),0))))))</f>
        <v>1867.5453985672916</v>
      </c>
      <c r="F31" s="1235"/>
      <c r="G31" s="1236"/>
      <c r="H31" s="1237">
        <f>IF(C31=1,VLOOKUP(B31,'dam loai 1 TD'!$B$6:$R$41,17,0),IF(C31=2,(IF(D31="Ri",VLOOKUP(B31,'dam loai 2 TD'!$A$6:$X$50,23,0),IF(D31="Rj",VLOOKUP(B31,'dam loai 2 TD'!$A$6:$X$50,24,0),0))),IF(C31=3,(IF(D31="Ri",VLOOKUP(B31,'dam loai 3 TD'!$A$6:$X$50,23,0),IF(D31="Rj",VLOOKUP(B31,'dam loai 3 TD'!$A$6:$X$50,24,0),0))))))</f>
        <v>1.9453985672915715</v>
      </c>
      <c r="I31" s="1238"/>
      <c r="J31" s="1235"/>
      <c r="K31" s="1236"/>
      <c r="L31" s="307"/>
      <c r="M31" s="307"/>
      <c r="N31" s="307"/>
    </row>
    <row r="32" spans="1:14" ht="15.5">
      <c r="A32" s="1196">
        <v>8</v>
      </c>
      <c r="B32" s="317">
        <v>23</v>
      </c>
      <c r="C32" s="320">
        <v>1</v>
      </c>
      <c r="D32" s="318"/>
      <c r="E32" s="319">
        <f>IF(C32=1,VLOOKUP(B32,'dam loai 1 TD'!$B$6:$R$41,15,0),IF(C32=2,(IF(D32="Ri",VLOOKUP(B32,'dam loai 2 TD'!$A$6:$X$50,19,0),IF(D32="Rj",VLOOKUP(B32,'dam loai 2 TD'!$A$6:$X$50,20,0),0))),IF(C32=3,(IF(D32="Ri",VLOOKUP(B32,'dam loai 3 TD'!$A$6:$X$50,19,0),IF(D32="Rj",VLOOKUP(B32,'dam loai 3 TD'!$A$6:$X$50,20,0),0))))))</f>
        <v>1527.1000000000001</v>
      </c>
      <c r="F32" s="1233">
        <f t="shared" si="2"/>
        <v>4581.9000000000005</v>
      </c>
      <c r="G32" s="1234"/>
      <c r="H32" s="1237">
        <f>IF(C32=1,VLOOKUP(B32,'dam loai 1 TD'!$B$6:$R$41,17,0),IF(C32=2,(IF(D32="Ri",VLOOKUP(B32,'dam loai 2 TD'!$A$6:$X$50,23,0),IF(D32="Rj",VLOOKUP(B32,'dam loai 2 TD'!$A$6:$X$50,24,0),0))),IF(C32=3,(IF(D32="Ri",VLOOKUP(B32,'dam loai 3 TD'!$A$6:$X$50,23,0),IF(D32="Rj",VLOOKUP(B32,'dam loai 3 TD'!$A$6:$X$50,24,0),0))))))</f>
        <v>0.3</v>
      </c>
      <c r="I32" s="1238"/>
      <c r="J32" s="1233">
        <f>H32+H33</f>
        <v>1.5</v>
      </c>
      <c r="K32" s="1234"/>
      <c r="L32" s="307"/>
      <c r="M32" s="307"/>
      <c r="N32" s="307"/>
    </row>
    <row r="33" spans="1:14" ht="15.5">
      <c r="A33" s="1197"/>
      <c r="B33" s="317">
        <v>15</v>
      </c>
      <c r="C33" s="320">
        <v>1</v>
      </c>
      <c r="D33" s="318"/>
      <c r="E33" s="319">
        <f>IF(C33=1,VLOOKUP(B33,'dam loai 1 TD'!$B$6:$R$41,15,0),IF(C33=2,(IF(D33="Ri",VLOOKUP(B33,'dam loai 2 TD'!$A$6:$X$50,19,0),IF(D33="Rj",VLOOKUP(B33,'dam loai 2 TD'!$A$6:$X$50,20,0),0))),IF(C33=3,(IF(D33="Ri",VLOOKUP(B33,'dam loai 3 TD'!$A$6:$X$50,19,0),IF(D33="Rj",VLOOKUP(B33,'dam loai 3 TD'!$A$6:$X$50,20,0),0))))))</f>
        <v>3054.8</v>
      </c>
      <c r="F33" s="1235"/>
      <c r="G33" s="1236"/>
      <c r="H33" s="1243">
        <f>IF(C33=1,VLOOKUP(B33,'dam loai 1 TD'!$B$6:$R$41,17,0),IF(C33=2,(IF(D33="Ri",VLOOKUP(B33,'dam loai 2 TD'!$A$6:$X$50,23,0),IF(D33="Rj",VLOOKUP(B33,'dam loai 2 TD'!$A$6:$X$50,24,0),0))),IF(C33=3,(IF(D33="Ri",VLOOKUP(B33,'dam loai 3 TD'!$A$6:$X$50,23,0),IF(D33="Rj",VLOOKUP(B33,'dam loai 3 TD'!$A$6:$X$50,24,0),0))))))</f>
        <v>1.2</v>
      </c>
      <c r="I33" s="1243"/>
      <c r="J33" s="1235"/>
      <c r="K33" s="1236"/>
      <c r="L33" s="307"/>
      <c r="M33" s="307"/>
      <c r="N33" s="307"/>
    </row>
  </sheetData>
  <mergeCells count="60">
    <mergeCell ref="A32:A33"/>
    <mergeCell ref="F32:G33"/>
    <mergeCell ref="H32:I32"/>
    <mergeCell ref="J32:K33"/>
    <mergeCell ref="H33:I33"/>
    <mergeCell ref="A28:A29"/>
    <mergeCell ref="F28:G29"/>
    <mergeCell ref="J28:K29"/>
    <mergeCell ref="A30:A31"/>
    <mergeCell ref="F30:G31"/>
    <mergeCell ref="J30:K31"/>
    <mergeCell ref="H31:I31"/>
    <mergeCell ref="H28:I28"/>
    <mergeCell ref="H29:I29"/>
    <mergeCell ref="H30:I30"/>
    <mergeCell ref="J24:K25"/>
    <mergeCell ref="H25:I25"/>
    <mergeCell ref="A26:A27"/>
    <mergeCell ref="F26:G27"/>
    <mergeCell ref="H26:I26"/>
    <mergeCell ref="J26:K27"/>
    <mergeCell ref="H27:I27"/>
    <mergeCell ref="A24:A25"/>
    <mergeCell ref="F24:G25"/>
    <mergeCell ref="H24:I24"/>
    <mergeCell ref="A20:A21"/>
    <mergeCell ref="F20:G21"/>
    <mergeCell ref="H20:I20"/>
    <mergeCell ref="J20:K21"/>
    <mergeCell ref="H21:I21"/>
    <mergeCell ref="A22:A23"/>
    <mergeCell ref="F22:G23"/>
    <mergeCell ref="H22:I22"/>
    <mergeCell ref="J22:K23"/>
    <mergeCell ref="H23:I23"/>
    <mergeCell ref="A18:A19"/>
    <mergeCell ref="F18:G19"/>
    <mergeCell ref="H18:I18"/>
    <mergeCell ref="J18:K19"/>
    <mergeCell ref="H19:I19"/>
    <mergeCell ref="A14:K14"/>
    <mergeCell ref="A15:A17"/>
    <mergeCell ref="B15:B17"/>
    <mergeCell ref="C15:D17"/>
    <mergeCell ref="E15:E16"/>
    <mergeCell ref="F15:G16"/>
    <mergeCell ref="H15:I16"/>
    <mergeCell ref="J15:K16"/>
    <mergeCell ref="F17:G17"/>
    <mergeCell ref="H17:I17"/>
    <mergeCell ref="J17:K17"/>
    <mergeCell ref="A2:K2"/>
    <mergeCell ref="A3:A5"/>
    <mergeCell ref="B3:D3"/>
    <mergeCell ref="E3:H5"/>
    <mergeCell ref="I3:J3"/>
    <mergeCell ref="K3:K4"/>
    <mergeCell ref="B4:B5"/>
    <mergeCell ref="C4:C5"/>
    <mergeCell ref="D4:D5"/>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E2519-C621-4D8A-972D-7A6E2BEFAE85}">
  <sheetPr codeName="Sheet37"/>
  <dimension ref="B9:BN141"/>
  <sheetViews>
    <sheetView topLeftCell="A4" workbookViewId="0">
      <selection activeCell="D18" sqref="D18"/>
    </sheetView>
  </sheetViews>
  <sheetFormatPr defaultColWidth="8.83203125" defaultRowHeight="14"/>
  <sheetData>
    <row r="9" spans="3:58" ht="15.5">
      <c r="C9" s="112"/>
      <c r="D9" s="114" t="s">
        <v>316</v>
      </c>
      <c r="E9" s="113"/>
      <c r="F9" s="114"/>
      <c r="G9" s="114"/>
      <c r="H9" s="114"/>
      <c r="I9" s="115" t="s">
        <v>317</v>
      </c>
      <c r="J9" s="113"/>
      <c r="K9" s="114"/>
      <c r="L9" s="114"/>
      <c r="M9" s="114"/>
      <c r="N9" s="114" t="s">
        <v>318</v>
      </c>
      <c r="O9" s="113"/>
      <c r="P9" s="114"/>
      <c r="Q9" s="114"/>
      <c r="R9" s="114"/>
      <c r="S9" s="115" t="s">
        <v>319</v>
      </c>
      <c r="T9" s="113"/>
      <c r="U9" s="114"/>
      <c r="V9" s="114"/>
      <c r="W9" s="114"/>
      <c r="X9" s="114" t="s">
        <v>320</v>
      </c>
      <c r="Y9" s="113"/>
      <c r="Z9" s="114"/>
      <c r="AA9" s="114"/>
      <c r="AB9" s="114"/>
      <c r="AC9" s="115" t="s">
        <v>321</v>
      </c>
      <c r="AD9" s="113"/>
      <c r="AE9" s="114"/>
      <c r="AF9" s="114"/>
      <c r="AG9" s="114"/>
      <c r="AH9" s="114" t="s">
        <v>322</v>
      </c>
      <c r="AI9" s="113"/>
      <c r="AJ9" s="114"/>
      <c r="AK9" s="114"/>
      <c r="AL9" s="114"/>
      <c r="AM9" s="115" t="s">
        <v>323</v>
      </c>
      <c r="AN9" s="113"/>
      <c r="AO9" s="114"/>
      <c r="AP9" s="114"/>
      <c r="AQ9" s="114"/>
      <c r="AR9" s="112"/>
      <c r="AS9" s="114" t="s">
        <v>324</v>
      </c>
      <c r="AT9" s="114"/>
      <c r="AU9" s="112"/>
      <c r="AV9" s="112"/>
      <c r="AW9" s="115" t="s">
        <v>325</v>
      </c>
      <c r="AX9" s="113"/>
      <c r="AY9" s="114"/>
      <c r="AZ9" s="114"/>
      <c r="BA9" s="114"/>
      <c r="BB9" s="114" t="s">
        <v>326</v>
      </c>
      <c r="BC9" s="113"/>
      <c r="BD9" s="114"/>
      <c r="BE9" s="114"/>
      <c r="BF9" s="114"/>
    </row>
    <row r="10" spans="3:58" ht="15.5">
      <c r="C10" s="112"/>
      <c r="D10" s="114"/>
      <c r="E10" s="113"/>
      <c r="F10" s="114"/>
      <c r="G10" s="114"/>
      <c r="H10" s="114"/>
      <c r="I10" s="115"/>
      <c r="J10" s="113"/>
      <c r="K10" s="114"/>
      <c r="L10" s="114"/>
      <c r="M10" s="114"/>
      <c r="N10" s="114"/>
      <c r="O10" s="113"/>
      <c r="P10" s="114"/>
      <c r="Q10" s="114"/>
      <c r="R10" s="114"/>
      <c r="S10" s="115"/>
      <c r="T10" s="113"/>
      <c r="U10" s="114"/>
      <c r="V10" s="114"/>
      <c r="W10" s="114"/>
      <c r="X10" s="114"/>
      <c r="Y10" s="113"/>
      <c r="Z10" s="114"/>
      <c r="AA10" s="114"/>
      <c r="AB10" s="114"/>
      <c r="AC10" s="115"/>
      <c r="AD10" s="113"/>
      <c r="AE10" s="114"/>
      <c r="AF10" s="114"/>
      <c r="AG10" s="114"/>
      <c r="AH10" s="114"/>
      <c r="AI10" s="113"/>
      <c r="AJ10" s="114"/>
      <c r="AK10" s="114"/>
      <c r="AL10" s="114"/>
      <c r="AM10" s="115"/>
      <c r="AN10" s="113"/>
      <c r="AO10" s="114"/>
      <c r="AP10" s="114"/>
      <c r="AQ10" s="114"/>
      <c r="AR10" s="112"/>
      <c r="AS10" s="114"/>
      <c r="AT10" s="114"/>
      <c r="AU10" s="112"/>
      <c r="AV10" s="112"/>
      <c r="AW10" s="115"/>
      <c r="AX10" s="113"/>
      <c r="AY10" s="114"/>
      <c r="AZ10" s="114"/>
      <c r="BA10" s="114"/>
      <c r="BB10" s="114"/>
      <c r="BC10" s="113"/>
      <c r="BD10" s="114"/>
      <c r="BE10" s="114"/>
      <c r="BF10" s="114"/>
    </row>
    <row r="11" spans="3:58" ht="15" hidden="1">
      <c r="C11" s="117"/>
      <c r="D11" s="117"/>
      <c r="E11" s="117">
        <v>1</v>
      </c>
      <c r="F11" s="117"/>
      <c r="G11" s="117"/>
      <c r="H11" s="117"/>
      <c r="I11" s="118"/>
      <c r="J11" s="117">
        <v>2</v>
      </c>
      <c r="K11" s="117"/>
      <c r="L11" s="117"/>
      <c r="M11" s="117"/>
      <c r="N11" s="117"/>
      <c r="O11" s="117">
        <v>3</v>
      </c>
      <c r="P11" s="117"/>
      <c r="Q11" s="117"/>
      <c r="R11" s="117"/>
      <c r="S11" s="118"/>
      <c r="T11" s="117">
        <v>4</v>
      </c>
      <c r="U11" s="117"/>
      <c r="V11" s="117"/>
      <c r="W11" s="117"/>
      <c r="X11" s="117"/>
      <c r="Y11" s="117">
        <v>5</v>
      </c>
      <c r="Z11" s="117"/>
      <c r="AA11" s="117"/>
      <c r="AB11" s="117"/>
      <c r="AC11" s="118"/>
      <c r="AD11" s="117">
        <v>6</v>
      </c>
      <c r="AE11" s="117"/>
      <c r="AF11" s="117"/>
      <c r="AG11" s="117"/>
      <c r="AH11" s="117"/>
      <c r="AI11" s="117">
        <v>7</v>
      </c>
      <c r="AJ11" s="117"/>
      <c r="AK11" s="117"/>
      <c r="AL11" s="117"/>
      <c r="AM11" s="118"/>
      <c r="AN11" s="117">
        <v>8</v>
      </c>
      <c r="AO11" s="117"/>
      <c r="AP11" s="117"/>
      <c r="AQ11" s="117"/>
      <c r="AR11" s="117"/>
      <c r="AS11" s="117">
        <v>9</v>
      </c>
      <c r="AT11" s="117"/>
      <c r="AU11" s="117"/>
      <c r="AV11" s="117"/>
      <c r="AW11" s="118"/>
      <c r="AX11" s="117">
        <v>10</v>
      </c>
      <c r="AY11" s="117"/>
      <c r="AZ11" s="117"/>
      <c r="BA11" s="117"/>
      <c r="BB11" s="117"/>
      <c r="BC11" s="117">
        <v>11</v>
      </c>
      <c r="BD11" s="117"/>
      <c r="BE11" s="117"/>
      <c r="BF11" s="117"/>
    </row>
    <row r="12" spans="3:58" ht="15" hidden="1">
      <c r="C12" s="117"/>
      <c r="D12" s="117"/>
      <c r="E12" s="117"/>
      <c r="F12" s="117">
        <v>1</v>
      </c>
      <c r="G12" s="117"/>
      <c r="H12" s="117"/>
      <c r="I12" s="118"/>
      <c r="J12" s="117"/>
      <c r="K12" s="117">
        <v>2</v>
      </c>
      <c r="L12" s="117"/>
      <c r="M12" s="117"/>
      <c r="N12" s="117"/>
      <c r="O12" s="117"/>
      <c r="P12" s="117">
        <v>3</v>
      </c>
      <c r="Q12" s="117"/>
      <c r="R12" s="117"/>
      <c r="S12" s="118"/>
      <c r="T12" s="117"/>
      <c r="U12" s="117">
        <v>4</v>
      </c>
      <c r="V12" s="117"/>
      <c r="W12" s="117"/>
      <c r="X12" s="117"/>
      <c r="Y12" s="117"/>
      <c r="Z12" s="117">
        <v>5</v>
      </c>
      <c r="AA12" s="117"/>
      <c r="AB12" s="117"/>
      <c r="AC12" s="118"/>
      <c r="AD12" s="117"/>
      <c r="AE12" s="117">
        <v>6</v>
      </c>
      <c r="AF12" s="117"/>
      <c r="AG12" s="117"/>
      <c r="AH12" s="117"/>
      <c r="AI12" s="117"/>
      <c r="AJ12" s="117">
        <v>7</v>
      </c>
      <c r="AK12" s="117"/>
      <c r="AL12" s="117"/>
      <c r="AM12" s="118"/>
      <c r="AN12" s="117"/>
      <c r="AO12" s="117">
        <v>8</v>
      </c>
      <c r="AP12" s="117"/>
      <c r="AQ12" s="117"/>
      <c r="AR12" s="117"/>
      <c r="AS12" s="117"/>
      <c r="AT12" s="117">
        <v>9</v>
      </c>
      <c r="AU12" s="117"/>
      <c r="AV12" s="117"/>
      <c r="AW12" s="118"/>
      <c r="AX12" s="117"/>
      <c r="AY12" s="117">
        <v>10</v>
      </c>
      <c r="AZ12" s="117"/>
      <c r="BA12" s="117"/>
      <c r="BB12" s="117"/>
      <c r="BC12" s="117"/>
      <c r="BD12" s="117">
        <v>11</v>
      </c>
      <c r="BE12" s="117"/>
      <c r="BF12" s="117"/>
    </row>
    <row r="13" spans="3:58" ht="15" hidden="1">
      <c r="C13" s="117"/>
      <c r="D13" s="117"/>
      <c r="E13" s="117"/>
      <c r="F13" s="117"/>
      <c r="G13" s="117">
        <v>1</v>
      </c>
      <c r="H13" s="117"/>
      <c r="I13" s="118"/>
      <c r="J13" s="117"/>
      <c r="K13" s="117"/>
      <c r="L13" s="117">
        <v>2</v>
      </c>
      <c r="M13" s="117"/>
      <c r="N13" s="117"/>
      <c r="O13" s="117"/>
      <c r="P13" s="117"/>
      <c r="Q13" s="117">
        <v>3</v>
      </c>
      <c r="R13" s="117"/>
      <c r="S13" s="118"/>
      <c r="T13" s="117"/>
      <c r="U13" s="117"/>
      <c r="V13" s="117">
        <v>4</v>
      </c>
      <c r="W13" s="117"/>
      <c r="X13" s="117"/>
      <c r="Y13" s="117"/>
      <c r="Z13" s="117"/>
      <c r="AA13" s="117">
        <v>5</v>
      </c>
      <c r="AB13" s="117"/>
      <c r="AC13" s="118"/>
      <c r="AD13" s="117"/>
      <c r="AE13" s="117"/>
      <c r="AF13" s="117">
        <v>6</v>
      </c>
      <c r="AG13" s="117"/>
      <c r="AH13" s="117"/>
      <c r="AI13" s="117"/>
      <c r="AJ13" s="117"/>
      <c r="AK13" s="117">
        <v>7</v>
      </c>
      <c r="AL13" s="117"/>
      <c r="AM13" s="118"/>
      <c r="AN13" s="117"/>
      <c r="AO13" s="117"/>
      <c r="AP13" s="117">
        <v>8</v>
      </c>
      <c r="AQ13" s="117"/>
      <c r="AR13" s="117"/>
      <c r="AS13" s="117"/>
      <c r="AT13" s="117"/>
      <c r="AU13" s="117">
        <v>9</v>
      </c>
      <c r="AV13" s="117"/>
      <c r="AW13" s="118"/>
      <c r="AX13" s="117"/>
      <c r="AY13" s="117"/>
      <c r="AZ13" s="117">
        <v>10</v>
      </c>
      <c r="BA13" s="117"/>
      <c r="BB13" s="117"/>
      <c r="BC13" s="117"/>
      <c r="BD13" s="117"/>
      <c r="BE13" s="117">
        <v>11</v>
      </c>
      <c r="BF13" s="117"/>
    </row>
    <row r="14" spans="3:58" ht="15" hidden="1">
      <c r="C14" s="117"/>
      <c r="D14" s="117"/>
      <c r="E14" s="117"/>
      <c r="F14" s="117"/>
      <c r="G14" s="117"/>
      <c r="H14" s="117">
        <v>1</v>
      </c>
      <c r="I14" s="117"/>
      <c r="J14" s="117"/>
      <c r="K14" s="117"/>
      <c r="L14" s="117"/>
      <c r="M14" s="117">
        <v>2</v>
      </c>
      <c r="N14" s="117"/>
      <c r="O14" s="117"/>
      <c r="P14" s="117"/>
      <c r="Q14" s="117"/>
      <c r="R14" s="117">
        <v>3</v>
      </c>
      <c r="S14" s="117"/>
      <c r="T14" s="117"/>
      <c r="U14" s="117"/>
      <c r="V14" s="117"/>
      <c r="W14" s="117">
        <v>4</v>
      </c>
      <c r="X14" s="117"/>
      <c r="Y14" s="117"/>
      <c r="Z14" s="117"/>
      <c r="AA14" s="117"/>
      <c r="AB14" s="117">
        <v>5</v>
      </c>
      <c r="AC14" s="117"/>
      <c r="AD14" s="117"/>
      <c r="AE14" s="117"/>
      <c r="AF14" s="117"/>
      <c r="AG14" s="117">
        <v>6</v>
      </c>
      <c r="AH14" s="117"/>
      <c r="AI14" s="117"/>
      <c r="AJ14" s="117"/>
      <c r="AK14" s="117"/>
      <c r="AL14" s="117">
        <v>7</v>
      </c>
      <c r="AM14" s="117"/>
      <c r="AN14" s="117"/>
      <c r="AO14" s="117"/>
      <c r="AP14" s="117"/>
      <c r="AQ14" s="117">
        <v>8</v>
      </c>
      <c r="AR14" s="117"/>
      <c r="AS14" s="117"/>
      <c r="AT14" s="117"/>
      <c r="AU14" s="117"/>
      <c r="AV14" s="117">
        <v>9</v>
      </c>
      <c r="AW14" s="117"/>
      <c r="AX14" s="117"/>
      <c r="AY14" s="117"/>
      <c r="AZ14" s="117"/>
      <c r="BA14" s="117">
        <v>10</v>
      </c>
      <c r="BB14" s="117"/>
      <c r="BC14" s="117"/>
      <c r="BD14" s="117"/>
      <c r="BE14" s="117"/>
      <c r="BF14" s="117">
        <v>11</v>
      </c>
    </row>
    <row r="15" spans="3:58" ht="15">
      <c r="C15" s="117"/>
      <c r="D15" s="117">
        <v>1</v>
      </c>
      <c r="E15" s="117">
        <v>2</v>
      </c>
      <c r="F15" s="117">
        <v>3</v>
      </c>
      <c r="G15" s="117">
        <v>4</v>
      </c>
      <c r="H15" s="117">
        <v>5</v>
      </c>
      <c r="I15" s="118">
        <v>6</v>
      </c>
      <c r="J15" s="118">
        <v>7</v>
      </c>
      <c r="K15" s="118">
        <v>8</v>
      </c>
      <c r="L15" s="118">
        <v>9</v>
      </c>
      <c r="M15" s="118">
        <v>10</v>
      </c>
      <c r="N15" s="117">
        <v>11</v>
      </c>
      <c r="O15" s="117">
        <v>12</v>
      </c>
      <c r="P15" s="117">
        <v>13</v>
      </c>
      <c r="Q15" s="117">
        <v>14</v>
      </c>
      <c r="R15" s="117">
        <v>15</v>
      </c>
      <c r="S15" s="118">
        <v>16</v>
      </c>
      <c r="T15" s="118">
        <v>17</v>
      </c>
      <c r="U15" s="118">
        <v>18</v>
      </c>
      <c r="V15" s="118">
        <v>19</v>
      </c>
      <c r="W15" s="118">
        <v>20</v>
      </c>
      <c r="X15" s="117">
        <v>21</v>
      </c>
      <c r="Y15" s="117">
        <v>22</v>
      </c>
      <c r="Z15" s="117">
        <v>23</v>
      </c>
      <c r="AA15" s="117">
        <v>24</v>
      </c>
      <c r="AB15" s="117">
        <v>25</v>
      </c>
      <c r="AC15" s="118">
        <v>26</v>
      </c>
      <c r="AD15" s="118">
        <v>27</v>
      </c>
      <c r="AE15" s="118">
        <v>28</v>
      </c>
      <c r="AF15" s="118">
        <v>29</v>
      </c>
      <c r="AG15" s="118">
        <v>30</v>
      </c>
      <c r="AH15" s="117">
        <v>31</v>
      </c>
      <c r="AI15" s="117">
        <v>32</v>
      </c>
      <c r="AJ15" s="117">
        <v>33</v>
      </c>
      <c r="AK15" s="117">
        <v>34</v>
      </c>
      <c r="AL15" s="117">
        <v>35</v>
      </c>
      <c r="AM15" s="118">
        <v>36</v>
      </c>
      <c r="AN15" s="118">
        <v>37</v>
      </c>
      <c r="AO15" s="118">
        <v>38</v>
      </c>
      <c r="AP15" s="118">
        <v>39</v>
      </c>
      <c r="AQ15" s="118">
        <v>40</v>
      </c>
      <c r="AR15" s="117">
        <v>41</v>
      </c>
      <c r="AS15" s="117">
        <v>42</v>
      </c>
      <c r="AT15" s="117">
        <v>43</v>
      </c>
      <c r="AU15" s="117">
        <v>44</v>
      </c>
      <c r="AV15" s="117">
        <v>45</v>
      </c>
      <c r="AW15" s="118">
        <v>46</v>
      </c>
      <c r="AX15" s="118">
        <v>47</v>
      </c>
      <c r="AY15" s="118">
        <v>48</v>
      </c>
      <c r="AZ15" s="118">
        <v>49</v>
      </c>
      <c r="BA15" s="118">
        <v>50</v>
      </c>
      <c r="BB15" s="117">
        <v>51</v>
      </c>
      <c r="BC15" s="117">
        <v>52</v>
      </c>
      <c r="BD15" s="117">
        <v>53</v>
      </c>
      <c r="BE15" s="117">
        <v>54</v>
      </c>
      <c r="BF15" s="117">
        <v>55</v>
      </c>
    </row>
    <row r="17" spans="4:66" ht="15.5">
      <c r="D17" s="119" t="s">
        <v>327</v>
      </c>
      <c r="E17" s="120" t="s">
        <v>328</v>
      </c>
      <c r="F17" s="120" t="s">
        <v>329</v>
      </c>
      <c r="G17" s="120" t="s">
        <v>330</v>
      </c>
      <c r="H17" s="120" t="s">
        <v>331</v>
      </c>
      <c r="I17" s="121" t="s">
        <v>327</v>
      </c>
      <c r="J17" s="122" t="s">
        <v>332</v>
      </c>
      <c r="K17" s="122" t="s">
        <v>333</v>
      </c>
      <c r="L17" s="122" t="s">
        <v>334</v>
      </c>
      <c r="M17" s="122" t="s">
        <v>335</v>
      </c>
      <c r="N17" s="119" t="s">
        <v>327</v>
      </c>
      <c r="O17" s="120" t="s">
        <v>336</v>
      </c>
      <c r="P17" s="120" t="s">
        <v>337</v>
      </c>
      <c r="Q17" s="120" t="s">
        <v>338</v>
      </c>
      <c r="R17" s="120" t="s">
        <v>339</v>
      </c>
      <c r="S17" s="121" t="s">
        <v>327</v>
      </c>
      <c r="T17" s="122" t="s">
        <v>340</v>
      </c>
      <c r="U17" s="122" t="s">
        <v>341</v>
      </c>
      <c r="V17" s="122" t="s">
        <v>342</v>
      </c>
      <c r="W17" s="122" t="s">
        <v>343</v>
      </c>
      <c r="X17" s="119" t="s">
        <v>327</v>
      </c>
      <c r="Y17" s="120" t="s">
        <v>344</v>
      </c>
      <c r="Z17" s="120" t="s">
        <v>345</v>
      </c>
      <c r="AA17" s="120" t="s">
        <v>346</v>
      </c>
      <c r="AB17" s="120" t="s">
        <v>347</v>
      </c>
      <c r="AC17" s="121" t="s">
        <v>327</v>
      </c>
      <c r="AD17" s="122" t="s">
        <v>348</v>
      </c>
      <c r="AE17" s="122" t="s">
        <v>349</v>
      </c>
      <c r="AF17" s="122" t="s">
        <v>350</v>
      </c>
      <c r="AG17" s="122" t="s">
        <v>351</v>
      </c>
      <c r="AH17" s="119" t="s">
        <v>327</v>
      </c>
      <c r="AI17" s="120" t="s">
        <v>352</v>
      </c>
      <c r="AJ17" s="120" t="s">
        <v>353</v>
      </c>
      <c r="AK17" s="120" t="s">
        <v>354</v>
      </c>
      <c r="AL17" s="120" t="s">
        <v>355</v>
      </c>
      <c r="AM17" s="121" t="s">
        <v>327</v>
      </c>
      <c r="AN17" s="122" t="s">
        <v>356</v>
      </c>
      <c r="AO17" s="122" t="s">
        <v>357</v>
      </c>
      <c r="AP17" s="122" t="s">
        <v>358</v>
      </c>
      <c r="AQ17" s="122" t="s">
        <v>359</v>
      </c>
      <c r="AR17" s="119" t="s">
        <v>327</v>
      </c>
      <c r="AS17" s="120" t="s">
        <v>360</v>
      </c>
      <c r="AT17" s="120" t="s">
        <v>361</v>
      </c>
      <c r="AU17" s="120" t="s">
        <v>362</v>
      </c>
      <c r="AV17" s="120" t="s">
        <v>363</v>
      </c>
      <c r="AW17" s="121" t="s">
        <v>327</v>
      </c>
      <c r="AX17" s="122" t="s">
        <v>364</v>
      </c>
      <c r="AY17" s="122" t="s">
        <v>365</v>
      </c>
      <c r="AZ17" s="122" t="s">
        <v>366</v>
      </c>
      <c r="BA17" s="122" t="s">
        <v>367</v>
      </c>
      <c r="BB17" s="119" t="s">
        <v>327</v>
      </c>
      <c r="BC17" s="120" t="s">
        <v>368</v>
      </c>
      <c r="BD17" s="120" t="s">
        <v>369</v>
      </c>
      <c r="BE17" s="120" t="s">
        <v>370</v>
      </c>
      <c r="BF17" s="120" t="s">
        <v>371</v>
      </c>
      <c r="BG17" s="112"/>
      <c r="BH17" s="113" t="s">
        <v>372</v>
      </c>
      <c r="BI17" s="113" t="s">
        <v>373</v>
      </c>
      <c r="BJ17" s="112"/>
      <c r="BK17" s="113" t="s">
        <v>374</v>
      </c>
      <c r="BL17" s="113" t="s">
        <v>375</v>
      </c>
      <c r="BM17" s="113" t="s">
        <v>376</v>
      </c>
      <c r="BN17" s="113" t="s">
        <v>377</v>
      </c>
    </row>
    <row r="18" spans="4:66" ht="15.5">
      <c r="D18" s="123">
        <v>1</v>
      </c>
      <c r="E18" s="124">
        <v>3.6499999999999998E-2</v>
      </c>
      <c r="F18" s="124">
        <v>3.6499999999999998E-2</v>
      </c>
      <c r="G18" s="124">
        <v>0</v>
      </c>
      <c r="H18" s="124">
        <v>0</v>
      </c>
      <c r="I18" s="123">
        <v>1</v>
      </c>
      <c r="J18" s="124">
        <v>3.3399999999999999E-2</v>
      </c>
      <c r="K18" s="124">
        <v>2.7300000000000001E-2</v>
      </c>
      <c r="L18" s="124">
        <v>8.9200000000000002E-2</v>
      </c>
      <c r="M18" s="124">
        <v>0</v>
      </c>
      <c r="N18" s="123">
        <v>1</v>
      </c>
      <c r="O18" s="124">
        <v>2.7300000000000001E-2</v>
      </c>
      <c r="P18" s="124">
        <v>3.3399999999999999E-2</v>
      </c>
      <c r="Q18" s="124">
        <v>0</v>
      </c>
      <c r="R18" s="124">
        <v>8.9300000000000004E-2</v>
      </c>
      <c r="S18" s="123">
        <v>1</v>
      </c>
      <c r="T18" s="124">
        <v>2.6700000000000002E-2</v>
      </c>
      <c r="U18" s="124">
        <v>1.7999999999999999E-2</v>
      </c>
      <c r="V18" s="124">
        <v>6.9400000000000003E-2</v>
      </c>
      <c r="W18" s="124">
        <v>0</v>
      </c>
      <c r="X18" s="123">
        <v>1</v>
      </c>
      <c r="Y18" s="124">
        <v>1.7999999999999999E-2</v>
      </c>
      <c r="Z18" s="124">
        <v>2.6700000000000002E-2</v>
      </c>
      <c r="AA18" s="124">
        <v>0</v>
      </c>
      <c r="AB18" s="124">
        <v>6.9400000000000003E-2</v>
      </c>
      <c r="AC18" s="123">
        <v>1</v>
      </c>
      <c r="AD18" s="124">
        <v>2.69E-2</v>
      </c>
      <c r="AE18" s="124">
        <v>2.69E-2</v>
      </c>
      <c r="AF18" s="124">
        <v>6.25E-2</v>
      </c>
      <c r="AG18" s="124">
        <v>6.25E-2</v>
      </c>
      <c r="AH18" s="123">
        <v>1</v>
      </c>
      <c r="AI18" s="124">
        <v>2.2599999999999999E-2</v>
      </c>
      <c r="AJ18" s="124">
        <v>1.9800000000000002E-2</v>
      </c>
      <c r="AK18" s="124">
        <v>5.5599999999999997E-2</v>
      </c>
      <c r="AL18" s="124">
        <v>4.1700000000000001E-2</v>
      </c>
      <c r="AM18" s="123">
        <v>1</v>
      </c>
      <c r="AN18" s="124">
        <v>1.9800000000000002E-2</v>
      </c>
      <c r="AO18" s="124">
        <v>2.2599999999999999E-2</v>
      </c>
      <c r="AP18" s="124">
        <v>4.1700000000000001E-2</v>
      </c>
      <c r="AQ18" s="124">
        <v>5.5599999999999997E-2</v>
      </c>
      <c r="AR18" s="123">
        <v>1</v>
      </c>
      <c r="AS18" s="124">
        <v>1.7899999999999999E-2</v>
      </c>
      <c r="AT18" s="124">
        <v>1.7899999999999999E-2</v>
      </c>
      <c r="AU18" s="124">
        <v>4.1700000000000001E-2</v>
      </c>
      <c r="AV18" s="124">
        <v>4.1700000000000001E-2</v>
      </c>
      <c r="AW18" s="123">
        <v>1</v>
      </c>
      <c r="AX18" s="124">
        <v>9.9000000000000008E-3</v>
      </c>
      <c r="AY18" s="124">
        <v>4.5699999999999998E-2</v>
      </c>
      <c r="AZ18" s="124">
        <v>5.0999999999999997E-2</v>
      </c>
      <c r="BA18" s="124">
        <v>8.5300000000000001E-2</v>
      </c>
      <c r="BB18" s="123">
        <v>1</v>
      </c>
      <c r="BC18" s="124">
        <v>4.5699999999999998E-2</v>
      </c>
      <c r="BD18" s="124">
        <v>8.9999999999999993E-3</v>
      </c>
      <c r="BE18" s="124">
        <v>8.5500000000000007E-2</v>
      </c>
      <c r="BF18" s="124">
        <v>5.0999999999999997E-2</v>
      </c>
      <c r="BG18" s="112"/>
      <c r="BH18" s="113">
        <v>150</v>
      </c>
      <c r="BI18" s="113">
        <v>65</v>
      </c>
      <c r="BJ18" s="113" t="s">
        <v>378</v>
      </c>
      <c r="BK18" s="113">
        <v>2000</v>
      </c>
      <c r="BL18" s="113">
        <v>3000</v>
      </c>
      <c r="BM18" s="113">
        <v>4000</v>
      </c>
      <c r="BN18" s="113">
        <v>6000</v>
      </c>
    </row>
    <row r="19" spans="4:66" ht="15.5">
      <c r="D19" s="125">
        <v>1.01</v>
      </c>
      <c r="E19" s="126">
        <v>3.6879999999999996E-2</v>
      </c>
      <c r="F19" s="126">
        <v>3.6019999999999996E-2</v>
      </c>
      <c r="G19" s="126">
        <v>0</v>
      </c>
      <c r="H19" s="126">
        <v>0</v>
      </c>
      <c r="I19" s="125">
        <v>1.01</v>
      </c>
      <c r="J19" s="126">
        <v>3.3579999999999999E-2</v>
      </c>
      <c r="K19" s="126">
        <v>2.6880000000000001E-2</v>
      </c>
      <c r="L19" s="126">
        <v>8.9260000000000006E-2</v>
      </c>
      <c r="M19" s="126">
        <v>0</v>
      </c>
      <c r="N19" s="125">
        <v>1.01</v>
      </c>
      <c r="O19" s="126">
        <v>2.7700000000000002E-2</v>
      </c>
      <c r="P19" s="126">
        <v>3.322E-2</v>
      </c>
      <c r="Q19" s="126">
        <v>0</v>
      </c>
      <c r="R19" s="126">
        <v>8.9099999999999999E-2</v>
      </c>
      <c r="S19" s="125">
        <v>1.01</v>
      </c>
      <c r="T19" s="126">
        <v>2.6700000000000002E-2</v>
      </c>
      <c r="U19" s="126">
        <v>1.762E-2</v>
      </c>
      <c r="V19" s="126">
        <v>6.9120000000000001E-2</v>
      </c>
      <c r="W19" s="126">
        <v>0</v>
      </c>
      <c r="X19" s="125">
        <v>1.01</v>
      </c>
      <c r="Y19" s="126">
        <v>1.8380000000000001E-2</v>
      </c>
      <c r="Z19" s="126">
        <v>2.666E-2</v>
      </c>
      <c r="AA19" s="126">
        <v>0</v>
      </c>
      <c r="AB19" s="126">
        <v>6.9620000000000001E-2</v>
      </c>
      <c r="AC19" s="125">
        <v>1.01</v>
      </c>
      <c r="AD19" s="126">
        <v>2.716E-2</v>
      </c>
      <c r="AE19" s="126">
        <v>2.6620000000000001E-2</v>
      </c>
      <c r="AF19" s="126">
        <v>6.3100000000000003E-2</v>
      </c>
      <c r="AG19" s="126">
        <v>6.1800000000000001E-2</v>
      </c>
      <c r="AH19" s="125">
        <v>1.01</v>
      </c>
      <c r="AI19" s="126">
        <v>2.2699999999999998E-2</v>
      </c>
      <c r="AJ19" s="126">
        <v>1.9520000000000003E-2</v>
      </c>
      <c r="AK19" s="126">
        <v>5.568E-2</v>
      </c>
      <c r="AL19" s="126">
        <v>4.1059999999999999E-2</v>
      </c>
      <c r="AM19" s="125">
        <v>1.01</v>
      </c>
      <c r="AN19" s="126">
        <v>2.01E-2</v>
      </c>
      <c r="AO19" s="126">
        <v>2.2499999999999999E-2</v>
      </c>
      <c r="AP19" s="126">
        <v>4.2360000000000002E-2</v>
      </c>
      <c r="AQ19" s="126">
        <v>5.5379999999999999E-2</v>
      </c>
      <c r="AR19" s="125">
        <v>1.01</v>
      </c>
      <c r="AS19" s="126">
        <v>1.806E-2</v>
      </c>
      <c r="AT19" s="126">
        <v>1.7739999999999999E-2</v>
      </c>
      <c r="AU19" s="126">
        <v>4.2099999999999999E-2</v>
      </c>
      <c r="AV19" s="126">
        <v>4.1239999999999999E-2</v>
      </c>
      <c r="AW19" s="125">
        <v>1.01</v>
      </c>
      <c r="AX19" s="126">
        <v>9.9300000000000013E-3</v>
      </c>
      <c r="AY19" s="126">
        <v>4.6050000000000001E-2</v>
      </c>
      <c r="AZ19" s="126">
        <v>5.1639999999999998E-2</v>
      </c>
      <c r="BA19" s="126">
        <v>8.6070000000000008E-2</v>
      </c>
      <c r="BB19" s="125">
        <v>1.01</v>
      </c>
      <c r="BC19" s="126">
        <v>4.5339999999999998E-2</v>
      </c>
      <c r="BD19" s="126">
        <v>9.0399999999999994E-3</v>
      </c>
      <c r="BE19" s="126">
        <v>8.4720000000000004E-2</v>
      </c>
      <c r="BF19" s="126">
        <v>5.0379999999999994E-2</v>
      </c>
      <c r="BG19" s="112"/>
      <c r="BH19" s="113">
        <v>200</v>
      </c>
      <c r="BI19" s="113">
        <v>90</v>
      </c>
      <c r="BJ19" s="112"/>
      <c r="BK19" s="112"/>
      <c r="BL19" s="112"/>
      <c r="BM19" s="112"/>
      <c r="BN19" s="112"/>
    </row>
    <row r="20" spans="4:66" ht="15.5">
      <c r="D20" s="125">
        <v>1.02</v>
      </c>
      <c r="E20" s="126">
        <v>3.7259999999999995E-2</v>
      </c>
      <c r="F20" s="126">
        <v>3.5539999999999995E-2</v>
      </c>
      <c r="G20" s="126">
        <v>0</v>
      </c>
      <c r="H20" s="126">
        <v>0</v>
      </c>
      <c r="I20" s="125">
        <v>1.02</v>
      </c>
      <c r="J20" s="126">
        <v>3.3759999999999998E-2</v>
      </c>
      <c r="K20" s="126">
        <v>2.6460000000000001E-2</v>
      </c>
      <c r="L20" s="126">
        <v>8.9319999999999997E-2</v>
      </c>
      <c r="M20" s="126">
        <v>0</v>
      </c>
      <c r="N20" s="125">
        <v>1.02</v>
      </c>
      <c r="O20" s="126">
        <v>2.81E-2</v>
      </c>
      <c r="P20" s="126">
        <v>3.304E-2</v>
      </c>
      <c r="Q20" s="126">
        <v>0</v>
      </c>
      <c r="R20" s="126">
        <v>8.8900000000000007E-2</v>
      </c>
      <c r="S20" s="125">
        <v>1.02</v>
      </c>
      <c r="T20" s="126">
        <v>2.6700000000000002E-2</v>
      </c>
      <c r="U20" s="126">
        <v>1.7239999999999998E-2</v>
      </c>
      <c r="V20" s="126">
        <v>6.8839999999999998E-2</v>
      </c>
      <c r="W20" s="126">
        <v>0</v>
      </c>
      <c r="X20" s="125">
        <v>1.02</v>
      </c>
      <c r="Y20" s="126">
        <v>1.8759999999999999E-2</v>
      </c>
      <c r="Z20" s="126">
        <v>2.6620000000000001E-2</v>
      </c>
      <c r="AA20" s="126">
        <v>0</v>
      </c>
      <c r="AB20" s="126">
        <v>6.9839999999999999E-2</v>
      </c>
      <c r="AC20" s="125">
        <v>1.02</v>
      </c>
      <c r="AD20" s="126">
        <v>2.742E-2</v>
      </c>
      <c r="AE20" s="126">
        <v>2.6339999999999999E-2</v>
      </c>
      <c r="AF20" s="126">
        <v>6.3700000000000007E-2</v>
      </c>
      <c r="AG20" s="126">
        <v>6.1100000000000002E-2</v>
      </c>
      <c r="AH20" s="125">
        <v>1.02</v>
      </c>
      <c r="AI20" s="126">
        <v>2.2799999999999997E-2</v>
      </c>
      <c r="AJ20" s="126">
        <v>1.924E-2</v>
      </c>
      <c r="AK20" s="126">
        <v>5.5759999999999997E-2</v>
      </c>
      <c r="AL20" s="126">
        <v>4.0419999999999998E-2</v>
      </c>
      <c r="AM20" s="125">
        <v>1.02</v>
      </c>
      <c r="AN20" s="126">
        <v>2.0400000000000001E-2</v>
      </c>
      <c r="AO20" s="126">
        <v>2.24E-2</v>
      </c>
      <c r="AP20" s="126">
        <v>4.3020000000000003E-2</v>
      </c>
      <c r="AQ20" s="126">
        <v>5.5160000000000001E-2</v>
      </c>
      <c r="AR20" s="125">
        <v>1.02</v>
      </c>
      <c r="AS20" s="126">
        <v>1.822E-2</v>
      </c>
      <c r="AT20" s="126">
        <v>1.7579999999999998E-2</v>
      </c>
      <c r="AU20" s="126">
        <v>4.2500000000000003E-2</v>
      </c>
      <c r="AV20" s="126">
        <v>4.0779999999999997E-2</v>
      </c>
      <c r="AW20" s="125">
        <v>1.02</v>
      </c>
      <c r="AX20" s="126">
        <v>9.9600000000000001E-3</v>
      </c>
      <c r="AY20" s="126">
        <v>4.6399999999999997E-2</v>
      </c>
      <c r="AZ20" s="126">
        <v>5.228E-2</v>
      </c>
      <c r="BA20" s="126">
        <v>8.6840000000000001E-2</v>
      </c>
      <c r="BB20" s="125">
        <v>1.02</v>
      </c>
      <c r="BC20" s="126">
        <v>4.4979999999999999E-2</v>
      </c>
      <c r="BD20" s="126">
        <v>9.0799999999999995E-3</v>
      </c>
      <c r="BE20" s="126">
        <v>8.3940000000000001E-2</v>
      </c>
      <c r="BF20" s="126">
        <v>4.9759999999999999E-2</v>
      </c>
      <c r="BG20" s="112"/>
      <c r="BH20" s="113">
        <v>250</v>
      </c>
      <c r="BI20" s="113">
        <v>110</v>
      </c>
      <c r="BJ20" s="112"/>
      <c r="BK20" s="113" t="s">
        <v>379</v>
      </c>
      <c r="BL20" s="113" t="s">
        <v>380</v>
      </c>
      <c r="BM20" s="113" t="s">
        <v>381</v>
      </c>
      <c r="BN20" s="113" t="s">
        <v>382</v>
      </c>
    </row>
    <row r="21" spans="4:66" ht="15.5">
      <c r="D21" s="125">
        <v>1.03</v>
      </c>
      <c r="E21" s="126">
        <v>3.764E-2</v>
      </c>
      <c r="F21" s="126">
        <v>3.5060000000000001E-2</v>
      </c>
      <c r="G21" s="126">
        <v>0</v>
      </c>
      <c r="H21" s="126">
        <v>0</v>
      </c>
      <c r="I21" s="125">
        <v>1.03</v>
      </c>
      <c r="J21" s="126">
        <v>3.3939999999999998E-2</v>
      </c>
      <c r="K21" s="126">
        <v>2.6040000000000001E-2</v>
      </c>
      <c r="L21" s="126">
        <v>8.9380000000000001E-2</v>
      </c>
      <c r="M21" s="126">
        <v>0</v>
      </c>
      <c r="N21" s="125">
        <v>1.03</v>
      </c>
      <c r="O21" s="126">
        <v>2.8500000000000001E-2</v>
      </c>
      <c r="P21" s="126">
        <v>3.286E-2</v>
      </c>
      <c r="Q21" s="126">
        <v>0</v>
      </c>
      <c r="R21" s="126">
        <v>8.8700000000000001E-2</v>
      </c>
      <c r="S21" s="125">
        <v>1.03</v>
      </c>
      <c r="T21" s="126">
        <v>2.6700000000000002E-2</v>
      </c>
      <c r="U21" s="126">
        <v>1.686E-2</v>
      </c>
      <c r="V21" s="126">
        <v>6.856000000000001E-2</v>
      </c>
      <c r="W21" s="126">
        <v>0</v>
      </c>
      <c r="X21" s="125">
        <v>1.03</v>
      </c>
      <c r="Y21" s="126">
        <v>1.9140000000000001E-2</v>
      </c>
      <c r="Z21" s="126">
        <v>2.6579999999999999E-2</v>
      </c>
      <c r="AA21" s="126">
        <v>0</v>
      </c>
      <c r="AB21" s="126">
        <v>7.0059999999999997E-2</v>
      </c>
      <c r="AC21" s="125">
        <v>1.03</v>
      </c>
      <c r="AD21" s="126">
        <v>2.768E-2</v>
      </c>
      <c r="AE21" s="126">
        <v>2.606E-2</v>
      </c>
      <c r="AF21" s="126">
        <v>6.4299999999999996E-2</v>
      </c>
      <c r="AG21" s="126">
        <v>6.0399999999999995E-2</v>
      </c>
      <c r="AH21" s="125">
        <v>1.03</v>
      </c>
      <c r="AI21" s="126">
        <v>2.29E-2</v>
      </c>
      <c r="AJ21" s="126">
        <v>1.8960000000000001E-2</v>
      </c>
      <c r="AK21" s="126">
        <v>5.5840000000000001E-2</v>
      </c>
      <c r="AL21" s="126">
        <v>3.9780000000000003E-2</v>
      </c>
      <c r="AM21" s="125">
        <v>1.03</v>
      </c>
      <c r="AN21" s="126">
        <v>2.07E-2</v>
      </c>
      <c r="AO21" s="126">
        <v>2.23E-2</v>
      </c>
      <c r="AP21" s="126">
        <v>4.3679999999999997E-2</v>
      </c>
      <c r="AQ21" s="126">
        <v>5.4939999999999996E-2</v>
      </c>
      <c r="AR21" s="125">
        <v>1.03</v>
      </c>
      <c r="AS21" s="126">
        <v>1.8380000000000001E-2</v>
      </c>
      <c r="AT21" s="126">
        <v>1.7420000000000001E-2</v>
      </c>
      <c r="AU21" s="126">
        <v>4.2900000000000001E-2</v>
      </c>
      <c r="AV21" s="126">
        <v>4.0320000000000002E-2</v>
      </c>
      <c r="AW21" s="125">
        <v>1.03</v>
      </c>
      <c r="AX21" s="126">
        <v>9.9900000000000006E-3</v>
      </c>
      <c r="AY21" s="126">
        <v>4.675E-2</v>
      </c>
      <c r="AZ21" s="126">
        <v>5.2919999999999995E-2</v>
      </c>
      <c r="BA21" s="126">
        <v>8.7610000000000007E-2</v>
      </c>
      <c r="BB21" s="125">
        <v>1.03</v>
      </c>
      <c r="BC21" s="126">
        <v>4.4619999999999993E-2</v>
      </c>
      <c r="BD21" s="126">
        <v>9.1199999999999996E-3</v>
      </c>
      <c r="BE21" s="126">
        <v>8.3160000000000012E-2</v>
      </c>
      <c r="BF21" s="126">
        <v>4.9139999999999996E-2</v>
      </c>
      <c r="BG21" s="112"/>
      <c r="BH21" s="113">
        <v>300</v>
      </c>
      <c r="BI21" s="113">
        <v>130</v>
      </c>
      <c r="BJ21" s="113" t="s">
        <v>378</v>
      </c>
      <c r="BK21" s="113">
        <v>2300</v>
      </c>
      <c r="BL21" s="113">
        <v>2800</v>
      </c>
      <c r="BM21" s="113">
        <v>3600</v>
      </c>
      <c r="BN21" s="113">
        <v>5000</v>
      </c>
    </row>
    <row r="22" spans="4:66" ht="15.5">
      <c r="D22" s="125">
        <v>1.04</v>
      </c>
      <c r="E22" s="126">
        <v>3.8019999999999998E-2</v>
      </c>
      <c r="F22" s="126">
        <v>3.458E-2</v>
      </c>
      <c r="G22" s="126">
        <v>0</v>
      </c>
      <c r="H22" s="126">
        <v>0</v>
      </c>
      <c r="I22" s="125">
        <v>1.04</v>
      </c>
      <c r="J22" s="126">
        <v>3.4119999999999998E-2</v>
      </c>
      <c r="K22" s="126">
        <v>2.562E-2</v>
      </c>
      <c r="L22" s="126">
        <v>8.9439999999999992E-2</v>
      </c>
      <c r="M22" s="126">
        <v>0</v>
      </c>
      <c r="N22" s="125">
        <v>1.04</v>
      </c>
      <c r="O22" s="126">
        <v>2.8899999999999999E-2</v>
      </c>
      <c r="P22" s="126">
        <v>3.2680000000000001E-2</v>
      </c>
      <c r="Q22" s="126">
        <v>0</v>
      </c>
      <c r="R22" s="126">
        <v>8.8500000000000009E-2</v>
      </c>
      <c r="S22" s="125">
        <v>1.04</v>
      </c>
      <c r="T22" s="126">
        <v>2.6700000000000002E-2</v>
      </c>
      <c r="U22" s="126">
        <v>1.6479999999999998E-2</v>
      </c>
      <c r="V22" s="126">
        <v>6.8280000000000007E-2</v>
      </c>
      <c r="W22" s="126">
        <v>0</v>
      </c>
      <c r="X22" s="125">
        <v>1.04</v>
      </c>
      <c r="Y22" s="126">
        <v>1.9519999999999999E-2</v>
      </c>
      <c r="Z22" s="126">
        <v>2.6540000000000001E-2</v>
      </c>
      <c r="AA22" s="126">
        <v>0</v>
      </c>
      <c r="AB22" s="126">
        <v>7.0279999999999995E-2</v>
      </c>
      <c r="AC22" s="125">
        <v>1.04</v>
      </c>
      <c r="AD22" s="126">
        <v>2.794E-2</v>
      </c>
      <c r="AE22" s="126">
        <v>2.5779999999999997E-2</v>
      </c>
      <c r="AF22" s="126">
        <v>6.4899999999999999E-2</v>
      </c>
      <c r="AG22" s="126">
        <v>5.9699999999999996E-2</v>
      </c>
      <c r="AH22" s="125">
        <v>1.04</v>
      </c>
      <c r="AI22" s="126">
        <v>2.3E-2</v>
      </c>
      <c r="AJ22" s="126">
        <v>1.8679999999999999E-2</v>
      </c>
      <c r="AK22" s="126">
        <v>5.5919999999999997E-2</v>
      </c>
      <c r="AL22" s="126">
        <v>3.9140000000000001E-2</v>
      </c>
      <c r="AM22" s="125">
        <v>1.04</v>
      </c>
      <c r="AN22" s="126">
        <v>2.1000000000000001E-2</v>
      </c>
      <c r="AO22" s="126">
        <v>2.2200000000000001E-2</v>
      </c>
      <c r="AP22" s="126">
        <v>4.4339999999999997E-2</v>
      </c>
      <c r="AQ22" s="126">
        <v>5.4719999999999998E-2</v>
      </c>
      <c r="AR22" s="125">
        <v>1.04</v>
      </c>
      <c r="AS22" s="126">
        <v>1.8540000000000001E-2</v>
      </c>
      <c r="AT22" s="126">
        <v>1.7260000000000001E-2</v>
      </c>
      <c r="AU22" s="126">
        <v>4.3300000000000005E-2</v>
      </c>
      <c r="AV22" s="126">
        <v>3.986E-2</v>
      </c>
      <c r="AW22" s="125">
        <v>1.04</v>
      </c>
      <c r="AX22" s="126">
        <v>1.0019999999999999E-2</v>
      </c>
      <c r="AY22" s="126">
        <v>4.7099999999999996E-2</v>
      </c>
      <c r="AZ22" s="126">
        <v>5.3559999999999997E-2</v>
      </c>
      <c r="BA22" s="126">
        <v>8.838E-2</v>
      </c>
      <c r="BB22" s="125">
        <v>1.04</v>
      </c>
      <c r="BC22" s="126">
        <v>4.4259999999999994E-2</v>
      </c>
      <c r="BD22" s="126">
        <v>9.1599999999999997E-3</v>
      </c>
      <c r="BE22" s="126">
        <v>8.2380000000000009E-2</v>
      </c>
      <c r="BF22" s="126">
        <v>4.8520000000000001E-2</v>
      </c>
      <c r="BG22" s="112"/>
      <c r="BH22" s="113">
        <v>350</v>
      </c>
      <c r="BI22" s="113">
        <v>155</v>
      </c>
      <c r="BJ22" s="112"/>
      <c r="BK22" s="112"/>
      <c r="BL22" s="112"/>
      <c r="BM22" s="112"/>
      <c r="BN22" s="112"/>
    </row>
    <row r="23" spans="4:66" ht="15.5">
      <c r="D23" s="123">
        <v>1.05</v>
      </c>
      <c r="E23" s="124">
        <v>3.8399999999999997E-2</v>
      </c>
      <c r="F23" s="124">
        <v>3.4099999999999998E-2</v>
      </c>
      <c r="G23" s="126">
        <v>0</v>
      </c>
      <c r="H23" s="126">
        <v>0</v>
      </c>
      <c r="I23" s="123">
        <v>1.05</v>
      </c>
      <c r="J23" s="124">
        <v>3.4299999999999997E-2</v>
      </c>
      <c r="K23" s="124">
        <v>2.52E-2</v>
      </c>
      <c r="L23" s="124">
        <v>8.9499999999999996E-2</v>
      </c>
      <c r="M23" s="126">
        <v>0</v>
      </c>
      <c r="N23" s="123">
        <v>1.05</v>
      </c>
      <c r="O23" s="124">
        <v>2.93E-2</v>
      </c>
      <c r="P23" s="124">
        <v>3.2500000000000001E-2</v>
      </c>
      <c r="Q23" s="126">
        <v>0</v>
      </c>
      <c r="R23" s="124">
        <v>8.8300000000000003E-2</v>
      </c>
      <c r="S23" s="123">
        <v>1.05</v>
      </c>
      <c r="T23" s="124">
        <v>2.6700000000000002E-2</v>
      </c>
      <c r="U23" s="124">
        <v>1.61E-2</v>
      </c>
      <c r="V23" s="124">
        <v>6.8000000000000005E-2</v>
      </c>
      <c r="W23" s="126">
        <v>0</v>
      </c>
      <c r="X23" s="123">
        <v>1.05</v>
      </c>
      <c r="Y23" s="124">
        <v>1.9900000000000001E-2</v>
      </c>
      <c r="Z23" s="124">
        <v>2.6499999999999999E-2</v>
      </c>
      <c r="AA23" s="126">
        <v>0</v>
      </c>
      <c r="AB23" s="124">
        <v>7.0499999999999993E-2</v>
      </c>
      <c r="AC23" s="123">
        <v>1.05</v>
      </c>
      <c r="AD23" s="124">
        <v>2.8199999999999999E-2</v>
      </c>
      <c r="AE23" s="124">
        <v>2.5499999999999998E-2</v>
      </c>
      <c r="AF23" s="124">
        <v>6.5500000000000003E-2</v>
      </c>
      <c r="AG23" s="124">
        <v>5.8999999999999997E-2</v>
      </c>
      <c r="AH23" s="123">
        <v>1.05</v>
      </c>
      <c r="AI23" s="124">
        <v>2.3099999999999999E-2</v>
      </c>
      <c r="AJ23" s="124">
        <v>1.84E-2</v>
      </c>
      <c r="AK23" s="124">
        <v>5.6000000000000001E-2</v>
      </c>
      <c r="AL23" s="124">
        <v>3.85E-2</v>
      </c>
      <c r="AM23" s="123">
        <v>1.05</v>
      </c>
      <c r="AN23" s="124">
        <v>2.1299999999999999E-2</v>
      </c>
      <c r="AO23" s="124">
        <v>2.2100000000000002E-2</v>
      </c>
      <c r="AP23" s="124">
        <v>4.4999999999999998E-2</v>
      </c>
      <c r="AQ23" s="124">
        <v>5.45E-2</v>
      </c>
      <c r="AR23" s="123">
        <v>1.05</v>
      </c>
      <c r="AS23" s="124">
        <v>1.8700000000000001E-2</v>
      </c>
      <c r="AT23" s="124">
        <v>1.7100000000000001E-2</v>
      </c>
      <c r="AU23" s="124">
        <v>4.3700000000000003E-2</v>
      </c>
      <c r="AV23" s="124">
        <v>3.9399999999999998E-2</v>
      </c>
      <c r="AW23" s="123">
        <v>1.05</v>
      </c>
      <c r="AX23" s="124">
        <v>1.005E-2</v>
      </c>
      <c r="AY23" s="124">
        <v>4.7449999999999999E-2</v>
      </c>
      <c r="AZ23" s="124">
        <v>5.4199999999999998E-2</v>
      </c>
      <c r="BA23" s="124">
        <v>8.9150000000000007E-2</v>
      </c>
      <c r="BB23" s="123">
        <v>1.05</v>
      </c>
      <c r="BC23" s="124">
        <v>4.3899999999999995E-2</v>
      </c>
      <c r="BD23" s="124">
        <v>9.1999999999999998E-3</v>
      </c>
      <c r="BE23" s="124">
        <v>8.1600000000000006E-2</v>
      </c>
      <c r="BF23" s="124">
        <v>4.7899999999999998E-2</v>
      </c>
      <c r="BG23" s="112"/>
      <c r="BH23" s="113">
        <v>400</v>
      </c>
      <c r="BI23" s="113">
        <v>170</v>
      </c>
      <c r="BJ23" s="112"/>
      <c r="BK23" s="112"/>
      <c r="BL23" s="112"/>
      <c r="BM23" s="112"/>
      <c r="BN23" s="112"/>
    </row>
    <row r="24" spans="4:66" ht="15.5">
      <c r="D24" s="125">
        <v>1.06</v>
      </c>
      <c r="E24" s="126">
        <v>3.8699999999999998E-2</v>
      </c>
      <c r="F24" s="126">
        <v>3.388E-2</v>
      </c>
      <c r="G24" s="126">
        <v>0</v>
      </c>
      <c r="H24" s="126">
        <v>0</v>
      </c>
      <c r="I24" s="125">
        <v>1.06</v>
      </c>
      <c r="J24" s="126">
        <v>3.4419999999999999E-2</v>
      </c>
      <c r="K24" s="126">
        <v>2.478E-2</v>
      </c>
      <c r="L24" s="126">
        <v>8.9439999999999992E-2</v>
      </c>
      <c r="M24" s="126">
        <v>0</v>
      </c>
      <c r="N24" s="125">
        <v>1.06</v>
      </c>
      <c r="O24" s="126">
        <v>2.9700000000000001E-2</v>
      </c>
      <c r="P24" s="126">
        <v>3.2260000000000004E-2</v>
      </c>
      <c r="Q24" s="126">
        <v>0</v>
      </c>
      <c r="R24" s="126">
        <v>8.7980000000000003E-2</v>
      </c>
      <c r="S24" s="125">
        <v>1.06</v>
      </c>
      <c r="T24" s="126">
        <v>2.6680000000000002E-2</v>
      </c>
      <c r="U24" s="126">
        <v>1.5800000000000002E-2</v>
      </c>
      <c r="V24" s="126">
        <v>6.7740000000000009E-2</v>
      </c>
      <c r="W24" s="126">
        <v>0</v>
      </c>
      <c r="X24" s="125">
        <v>1.06</v>
      </c>
      <c r="Y24" s="126">
        <v>2.0279999999999999E-2</v>
      </c>
      <c r="Z24" s="126">
        <v>2.6439999999999998E-2</v>
      </c>
      <c r="AA24" s="126">
        <v>0</v>
      </c>
      <c r="AB24" s="126">
        <v>7.0559999999999998E-2</v>
      </c>
      <c r="AC24" s="125">
        <v>1.06</v>
      </c>
      <c r="AD24" s="126">
        <v>2.8399999999999998E-2</v>
      </c>
      <c r="AE24" s="126">
        <v>2.5239999999999999E-2</v>
      </c>
      <c r="AF24" s="126">
        <v>6.59E-2</v>
      </c>
      <c r="AG24" s="126">
        <v>5.8359999999999995E-2</v>
      </c>
      <c r="AH24" s="125">
        <v>1.06</v>
      </c>
      <c r="AI24" s="126">
        <v>2.316E-2</v>
      </c>
      <c r="AJ24" s="126">
        <v>1.8099999999999998E-2</v>
      </c>
      <c r="AK24" s="126">
        <v>5.6100000000000004E-2</v>
      </c>
      <c r="AL24" s="126">
        <v>3.78E-2</v>
      </c>
      <c r="AM24" s="125">
        <v>1.06</v>
      </c>
      <c r="AN24" s="126">
        <v>2.1559999999999999E-2</v>
      </c>
      <c r="AO24" s="126">
        <v>2.1920000000000002E-2</v>
      </c>
      <c r="AP24" s="126">
        <v>4.5620000000000001E-2</v>
      </c>
      <c r="AQ24" s="126">
        <v>5.4199999999999998E-2</v>
      </c>
      <c r="AR24" s="125">
        <v>1.06</v>
      </c>
      <c r="AS24" s="126">
        <v>1.8840000000000003E-2</v>
      </c>
      <c r="AT24" s="126">
        <v>1.6900000000000002E-2</v>
      </c>
      <c r="AU24" s="126">
        <v>4.3959999999999999E-2</v>
      </c>
      <c r="AV24" s="126">
        <v>3.8959999999999995E-2</v>
      </c>
      <c r="AW24" s="125">
        <v>1.06</v>
      </c>
      <c r="AX24" s="126">
        <v>1.008E-2</v>
      </c>
      <c r="AY24" s="126">
        <v>4.7800000000000002E-2</v>
      </c>
      <c r="AZ24" s="126">
        <v>5.484E-2</v>
      </c>
      <c r="BA24" s="126">
        <v>8.992E-2</v>
      </c>
      <c r="BB24" s="125">
        <v>1.06</v>
      </c>
      <c r="BC24" s="126">
        <v>4.3539999999999995E-2</v>
      </c>
      <c r="BD24" s="126">
        <v>9.2399999999999999E-3</v>
      </c>
      <c r="BE24" s="126">
        <v>8.0820000000000003E-2</v>
      </c>
      <c r="BF24" s="126">
        <v>4.7279999999999996E-2</v>
      </c>
      <c r="BG24" s="112"/>
      <c r="BH24" s="113">
        <v>500</v>
      </c>
      <c r="BI24" s="113">
        <v>215</v>
      </c>
      <c r="BJ24" s="112"/>
      <c r="BK24" s="112"/>
      <c r="BL24" s="112"/>
      <c r="BM24" s="112"/>
      <c r="BN24" s="112"/>
    </row>
    <row r="25" spans="4:66" ht="15.5">
      <c r="D25" s="125">
        <v>1.07</v>
      </c>
      <c r="E25" s="126">
        <v>3.9E-2</v>
      </c>
      <c r="F25" s="126">
        <v>3.3660000000000002E-2</v>
      </c>
      <c r="G25" s="126">
        <v>0</v>
      </c>
      <c r="H25" s="126">
        <v>0</v>
      </c>
      <c r="I25" s="125">
        <v>1.07</v>
      </c>
      <c r="J25" s="126">
        <v>3.4540000000000001E-2</v>
      </c>
      <c r="K25" s="126">
        <v>2.436E-2</v>
      </c>
      <c r="L25" s="126">
        <v>8.9380000000000001E-2</v>
      </c>
      <c r="M25" s="126">
        <v>0</v>
      </c>
      <c r="N25" s="125">
        <v>1.07</v>
      </c>
      <c r="O25" s="126">
        <v>3.0100000000000002E-2</v>
      </c>
      <c r="P25" s="126">
        <v>3.202E-2</v>
      </c>
      <c r="Q25" s="126">
        <v>0</v>
      </c>
      <c r="R25" s="126">
        <v>8.7660000000000002E-2</v>
      </c>
      <c r="S25" s="125">
        <v>1.07</v>
      </c>
      <c r="T25" s="126">
        <v>2.666E-2</v>
      </c>
      <c r="U25" s="126">
        <v>1.55E-2</v>
      </c>
      <c r="V25" s="126">
        <v>6.7479999999999998E-2</v>
      </c>
      <c r="W25" s="126">
        <v>0</v>
      </c>
      <c r="X25" s="125">
        <v>1.07</v>
      </c>
      <c r="Y25" s="126">
        <v>2.0660000000000001E-2</v>
      </c>
      <c r="Z25" s="126">
        <v>2.6380000000000001E-2</v>
      </c>
      <c r="AA25" s="126">
        <v>0</v>
      </c>
      <c r="AB25" s="126">
        <v>7.0620000000000002E-2</v>
      </c>
      <c r="AC25" s="125">
        <v>1.07</v>
      </c>
      <c r="AD25" s="126">
        <v>2.86E-2</v>
      </c>
      <c r="AE25" s="126">
        <v>2.4979999999999999E-2</v>
      </c>
      <c r="AF25" s="126">
        <v>6.6299999999999998E-2</v>
      </c>
      <c r="AG25" s="126">
        <v>5.772E-2</v>
      </c>
      <c r="AH25" s="125">
        <v>1.07</v>
      </c>
      <c r="AI25" s="126">
        <v>2.3220000000000001E-2</v>
      </c>
      <c r="AJ25" s="126">
        <v>1.78E-2</v>
      </c>
      <c r="AK25" s="126">
        <v>5.62E-2</v>
      </c>
      <c r="AL25" s="126">
        <v>3.7100000000000001E-2</v>
      </c>
      <c r="AM25" s="125">
        <v>1.07</v>
      </c>
      <c r="AN25" s="126">
        <v>2.1819999999999999E-2</v>
      </c>
      <c r="AO25" s="126">
        <v>2.1740000000000002E-2</v>
      </c>
      <c r="AP25" s="126">
        <v>4.6239999999999996E-2</v>
      </c>
      <c r="AQ25" s="126">
        <v>5.3899999999999997E-2</v>
      </c>
      <c r="AR25" s="125">
        <v>1.07</v>
      </c>
      <c r="AS25" s="126">
        <v>1.898E-2</v>
      </c>
      <c r="AT25" s="126">
        <v>1.67E-2</v>
      </c>
      <c r="AU25" s="126">
        <v>4.4220000000000002E-2</v>
      </c>
      <c r="AV25" s="126">
        <v>3.8519999999999999E-2</v>
      </c>
      <c r="AW25" s="125">
        <v>1.07</v>
      </c>
      <c r="AX25" s="126">
        <v>1.0110000000000001E-2</v>
      </c>
      <c r="AY25" s="126">
        <v>4.8149999999999998E-2</v>
      </c>
      <c r="AZ25" s="126">
        <v>5.5480000000000002E-2</v>
      </c>
      <c r="BA25" s="126">
        <v>9.0690000000000007E-2</v>
      </c>
      <c r="BB25" s="125">
        <v>1.07</v>
      </c>
      <c r="BC25" s="126">
        <v>4.3179999999999996E-2</v>
      </c>
      <c r="BD25" s="126">
        <v>9.2800000000000001E-3</v>
      </c>
      <c r="BE25" s="126">
        <v>8.004E-2</v>
      </c>
      <c r="BF25" s="126">
        <v>4.666E-2</v>
      </c>
      <c r="BG25" s="112"/>
      <c r="BH25" s="113">
        <v>600</v>
      </c>
      <c r="BI25" s="113">
        <v>250</v>
      </c>
      <c r="BJ25" s="112"/>
      <c r="BK25" s="112"/>
      <c r="BL25" s="112"/>
      <c r="BM25" s="112"/>
      <c r="BN25" s="112"/>
    </row>
    <row r="26" spans="4:66" ht="15.5">
      <c r="D26" s="125">
        <v>1.08</v>
      </c>
      <c r="E26" s="126">
        <v>3.9299999999999995E-2</v>
      </c>
      <c r="F26" s="126">
        <v>3.3439999999999998E-2</v>
      </c>
      <c r="G26" s="126">
        <v>0</v>
      </c>
      <c r="H26" s="126">
        <v>0</v>
      </c>
      <c r="I26" s="125">
        <v>1.08</v>
      </c>
      <c r="J26" s="126">
        <v>3.4659999999999996E-2</v>
      </c>
      <c r="K26" s="126">
        <v>2.3939999999999999E-2</v>
      </c>
      <c r="L26" s="126">
        <v>8.9319999999999997E-2</v>
      </c>
      <c r="M26" s="126">
        <v>0</v>
      </c>
      <c r="N26" s="125">
        <v>1.08</v>
      </c>
      <c r="O26" s="126">
        <v>3.0499999999999999E-2</v>
      </c>
      <c r="P26" s="126">
        <v>3.1780000000000003E-2</v>
      </c>
      <c r="Q26" s="126">
        <v>0</v>
      </c>
      <c r="R26" s="126">
        <v>8.7340000000000001E-2</v>
      </c>
      <c r="S26" s="125">
        <v>1.08</v>
      </c>
      <c r="T26" s="126">
        <v>2.664E-2</v>
      </c>
      <c r="U26" s="126">
        <v>1.52E-2</v>
      </c>
      <c r="V26" s="126">
        <v>6.7220000000000002E-2</v>
      </c>
      <c r="W26" s="126">
        <v>0</v>
      </c>
      <c r="X26" s="125">
        <v>1.08</v>
      </c>
      <c r="Y26" s="126">
        <v>2.104E-2</v>
      </c>
      <c r="Z26" s="126">
        <v>2.632E-2</v>
      </c>
      <c r="AA26" s="126">
        <v>0</v>
      </c>
      <c r="AB26" s="126">
        <v>7.0679999999999993E-2</v>
      </c>
      <c r="AC26" s="125">
        <v>1.08</v>
      </c>
      <c r="AD26" s="126">
        <v>2.8799999999999999E-2</v>
      </c>
      <c r="AE26" s="126">
        <v>2.4719999999999999E-2</v>
      </c>
      <c r="AF26" s="126">
        <v>6.6700000000000009E-2</v>
      </c>
      <c r="AG26" s="126">
        <v>5.7079999999999999E-2</v>
      </c>
      <c r="AH26" s="125">
        <v>1.08</v>
      </c>
      <c r="AI26" s="126">
        <v>2.3279999999999999E-2</v>
      </c>
      <c r="AJ26" s="126">
        <v>1.7499999999999998E-2</v>
      </c>
      <c r="AK26" s="126">
        <v>5.6300000000000003E-2</v>
      </c>
      <c r="AL26" s="126">
        <v>3.6400000000000002E-2</v>
      </c>
      <c r="AM26" s="125">
        <v>1.08</v>
      </c>
      <c r="AN26" s="126">
        <v>2.2079999999999999E-2</v>
      </c>
      <c r="AO26" s="126">
        <v>2.1559999999999999E-2</v>
      </c>
      <c r="AP26" s="126">
        <v>4.6859999999999999E-2</v>
      </c>
      <c r="AQ26" s="126">
        <v>5.3600000000000002E-2</v>
      </c>
      <c r="AR26" s="125">
        <v>1.08</v>
      </c>
      <c r="AS26" s="126">
        <v>1.9120000000000002E-2</v>
      </c>
      <c r="AT26" s="126">
        <v>1.6500000000000001E-2</v>
      </c>
      <c r="AU26" s="126">
        <v>4.4479999999999999E-2</v>
      </c>
      <c r="AV26" s="126">
        <v>3.8079999999999996E-2</v>
      </c>
      <c r="AW26" s="125">
        <v>1.08</v>
      </c>
      <c r="AX26" s="126">
        <v>1.014E-2</v>
      </c>
      <c r="AY26" s="126">
        <v>4.8500000000000001E-2</v>
      </c>
      <c r="AZ26" s="126">
        <v>5.6119999999999996E-2</v>
      </c>
      <c r="BA26" s="126">
        <v>9.146E-2</v>
      </c>
      <c r="BB26" s="125">
        <v>1.08</v>
      </c>
      <c r="BC26" s="126">
        <v>4.2819999999999997E-2</v>
      </c>
      <c r="BD26" s="126">
        <v>9.3200000000000002E-3</v>
      </c>
      <c r="BE26" s="126">
        <v>7.9260000000000011E-2</v>
      </c>
      <c r="BF26" s="126">
        <v>4.6039999999999998E-2</v>
      </c>
      <c r="BG26" s="112"/>
      <c r="BH26" s="112"/>
      <c r="BI26" s="112"/>
      <c r="BJ26" s="112"/>
      <c r="BK26" s="112"/>
      <c r="BL26" s="112"/>
      <c r="BM26" s="112"/>
      <c r="BN26" s="112"/>
    </row>
    <row r="27" spans="4:66" ht="15.5">
      <c r="D27" s="125">
        <v>1.0900000000000001</v>
      </c>
      <c r="E27" s="126">
        <v>3.9599999999999996E-2</v>
      </c>
      <c r="F27" s="126">
        <v>3.322E-2</v>
      </c>
      <c r="G27" s="126">
        <v>0</v>
      </c>
      <c r="H27" s="126">
        <v>0</v>
      </c>
      <c r="I27" s="125">
        <v>1.0900000000000001</v>
      </c>
      <c r="J27" s="126">
        <v>3.4779999999999998E-2</v>
      </c>
      <c r="K27" s="126">
        <v>2.3519999999999999E-2</v>
      </c>
      <c r="L27" s="126">
        <v>8.9260000000000006E-2</v>
      </c>
      <c r="M27" s="126">
        <v>0</v>
      </c>
      <c r="N27" s="125">
        <v>1.0900000000000001</v>
      </c>
      <c r="O27" s="126">
        <v>3.09E-2</v>
      </c>
      <c r="P27" s="126">
        <v>3.1539999999999999E-2</v>
      </c>
      <c r="Q27" s="126">
        <v>0</v>
      </c>
      <c r="R27" s="126">
        <v>8.702E-2</v>
      </c>
      <c r="S27" s="125">
        <v>1.0900000000000001</v>
      </c>
      <c r="T27" s="126">
        <v>2.6619999999999998E-2</v>
      </c>
      <c r="U27" s="126">
        <v>1.49E-2</v>
      </c>
      <c r="V27" s="126">
        <v>6.6959999999999992E-2</v>
      </c>
      <c r="W27" s="126">
        <v>0</v>
      </c>
      <c r="X27" s="125">
        <v>1.0900000000000001</v>
      </c>
      <c r="Y27" s="126">
        <v>2.1420000000000002E-2</v>
      </c>
      <c r="Z27" s="126">
        <v>2.6260000000000002E-2</v>
      </c>
      <c r="AA27" s="126">
        <v>0</v>
      </c>
      <c r="AB27" s="126">
        <v>7.0739999999999997E-2</v>
      </c>
      <c r="AC27" s="125">
        <v>1.0900000000000001</v>
      </c>
      <c r="AD27" s="126">
        <v>2.9000000000000001E-2</v>
      </c>
      <c r="AE27" s="126">
        <v>2.4459999999999999E-2</v>
      </c>
      <c r="AF27" s="126">
        <v>6.7100000000000007E-2</v>
      </c>
      <c r="AG27" s="126">
        <v>5.6440000000000004E-2</v>
      </c>
      <c r="AH27" s="125">
        <v>1.0900000000000001</v>
      </c>
      <c r="AI27" s="126">
        <v>2.334E-2</v>
      </c>
      <c r="AJ27" s="126">
        <v>1.72E-2</v>
      </c>
      <c r="AK27" s="126">
        <v>5.6399999999999999E-2</v>
      </c>
      <c r="AL27" s="126">
        <v>3.5700000000000003E-2</v>
      </c>
      <c r="AM27" s="125">
        <v>1.0900000000000001</v>
      </c>
      <c r="AN27" s="126">
        <v>2.2339999999999999E-2</v>
      </c>
      <c r="AO27" s="126">
        <v>2.138E-2</v>
      </c>
      <c r="AP27" s="126">
        <v>4.7479999999999994E-2</v>
      </c>
      <c r="AQ27" s="126">
        <v>5.33E-2</v>
      </c>
      <c r="AR27" s="125">
        <v>1.0900000000000001</v>
      </c>
      <c r="AS27" s="126">
        <v>1.9259999999999999E-2</v>
      </c>
      <c r="AT27" s="126">
        <v>1.6299999999999999E-2</v>
      </c>
      <c r="AU27" s="126">
        <v>4.4740000000000002E-2</v>
      </c>
      <c r="AV27" s="126">
        <v>3.764E-2</v>
      </c>
      <c r="AW27" s="125">
        <v>1.0900000000000001</v>
      </c>
      <c r="AX27" s="126">
        <v>1.017E-2</v>
      </c>
      <c r="AY27" s="126">
        <v>4.8849999999999998E-2</v>
      </c>
      <c r="AZ27" s="126">
        <v>5.6759999999999998E-2</v>
      </c>
      <c r="BA27" s="126">
        <v>9.2230000000000006E-2</v>
      </c>
      <c r="BB27" s="125">
        <v>1.0900000000000001</v>
      </c>
      <c r="BC27" s="126">
        <v>4.2459999999999998E-2</v>
      </c>
      <c r="BD27" s="126">
        <v>9.3600000000000003E-3</v>
      </c>
      <c r="BE27" s="126">
        <v>7.8480000000000008E-2</v>
      </c>
      <c r="BF27" s="126">
        <v>4.5420000000000002E-2</v>
      </c>
      <c r="BG27" s="112"/>
      <c r="BH27" s="112"/>
      <c r="BI27" s="112"/>
      <c r="BJ27" s="112"/>
      <c r="BK27" s="112"/>
      <c r="BL27" s="112"/>
      <c r="BM27" s="112"/>
      <c r="BN27" s="112"/>
    </row>
    <row r="28" spans="4:66" ht="15.5">
      <c r="D28" s="123">
        <v>1.1000000000000001</v>
      </c>
      <c r="E28" s="124">
        <v>3.9899999999999998E-2</v>
      </c>
      <c r="F28" s="124">
        <v>3.3000000000000002E-2</v>
      </c>
      <c r="G28" s="126">
        <v>0</v>
      </c>
      <c r="H28" s="126">
        <v>0</v>
      </c>
      <c r="I28" s="123">
        <v>1.1000000000000001</v>
      </c>
      <c r="J28" s="124">
        <v>3.49E-2</v>
      </c>
      <c r="K28" s="124">
        <v>2.3099999999999999E-2</v>
      </c>
      <c r="L28" s="124">
        <v>8.9200000000000002E-2</v>
      </c>
      <c r="M28" s="126">
        <v>0</v>
      </c>
      <c r="N28" s="123">
        <v>1.1000000000000001</v>
      </c>
      <c r="O28" s="124">
        <v>3.1300000000000001E-2</v>
      </c>
      <c r="P28" s="124">
        <v>3.1300000000000001E-2</v>
      </c>
      <c r="Q28" s="126">
        <v>0</v>
      </c>
      <c r="R28" s="124">
        <v>8.6699999999999999E-2</v>
      </c>
      <c r="S28" s="123">
        <v>1.1000000000000001</v>
      </c>
      <c r="T28" s="124">
        <v>2.6599999999999999E-2</v>
      </c>
      <c r="U28" s="124">
        <v>1.46E-2</v>
      </c>
      <c r="V28" s="124">
        <v>6.6699999999999995E-2</v>
      </c>
      <c r="W28" s="126">
        <v>0</v>
      </c>
      <c r="X28" s="123">
        <v>1.1000000000000001</v>
      </c>
      <c r="Y28" s="124">
        <v>2.18E-2</v>
      </c>
      <c r="Z28" s="124">
        <v>2.6200000000000001E-2</v>
      </c>
      <c r="AA28" s="126">
        <v>0</v>
      </c>
      <c r="AB28" s="124">
        <v>7.0800000000000002E-2</v>
      </c>
      <c r="AC28" s="123">
        <v>1.1000000000000001</v>
      </c>
      <c r="AD28" s="124">
        <v>2.92E-2</v>
      </c>
      <c r="AE28" s="124">
        <v>2.4199999999999999E-2</v>
      </c>
      <c r="AF28" s="124">
        <v>6.7500000000000004E-2</v>
      </c>
      <c r="AG28" s="124">
        <v>5.5800000000000002E-2</v>
      </c>
      <c r="AH28" s="123">
        <v>1.1000000000000001</v>
      </c>
      <c r="AI28" s="124">
        <v>2.3400000000000001E-2</v>
      </c>
      <c r="AJ28" s="124">
        <v>1.6899999999999998E-2</v>
      </c>
      <c r="AK28" s="124">
        <v>5.6500000000000002E-2</v>
      </c>
      <c r="AL28" s="124">
        <v>3.5000000000000003E-2</v>
      </c>
      <c r="AM28" s="123">
        <v>1.1000000000000001</v>
      </c>
      <c r="AN28" s="124">
        <v>2.2599999999999999E-2</v>
      </c>
      <c r="AO28" s="124">
        <v>2.12E-2</v>
      </c>
      <c r="AP28" s="124">
        <v>4.8099999999999997E-2</v>
      </c>
      <c r="AQ28" s="124">
        <v>5.2999999999999999E-2</v>
      </c>
      <c r="AR28" s="123">
        <v>1.1000000000000001</v>
      </c>
      <c r="AS28" s="124">
        <v>1.9400000000000001E-2</v>
      </c>
      <c r="AT28" s="124">
        <v>1.61E-2</v>
      </c>
      <c r="AU28" s="124">
        <v>4.4999999999999998E-2</v>
      </c>
      <c r="AV28" s="124">
        <v>3.7199999999999997E-2</v>
      </c>
      <c r="AW28" s="123">
        <v>1.1000000000000001</v>
      </c>
      <c r="AX28" s="124">
        <v>1.0200000000000001E-2</v>
      </c>
      <c r="AY28" s="124">
        <v>4.9200000000000001E-2</v>
      </c>
      <c r="AZ28" s="124">
        <v>5.74E-2</v>
      </c>
      <c r="BA28" s="124">
        <v>9.2999999999999999E-2</v>
      </c>
      <c r="BB28" s="123">
        <v>1.1000000000000001</v>
      </c>
      <c r="BC28" s="124">
        <v>4.2099999999999999E-2</v>
      </c>
      <c r="BD28" s="124">
        <v>9.4000000000000004E-3</v>
      </c>
      <c r="BE28" s="124">
        <v>7.7700000000000005E-2</v>
      </c>
      <c r="BF28" s="124">
        <v>4.48E-2</v>
      </c>
      <c r="BG28" s="112"/>
      <c r="BH28" s="112"/>
      <c r="BI28" s="112"/>
      <c r="BJ28" s="112"/>
      <c r="BK28" s="112"/>
      <c r="BL28" s="112"/>
      <c r="BM28" s="112"/>
      <c r="BN28" s="112"/>
    </row>
    <row r="29" spans="4:66" ht="15.5">
      <c r="D29" s="125">
        <v>1.1100000000000001</v>
      </c>
      <c r="E29" s="126">
        <v>4.02E-2</v>
      </c>
      <c r="F29" s="126">
        <v>3.2680000000000001E-2</v>
      </c>
      <c r="G29" s="126">
        <v>0</v>
      </c>
      <c r="H29" s="126">
        <v>0</v>
      </c>
      <c r="I29" s="125">
        <v>1.1100000000000001</v>
      </c>
      <c r="J29" s="126">
        <v>3.4979999999999997E-2</v>
      </c>
      <c r="K29" s="126">
        <v>2.2739999999999996E-2</v>
      </c>
      <c r="L29" s="126">
        <v>8.906E-2</v>
      </c>
      <c r="M29" s="126">
        <v>0</v>
      </c>
      <c r="N29" s="125">
        <v>1.1100000000000001</v>
      </c>
      <c r="O29" s="126">
        <v>3.168E-2</v>
      </c>
      <c r="P29" s="126">
        <v>3.108E-2</v>
      </c>
      <c r="Q29" s="126">
        <v>0</v>
      </c>
      <c r="R29" s="126">
        <v>8.6239999999999997E-2</v>
      </c>
      <c r="S29" s="125">
        <v>1.1100000000000001</v>
      </c>
      <c r="T29" s="126">
        <v>2.656E-2</v>
      </c>
      <c r="U29" s="126">
        <v>1.4299999999999998E-2</v>
      </c>
      <c r="V29" s="126">
        <v>6.6359999999999988E-2</v>
      </c>
      <c r="W29" s="126">
        <v>0</v>
      </c>
      <c r="X29" s="125">
        <v>1.1100000000000001</v>
      </c>
      <c r="Y29" s="126">
        <v>2.2160000000000003E-2</v>
      </c>
      <c r="Z29" s="126">
        <v>2.6120000000000001E-2</v>
      </c>
      <c r="AA29" s="126">
        <v>0</v>
      </c>
      <c r="AB29" s="126">
        <v>7.084E-2</v>
      </c>
      <c r="AC29" s="125">
        <v>1.1100000000000001</v>
      </c>
      <c r="AD29" s="126">
        <v>2.938E-2</v>
      </c>
      <c r="AE29" s="126">
        <v>2.3919999999999997E-2</v>
      </c>
      <c r="AF29" s="126">
        <v>6.7820000000000005E-2</v>
      </c>
      <c r="AG29" s="126">
        <v>5.5079999999999997E-2</v>
      </c>
      <c r="AH29" s="125">
        <v>1.1100000000000001</v>
      </c>
      <c r="AI29" s="126">
        <v>2.3439999999999999E-2</v>
      </c>
      <c r="AJ29" s="126">
        <v>1.6599999999999997E-2</v>
      </c>
      <c r="AK29" s="126">
        <v>5.6480000000000002E-2</v>
      </c>
      <c r="AL29" s="126">
        <v>3.4380000000000001E-2</v>
      </c>
      <c r="AM29" s="125">
        <v>1.1100000000000001</v>
      </c>
      <c r="AN29" s="126">
        <v>2.2839999999999999E-2</v>
      </c>
      <c r="AO29" s="126">
        <v>2.1079999999999998E-2</v>
      </c>
      <c r="AP29" s="126">
        <v>4.8620000000000003E-2</v>
      </c>
      <c r="AQ29" s="126">
        <v>5.262E-2</v>
      </c>
      <c r="AR29" s="125">
        <v>1.1100000000000001</v>
      </c>
      <c r="AS29" s="126">
        <v>1.9520000000000003E-2</v>
      </c>
      <c r="AT29" s="126">
        <v>1.5879999999999998E-2</v>
      </c>
      <c r="AU29" s="126">
        <v>4.5220000000000003E-2</v>
      </c>
      <c r="AV29" s="126">
        <v>3.6739999999999995E-2</v>
      </c>
      <c r="AW29" s="125">
        <v>1.1100000000000001</v>
      </c>
      <c r="AX29" s="126">
        <v>1.0200000000000001E-2</v>
      </c>
      <c r="AY29" s="126">
        <v>4.947E-2</v>
      </c>
      <c r="AZ29" s="126">
        <v>5.8020000000000002E-2</v>
      </c>
      <c r="BA29" s="126">
        <v>9.3700000000000006E-2</v>
      </c>
      <c r="BB29" s="125">
        <v>1.1100000000000001</v>
      </c>
      <c r="BC29" s="126">
        <v>4.1779999999999998E-2</v>
      </c>
      <c r="BD29" s="126">
        <v>9.3299999999999998E-3</v>
      </c>
      <c r="BE29" s="126">
        <v>7.7050000000000007E-2</v>
      </c>
      <c r="BF29" s="126">
        <v>4.3716999999999999E-2</v>
      </c>
      <c r="BG29" s="112"/>
      <c r="BH29" s="112"/>
      <c r="BI29" s="112"/>
      <c r="BJ29" s="112"/>
      <c r="BK29" s="112"/>
      <c r="BL29" s="112"/>
      <c r="BM29" s="112"/>
      <c r="BN29" s="112"/>
    </row>
    <row r="30" spans="4:66" ht="15.5">
      <c r="D30" s="125">
        <v>1.1200000000000001</v>
      </c>
      <c r="E30" s="126">
        <v>4.0500000000000001E-2</v>
      </c>
      <c r="F30" s="126">
        <v>3.236E-2</v>
      </c>
      <c r="G30" s="126">
        <v>0</v>
      </c>
      <c r="H30" s="126">
        <v>0</v>
      </c>
      <c r="I30" s="125">
        <v>1.1200000000000001</v>
      </c>
      <c r="J30" s="126">
        <v>3.5060000000000001E-2</v>
      </c>
      <c r="K30" s="126">
        <v>2.2379999999999997E-2</v>
      </c>
      <c r="L30" s="126">
        <v>8.8919999999999999E-2</v>
      </c>
      <c r="M30" s="126">
        <v>0</v>
      </c>
      <c r="N30" s="125">
        <v>1.1200000000000001</v>
      </c>
      <c r="O30" s="126">
        <v>3.2060000000000005E-2</v>
      </c>
      <c r="P30" s="126">
        <v>3.0859999999999999E-2</v>
      </c>
      <c r="Q30" s="126">
        <v>0</v>
      </c>
      <c r="R30" s="126">
        <v>8.5779999999999995E-2</v>
      </c>
      <c r="S30" s="125">
        <v>1.1200000000000001</v>
      </c>
      <c r="T30" s="126">
        <v>2.6519999999999998E-2</v>
      </c>
      <c r="U30" s="126">
        <v>1.3999999999999999E-2</v>
      </c>
      <c r="V30" s="126">
        <v>6.6019999999999995E-2</v>
      </c>
      <c r="W30" s="126">
        <v>0</v>
      </c>
      <c r="X30" s="125">
        <v>1.1200000000000001</v>
      </c>
      <c r="Y30" s="126">
        <v>2.2520000000000002E-2</v>
      </c>
      <c r="Z30" s="126">
        <v>2.6040000000000001E-2</v>
      </c>
      <c r="AA30" s="126">
        <v>0</v>
      </c>
      <c r="AB30" s="126">
        <v>7.0879999999999999E-2</v>
      </c>
      <c r="AC30" s="125">
        <v>1.1200000000000001</v>
      </c>
      <c r="AD30" s="126">
        <v>2.9559999999999999E-2</v>
      </c>
      <c r="AE30" s="126">
        <v>2.3639999999999998E-2</v>
      </c>
      <c r="AF30" s="126">
        <v>6.8140000000000006E-2</v>
      </c>
      <c r="AG30" s="126">
        <v>5.4359999999999999E-2</v>
      </c>
      <c r="AH30" s="125">
        <v>1.1200000000000001</v>
      </c>
      <c r="AI30" s="126">
        <v>2.3480000000000001E-2</v>
      </c>
      <c r="AJ30" s="126">
        <v>1.6299999999999995E-2</v>
      </c>
      <c r="AK30" s="126">
        <v>5.6460000000000003E-2</v>
      </c>
      <c r="AL30" s="126">
        <v>3.3759999999999998E-2</v>
      </c>
      <c r="AM30" s="125">
        <v>1.1200000000000001</v>
      </c>
      <c r="AN30" s="126">
        <v>2.3080000000000003E-2</v>
      </c>
      <c r="AO30" s="126">
        <v>2.0959999999999999E-2</v>
      </c>
      <c r="AP30" s="126">
        <v>4.9140000000000003E-2</v>
      </c>
      <c r="AQ30" s="126">
        <v>5.2239999999999995E-2</v>
      </c>
      <c r="AR30" s="125">
        <v>1.1200000000000001</v>
      </c>
      <c r="AS30" s="126">
        <v>1.9640000000000001E-2</v>
      </c>
      <c r="AT30" s="126">
        <v>1.5659999999999997E-2</v>
      </c>
      <c r="AU30" s="126">
        <v>4.5440000000000001E-2</v>
      </c>
      <c r="AV30" s="126">
        <v>3.6279999999999993E-2</v>
      </c>
      <c r="AW30" s="125">
        <v>1.1200000000000001</v>
      </c>
      <c r="AX30" s="126">
        <v>1.0200000000000001E-2</v>
      </c>
      <c r="AY30" s="126">
        <v>4.9739999999999999E-2</v>
      </c>
      <c r="AZ30" s="126">
        <v>5.8640000000000005E-2</v>
      </c>
      <c r="BA30" s="126">
        <v>9.4399999999999998E-2</v>
      </c>
      <c r="BB30" s="125">
        <v>1.1200000000000001</v>
      </c>
      <c r="BC30" s="126">
        <v>4.1459999999999997E-2</v>
      </c>
      <c r="BD30" s="126">
        <v>9.2599999999999991E-3</v>
      </c>
      <c r="BE30" s="126">
        <v>7.640000000000001E-2</v>
      </c>
      <c r="BF30" s="126">
        <v>4.2633999999999991E-2</v>
      </c>
      <c r="BG30" s="112"/>
      <c r="BH30" s="112"/>
      <c r="BI30" s="112"/>
      <c r="BJ30" s="112"/>
      <c r="BK30" s="112"/>
      <c r="BL30" s="112"/>
      <c r="BM30" s="112"/>
      <c r="BN30" s="112"/>
    </row>
    <row r="31" spans="4:66" ht="15.5">
      <c r="D31" s="125">
        <v>1.1299999999999999</v>
      </c>
      <c r="E31" s="126">
        <v>4.0799999999999996E-2</v>
      </c>
      <c r="F31" s="126">
        <v>3.2039999999999999E-2</v>
      </c>
      <c r="G31" s="126">
        <v>0</v>
      </c>
      <c r="H31" s="126">
        <v>0</v>
      </c>
      <c r="I31" s="125">
        <v>1.1299999999999999</v>
      </c>
      <c r="J31" s="126">
        <v>3.5139999999999998E-2</v>
      </c>
      <c r="K31" s="126">
        <v>2.2020000000000001E-2</v>
      </c>
      <c r="L31" s="126">
        <v>8.8779999999999998E-2</v>
      </c>
      <c r="M31" s="126">
        <v>0</v>
      </c>
      <c r="N31" s="125">
        <v>1.1299999999999999</v>
      </c>
      <c r="O31" s="126">
        <v>3.2439999999999997E-2</v>
      </c>
      <c r="P31" s="126">
        <v>3.0640000000000004E-2</v>
      </c>
      <c r="Q31" s="126">
        <v>0</v>
      </c>
      <c r="R31" s="126">
        <v>8.5320000000000007E-2</v>
      </c>
      <c r="S31" s="125">
        <v>1.1299999999999999</v>
      </c>
      <c r="T31" s="126">
        <v>2.648E-2</v>
      </c>
      <c r="U31" s="126">
        <v>1.3700000000000004E-2</v>
      </c>
      <c r="V31" s="126">
        <v>6.5680000000000002E-2</v>
      </c>
      <c r="W31" s="126">
        <v>0</v>
      </c>
      <c r="X31" s="125">
        <v>1.1299999999999999</v>
      </c>
      <c r="Y31" s="126">
        <v>2.2879999999999998E-2</v>
      </c>
      <c r="Z31" s="126">
        <v>2.596E-2</v>
      </c>
      <c r="AA31" s="126">
        <v>0</v>
      </c>
      <c r="AB31" s="126">
        <v>7.0919999999999997E-2</v>
      </c>
      <c r="AC31" s="125">
        <v>1.1299999999999999</v>
      </c>
      <c r="AD31" s="126">
        <v>2.9739999999999999E-2</v>
      </c>
      <c r="AE31" s="126">
        <v>2.3360000000000002E-2</v>
      </c>
      <c r="AF31" s="126">
        <v>6.8459999999999993E-2</v>
      </c>
      <c r="AG31" s="126">
        <v>5.3640000000000007E-2</v>
      </c>
      <c r="AH31" s="125">
        <v>1.1299999999999999</v>
      </c>
      <c r="AI31" s="126">
        <v>2.3519999999999999E-2</v>
      </c>
      <c r="AJ31" s="126">
        <v>1.6000000000000004E-2</v>
      </c>
      <c r="AK31" s="126">
        <v>5.6439999999999997E-2</v>
      </c>
      <c r="AL31" s="126">
        <v>3.3140000000000003E-2</v>
      </c>
      <c r="AM31" s="125">
        <v>1.1299999999999999</v>
      </c>
      <c r="AN31" s="126">
        <v>2.3319999999999997E-2</v>
      </c>
      <c r="AO31" s="126">
        <v>2.0840000000000001E-2</v>
      </c>
      <c r="AP31" s="126">
        <v>4.9659999999999996E-2</v>
      </c>
      <c r="AQ31" s="126">
        <v>5.1860000000000003E-2</v>
      </c>
      <c r="AR31" s="125">
        <v>1.1299999999999999</v>
      </c>
      <c r="AS31" s="126">
        <v>1.976E-2</v>
      </c>
      <c r="AT31" s="126">
        <v>1.5440000000000002E-2</v>
      </c>
      <c r="AU31" s="126">
        <v>4.5659999999999999E-2</v>
      </c>
      <c r="AV31" s="126">
        <v>3.5820000000000005E-2</v>
      </c>
      <c r="AW31" s="125">
        <v>1.1299999999999999</v>
      </c>
      <c r="AX31" s="126">
        <v>1.0200000000000001E-2</v>
      </c>
      <c r="AY31" s="126">
        <v>5.0009999999999999E-2</v>
      </c>
      <c r="AZ31" s="126">
        <v>5.9259999999999993E-2</v>
      </c>
      <c r="BA31" s="126">
        <v>9.509999999999999E-2</v>
      </c>
      <c r="BB31" s="125">
        <v>1.1299999999999999</v>
      </c>
      <c r="BC31" s="126">
        <v>4.1140000000000003E-2</v>
      </c>
      <c r="BD31" s="126">
        <v>9.190000000000002E-3</v>
      </c>
      <c r="BE31" s="126">
        <v>7.5750000000000012E-2</v>
      </c>
      <c r="BF31" s="126">
        <v>4.1551000000000018E-2</v>
      </c>
      <c r="BG31" s="112"/>
      <c r="BH31" s="112"/>
      <c r="BI31" s="112"/>
      <c r="BJ31" s="112"/>
      <c r="BK31" s="112"/>
      <c r="BL31" s="112"/>
      <c r="BM31" s="112"/>
      <c r="BN31" s="112"/>
    </row>
    <row r="32" spans="4:66" ht="15.5">
      <c r="D32" s="125">
        <v>1.1399999999999999</v>
      </c>
      <c r="E32" s="126">
        <v>4.1099999999999998E-2</v>
      </c>
      <c r="F32" s="126">
        <v>3.1719999999999998E-2</v>
      </c>
      <c r="G32" s="126">
        <v>0</v>
      </c>
      <c r="H32" s="126">
        <v>0</v>
      </c>
      <c r="I32" s="125">
        <v>1.1399999999999999</v>
      </c>
      <c r="J32" s="126">
        <v>3.5220000000000001E-2</v>
      </c>
      <c r="K32" s="126">
        <v>2.1660000000000002E-2</v>
      </c>
      <c r="L32" s="126">
        <v>8.8639999999999997E-2</v>
      </c>
      <c r="M32" s="126">
        <v>0</v>
      </c>
      <c r="N32" s="125">
        <v>1.1399999999999999</v>
      </c>
      <c r="O32" s="126">
        <v>3.2820000000000002E-2</v>
      </c>
      <c r="P32" s="126">
        <v>3.0420000000000003E-2</v>
      </c>
      <c r="Q32" s="126">
        <v>0</v>
      </c>
      <c r="R32" s="126">
        <v>8.4860000000000005E-2</v>
      </c>
      <c r="S32" s="125">
        <v>1.1399999999999999</v>
      </c>
      <c r="T32" s="126">
        <v>2.6439999999999998E-2</v>
      </c>
      <c r="U32" s="126">
        <v>1.3400000000000002E-2</v>
      </c>
      <c r="V32" s="126">
        <v>6.5340000000000009E-2</v>
      </c>
      <c r="W32" s="126">
        <v>0</v>
      </c>
      <c r="X32" s="125">
        <v>1.1399999999999999</v>
      </c>
      <c r="Y32" s="126">
        <v>2.3239999999999997E-2</v>
      </c>
      <c r="Z32" s="126">
        <v>2.588E-2</v>
      </c>
      <c r="AA32" s="126">
        <v>0</v>
      </c>
      <c r="AB32" s="126">
        <v>7.0959999999999995E-2</v>
      </c>
      <c r="AC32" s="125">
        <v>1.1399999999999999</v>
      </c>
      <c r="AD32" s="126">
        <v>2.9919999999999999E-2</v>
      </c>
      <c r="AE32" s="126">
        <v>2.3080000000000003E-2</v>
      </c>
      <c r="AF32" s="126">
        <v>6.8779999999999994E-2</v>
      </c>
      <c r="AG32" s="126">
        <v>5.2920000000000009E-2</v>
      </c>
      <c r="AH32" s="125">
        <v>1.1399999999999999</v>
      </c>
      <c r="AI32" s="126">
        <v>2.3560000000000001E-2</v>
      </c>
      <c r="AJ32" s="126">
        <v>1.5700000000000002E-2</v>
      </c>
      <c r="AK32" s="126">
        <v>5.6419999999999998E-2</v>
      </c>
      <c r="AL32" s="126">
        <v>3.252E-2</v>
      </c>
      <c r="AM32" s="125">
        <v>1.1399999999999999</v>
      </c>
      <c r="AN32" s="126">
        <v>2.3560000000000001E-2</v>
      </c>
      <c r="AO32" s="126">
        <v>2.0720000000000002E-2</v>
      </c>
      <c r="AP32" s="126">
        <v>5.0180000000000002E-2</v>
      </c>
      <c r="AQ32" s="126">
        <v>5.1479999999999998E-2</v>
      </c>
      <c r="AR32" s="125">
        <v>1.1399999999999999</v>
      </c>
      <c r="AS32" s="126">
        <v>1.9879999999999998E-2</v>
      </c>
      <c r="AT32" s="126">
        <v>1.5220000000000001E-2</v>
      </c>
      <c r="AU32" s="126">
        <v>4.5879999999999997E-2</v>
      </c>
      <c r="AV32" s="126">
        <v>3.5360000000000003E-2</v>
      </c>
      <c r="AW32" s="125">
        <v>1.1399999999999999</v>
      </c>
      <c r="AX32" s="126">
        <v>1.0200000000000001E-2</v>
      </c>
      <c r="AY32" s="126">
        <v>5.0279999999999998E-2</v>
      </c>
      <c r="AZ32" s="126">
        <v>5.9879999999999996E-2</v>
      </c>
      <c r="BA32" s="126">
        <v>9.5799999999999982E-2</v>
      </c>
      <c r="BB32" s="125">
        <v>1.1399999999999999</v>
      </c>
      <c r="BC32" s="126">
        <v>4.0820000000000002E-2</v>
      </c>
      <c r="BD32" s="126">
        <v>9.1200000000000014E-3</v>
      </c>
      <c r="BE32" s="126">
        <v>7.5100000000000014E-2</v>
      </c>
      <c r="BF32" s="126">
        <v>4.0468000000000011E-2</v>
      </c>
      <c r="BG32" s="112"/>
      <c r="BH32" s="112"/>
      <c r="BI32" s="112"/>
      <c r="BJ32" s="112"/>
      <c r="BK32" s="112"/>
      <c r="BL32" s="112"/>
      <c r="BM32" s="112"/>
      <c r="BN32" s="112"/>
    </row>
    <row r="33" spans="4:58" ht="15.5">
      <c r="D33" s="123">
        <v>1.1499999999999999</v>
      </c>
      <c r="E33" s="124">
        <v>4.1399999999999999E-2</v>
      </c>
      <c r="F33" s="124">
        <v>3.1399999999999997E-2</v>
      </c>
      <c r="G33" s="126">
        <v>0</v>
      </c>
      <c r="H33" s="126">
        <v>0</v>
      </c>
      <c r="I33" s="123">
        <v>1.1499999999999999</v>
      </c>
      <c r="J33" s="124">
        <v>3.5299999999999998E-2</v>
      </c>
      <c r="K33" s="124">
        <v>2.1299999999999999E-2</v>
      </c>
      <c r="L33" s="124">
        <v>8.8499999999999995E-2</v>
      </c>
      <c r="M33" s="126">
        <v>0</v>
      </c>
      <c r="N33" s="123">
        <v>1.1499999999999999</v>
      </c>
      <c r="O33" s="124">
        <v>3.32E-2</v>
      </c>
      <c r="P33" s="124">
        <v>3.0200000000000001E-2</v>
      </c>
      <c r="Q33" s="126">
        <v>0</v>
      </c>
      <c r="R33" s="124">
        <v>8.4400000000000003E-2</v>
      </c>
      <c r="S33" s="123">
        <v>1.1499999999999999</v>
      </c>
      <c r="T33" s="124">
        <v>2.64E-2</v>
      </c>
      <c r="U33" s="124">
        <v>1.3100000000000001E-2</v>
      </c>
      <c r="V33" s="124">
        <v>6.5000000000000002E-2</v>
      </c>
      <c r="W33" s="126">
        <v>0</v>
      </c>
      <c r="X33" s="123">
        <v>1.1499999999999999</v>
      </c>
      <c r="Y33" s="124">
        <v>2.3599999999999999E-2</v>
      </c>
      <c r="Z33" s="124">
        <v>2.58E-2</v>
      </c>
      <c r="AA33" s="126">
        <v>0</v>
      </c>
      <c r="AB33" s="124">
        <v>7.0999999999999994E-2</v>
      </c>
      <c r="AC33" s="123">
        <v>1.1499999999999999</v>
      </c>
      <c r="AD33" s="124">
        <v>3.0099999999999998E-2</v>
      </c>
      <c r="AE33" s="124">
        <v>2.2800000000000001E-2</v>
      </c>
      <c r="AF33" s="124">
        <v>6.9099999999999995E-2</v>
      </c>
      <c r="AG33" s="124">
        <v>5.2200000000000003E-2</v>
      </c>
      <c r="AH33" s="123">
        <v>1.1499999999999999</v>
      </c>
      <c r="AI33" s="124">
        <v>2.3599999999999999E-2</v>
      </c>
      <c r="AJ33" s="124">
        <v>1.54E-2</v>
      </c>
      <c r="AK33" s="124">
        <v>5.6399999999999999E-2</v>
      </c>
      <c r="AL33" s="124">
        <v>3.1899999999999998E-2</v>
      </c>
      <c r="AM33" s="123">
        <v>1.1499999999999999</v>
      </c>
      <c r="AN33" s="124">
        <v>2.3800000000000002E-2</v>
      </c>
      <c r="AO33" s="124">
        <v>2.06E-2</v>
      </c>
      <c r="AP33" s="124">
        <v>5.0700000000000002E-2</v>
      </c>
      <c r="AQ33" s="124">
        <v>5.11E-2</v>
      </c>
      <c r="AR33" s="123">
        <v>1.1499999999999999</v>
      </c>
      <c r="AS33" s="124">
        <v>0.02</v>
      </c>
      <c r="AT33" s="124">
        <v>1.4999999999999999E-2</v>
      </c>
      <c r="AU33" s="124">
        <v>4.6100000000000002E-2</v>
      </c>
      <c r="AV33" s="124">
        <v>3.49E-2</v>
      </c>
      <c r="AW33" s="123">
        <v>1.1499999999999999</v>
      </c>
      <c r="AX33" s="124">
        <v>1.0200000000000001E-2</v>
      </c>
      <c r="AY33" s="124">
        <v>5.0549999999999998E-2</v>
      </c>
      <c r="AZ33" s="124">
        <v>6.0499999999999998E-2</v>
      </c>
      <c r="BA33" s="124">
        <v>9.6499999999999989E-2</v>
      </c>
      <c r="BB33" s="123">
        <v>1.1499999999999999</v>
      </c>
      <c r="BC33" s="124">
        <v>4.0500000000000001E-2</v>
      </c>
      <c r="BD33" s="124">
        <v>9.0500000000000008E-3</v>
      </c>
      <c r="BE33" s="124">
        <v>7.4450000000000016E-2</v>
      </c>
      <c r="BF33" s="124">
        <v>3.938500000000001E-2</v>
      </c>
    </row>
    <row r="34" spans="4:58" ht="15.5">
      <c r="D34" s="125">
        <v>1.1599999999999999</v>
      </c>
      <c r="E34" s="126">
        <v>4.1680000000000002E-2</v>
      </c>
      <c r="F34" s="126">
        <v>3.1079999999999997E-2</v>
      </c>
      <c r="G34" s="126">
        <v>0</v>
      </c>
      <c r="H34" s="126">
        <v>0</v>
      </c>
      <c r="I34" s="125">
        <v>1.1599999999999999</v>
      </c>
      <c r="J34" s="126">
        <v>3.5380000000000002E-2</v>
      </c>
      <c r="K34" s="126">
        <v>2.0959999999999999E-2</v>
      </c>
      <c r="L34" s="126">
        <v>8.8239999999999999E-2</v>
      </c>
      <c r="M34" s="126">
        <v>0</v>
      </c>
      <c r="N34" s="125">
        <v>1.1599999999999999</v>
      </c>
      <c r="O34" s="126">
        <v>3.3520000000000001E-2</v>
      </c>
      <c r="P34" s="126">
        <v>3.0000000000000002E-2</v>
      </c>
      <c r="Q34" s="126">
        <v>0</v>
      </c>
      <c r="R34" s="126">
        <v>8.3920000000000008E-2</v>
      </c>
      <c r="S34" s="125">
        <v>1.1599999999999999</v>
      </c>
      <c r="T34" s="126">
        <v>2.6339999999999999E-2</v>
      </c>
      <c r="U34" s="126">
        <v>1.2840000000000001E-2</v>
      </c>
      <c r="V34" s="126">
        <v>6.4659999999999995E-2</v>
      </c>
      <c r="W34" s="126">
        <v>0</v>
      </c>
      <c r="X34" s="125">
        <v>1.1599999999999999</v>
      </c>
      <c r="Y34" s="126">
        <v>2.3959999999999999E-2</v>
      </c>
      <c r="Z34" s="126">
        <v>2.572E-2</v>
      </c>
      <c r="AA34" s="126">
        <v>0</v>
      </c>
      <c r="AB34" s="126">
        <v>7.0939999999999989E-2</v>
      </c>
      <c r="AC34" s="125">
        <v>1.1599999999999999</v>
      </c>
      <c r="AD34" s="126">
        <v>3.0259999999999999E-2</v>
      </c>
      <c r="AE34" s="126">
        <v>2.2520000000000002E-2</v>
      </c>
      <c r="AF34" s="126">
        <v>6.9339999999999999E-2</v>
      </c>
      <c r="AG34" s="126">
        <v>5.1520000000000003E-2</v>
      </c>
      <c r="AH34" s="125">
        <v>1.1599999999999999</v>
      </c>
      <c r="AI34" s="126">
        <v>2.3599999999999999E-2</v>
      </c>
      <c r="AJ34" s="126">
        <v>1.516E-2</v>
      </c>
      <c r="AK34" s="126">
        <v>5.6320000000000002E-2</v>
      </c>
      <c r="AL34" s="126">
        <v>3.1359999999999999E-2</v>
      </c>
      <c r="AM34" s="125">
        <v>1.1599999999999999</v>
      </c>
      <c r="AN34" s="126">
        <v>2.402E-2</v>
      </c>
      <c r="AO34" s="126">
        <v>2.044E-2</v>
      </c>
      <c r="AP34" s="126">
        <v>5.1160000000000004E-2</v>
      </c>
      <c r="AQ34" s="126">
        <v>5.0700000000000002E-2</v>
      </c>
      <c r="AR34" s="125">
        <v>1.1599999999999999</v>
      </c>
      <c r="AS34" s="126">
        <v>2.0080000000000001E-2</v>
      </c>
      <c r="AT34" s="126">
        <v>1.4839999999999999E-2</v>
      </c>
      <c r="AU34" s="126">
        <v>4.6240000000000003E-2</v>
      </c>
      <c r="AV34" s="126">
        <v>3.4419999999999999E-2</v>
      </c>
      <c r="AW34" s="125">
        <v>1.1599999999999999</v>
      </c>
      <c r="AX34" s="126">
        <v>1.0200000000000001E-2</v>
      </c>
      <c r="AY34" s="126">
        <v>5.0819999999999997E-2</v>
      </c>
      <c r="AZ34" s="126">
        <v>6.1120000000000001E-2</v>
      </c>
      <c r="BA34" s="126">
        <v>9.7199999999999995E-2</v>
      </c>
      <c r="BB34" s="125">
        <v>1.1599999999999999</v>
      </c>
      <c r="BC34" s="126">
        <v>4.018E-2</v>
      </c>
      <c r="BD34" s="126">
        <v>8.9800000000000001E-3</v>
      </c>
      <c r="BE34" s="126">
        <v>7.3800000000000018E-2</v>
      </c>
      <c r="BF34" s="126">
        <v>3.830200000000001E-2</v>
      </c>
    </row>
    <row r="35" spans="4:58" ht="15.5">
      <c r="D35" s="125">
        <v>1.17</v>
      </c>
      <c r="E35" s="126">
        <v>4.1959999999999997E-2</v>
      </c>
      <c r="F35" s="126">
        <v>3.0759999999999999E-2</v>
      </c>
      <c r="G35" s="126">
        <v>0</v>
      </c>
      <c r="H35" s="126">
        <v>0</v>
      </c>
      <c r="I35" s="125">
        <v>1.17</v>
      </c>
      <c r="J35" s="126">
        <v>3.5459999999999998E-2</v>
      </c>
      <c r="K35" s="126">
        <v>2.0619999999999999E-2</v>
      </c>
      <c r="L35" s="126">
        <v>8.7980000000000003E-2</v>
      </c>
      <c r="M35" s="126">
        <v>0</v>
      </c>
      <c r="N35" s="125">
        <v>1.17</v>
      </c>
      <c r="O35" s="126">
        <v>3.3840000000000002E-2</v>
      </c>
      <c r="P35" s="126">
        <v>2.98E-2</v>
      </c>
      <c r="Q35" s="126">
        <v>0</v>
      </c>
      <c r="R35" s="126">
        <v>8.344E-2</v>
      </c>
      <c r="S35" s="125">
        <v>1.17</v>
      </c>
      <c r="T35" s="126">
        <v>2.6280000000000001E-2</v>
      </c>
      <c r="U35" s="126">
        <v>1.2580000000000001E-2</v>
      </c>
      <c r="V35" s="126">
        <v>6.4320000000000002E-2</v>
      </c>
      <c r="W35" s="126">
        <v>0</v>
      </c>
      <c r="X35" s="125">
        <v>1.17</v>
      </c>
      <c r="Y35" s="126">
        <v>2.4319999999999998E-2</v>
      </c>
      <c r="Z35" s="126">
        <v>2.564E-2</v>
      </c>
      <c r="AA35" s="126">
        <v>0</v>
      </c>
      <c r="AB35" s="126">
        <v>7.0879999999999999E-2</v>
      </c>
      <c r="AC35" s="125">
        <v>1.17</v>
      </c>
      <c r="AD35" s="126">
        <v>3.0419999999999999E-2</v>
      </c>
      <c r="AE35" s="126">
        <v>2.2239999999999999E-2</v>
      </c>
      <c r="AF35" s="126">
        <v>6.9580000000000003E-2</v>
      </c>
      <c r="AG35" s="126">
        <v>5.0840000000000003E-2</v>
      </c>
      <c r="AH35" s="125">
        <v>1.17</v>
      </c>
      <c r="AI35" s="126">
        <v>2.3599999999999999E-2</v>
      </c>
      <c r="AJ35" s="126">
        <v>1.4920000000000001E-2</v>
      </c>
      <c r="AK35" s="126">
        <v>5.6239999999999998E-2</v>
      </c>
      <c r="AL35" s="126">
        <v>3.082E-2</v>
      </c>
      <c r="AM35" s="125">
        <v>1.17</v>
      </c>
      <c r="AN35" s="126">
        <v>2.4240000000000001E-2</v>
      </c>
      <c r="AO35" s="126">
        <v>2.0279999999999999E-2</v>
      </c>
      <c r="AP35" s="126">
        <v>5.1619999999999999E-2</v>
      </c>
      <c r="AQ35" s="126">
        <v>5.0299999999999997E-2</v>
      </c>
      <c r="AR35" s="125">
        <v>1.17</v>
      </c>
      <c r="AS35" s="126">
        <v>2.0160000000000001E-2</v>
      </c>
      <c r="AT35" s="126">
        <v>1.468E-2</v>
      </c>
      <c r="AU35" s="126">
        <v>4.6380000000000005E-2</v>
      </c>
      <c r="AV35" s="126">
        <v>3.3939999999999998E-2</v>
      </c>
      <c r="AW35" s="125">
        <v>1.17</v>
      </c>
      <c r="AX35" s="126">
        <v>1.0200000000000001E-2</v>
      </c>
      <c r="AY35" s="126">
        <v>5.1089999999999997E-2</v>
      </c>
      <c r="AZ35" s="126">
        <v>6.1740000000000003E-2</v>
      </c>
      <c r="BA35" s="126">
        <v>9.7900000000000001E-2</v>
      </c>
      <c r="BB35" s="125">
        <v>1.17</v>
      </c>
      <c r="BC35" s="126">
        <v>3.986E-2</v>
      </c>
      <c r="BD35" s="126">
        <v>8.9099999999999995E-3</v>
      </c>
      <c r="BE35" s="126">
        <v>7.3150000000000007E-2</v>
      </c>
      <c r="BF35" s="126">
        <v>3.7219000000000009E-2</v>
      </c>
    </row>
    <row r="36" spans="4:58" ht="15.5">
      <c r="D36" s="125">
        <v>1.18</v>
      </c>
      <c r="E36" s="126">
        <v>4.224E-2</v>
      </c>
      <c r="F36" s="126">
        <v>3.0439999999999998E-2</v>
      </c>
      <c r="G36" s="126">
        <v>0</v>
      </c>
      <c r="H36" s="126">
        <v>0</v>
      </c>
      <c r="I36" s="125">
        <v>1.18</v>
      </c>
      <c r="J36" s="126">
        <v>3.5540000000000002E-2</v>
      </c>
      <c r="K36" s="126">
        <v>2.0279999999999999E-2</v>
      </c>
      <c r="L36" s="126">
        <v>8.7719999999999992E-2</v>
      </c>
      <c r="M36" s="126">
        <v>0</v>
      </c>
      <c r="N36" s="125">
        <v>1.18</v>
      </c>
      <c r="O36" s="126">
        <v>3.4159999999999996E-2</v>
      </c>
      <c r="P36" s="126">
        <v>2.9600000000000001E-2</v>
      </c>
      <c r="Q36" s="126">
        <v>0</v>
      </c>
      <c r="R36" s="126">
        <v>8.2960000000000006E-2</v>
      </c>
      <c r="S36" s="125">
        <v>1.18</v>
      </c>
      <c r="T36" s="126">
        <v>2.622E-2</v>
      </c>
      <c r="U36" s="126">
        <v>1.2319999999999999E-2</v>
      </c>
      <c r="V36" s="126">
        <v>6.3979999999999995E-2</v>
      </c>
      <c r="W36" s="126">
        <v>0</v>
      </c>
      <c r="X36" s="125">
        <v>1.18</v>
      </c>
      <c r="Y36" s="126">
        <v>2.4680000000000001E-2</v>
      </c>
      <c r="Z36" s="126">
        <v>2.5559999999999999E-2</v>
      </c>
      <c r="AA36" s="126">
        <v>0</v>
      </c>
      <c r="AB36" s="126">
        <v>7.0819999999999994E-2</v>
      </c>
      <c r="AC36" s="125">
        <v>1.18</v>
      </c>
      <c r="AD36" s="126">
        <v>3.058E-2</v>
      </c>
      <c r="AE36" s="126">
        <v>2.196E-2</v>
      </c>
      <c r="AF36" s="126">
        <v>6.9819999999999993E-2</v>
      </c>
      <c r="AG36" s="126">
        <v>5.0160000000000003E-2</v>
      </c>
      <c r="AH36" s="125">
        <v>1.18</v>
      </c>
      <c r="AI36" s="126">
        <v>2.3599999999999999E-2</v>
      </c>
      <c r="AJ36" s="126">
        <v>1.468E-2</v>
      </c>
      <c r="AK36" s="126">
        <v>5.6160000000000002E-2</v>
      </c>
      <c r="AL36" s="126">
        <v>3.0279999999999998E-2</v>
      </c>
      <c r="AM36" s="125">
        <v>1.18</v>
      </c>
      <c r="AN36" s="126">
        <v>2.4459999999999999E-2</v>
      </c>
      <c r="AO36" s="126">
        <v>2.0120000000000002E-2</v>
      </c>
      <c r="AP36" s="126">
        <v>5.2080000000000001E-2</v>
      </c>
      <c r="AQ36" s="126">
        <v>4.99E-2</v>
      </c>
      <c r="AR36" s="125">
        <v>1.18</v>
      </c>
      <c r="AS36" s="126">
        <v>2.0240000000000001E-2</v>
      </c>
      <c r="AT36" s="126">
        <v>1.452E-2</v>
      </c>
      <c r="AU36" s="126">
        <v>4.6519999999999999E-2</v>
      </c>
      <c r="AV36" s="126">
        <v>3.3460000000000004E-2</v>
      </c>
      <c r="AW36" s="125">
        <v>1.18</v>
      </c>
      <c r="AX36" s="126">
        <v>1.0200000000000001E-2</v>
      </c>
      <c r="AY36" s="126">
        <v>5.1360000000000003E-2</v>
      </c>
      <c r="AZ36" s="126">
        <v>6.2359999999999999E-2</v>
      </c>
      <c r="BA36" s="126">
        <v>9.8599999999999993E-2</v>
      </c>
      <c r="BB36" s="125">
        <v>1.18</v>
      </c>
      <c r="BC36" s="126">
        <v>3.9539999999999999E-2</v>
      </c>
      <c r="BD36" s="126">
        <v>8.8400000000000006E-3</v>
      </c>
      <c r="BE36" s="126">
        <v>7.2500000000000009E-2</v>
      </c>
      <c r="BF36" s="126">
        <v>3.6136000000000001E-2</v>
      </c>
    </row>
    <row r="37" spans="4:58" ht="15.5">
      <c r="D37" s="125">
        <v>1.19</v>
      </c>
      <c r="E37" s="126">
        <v>4.2519999999999995E-2</v>
      </c>
      <c r="F37" s="126">
        <v>3.0120000000000001E-2</v>
      </c>
      <c r="G37" s="126">
        <v>0</v>
      </c>
      <c r="H37" s="126">
        <v>0</v>
      </c>
      <c r="I37" s="125">
        <v>1.19</v>
      </c>
      <c r="J37" s="126">
        <v>3.5619999999999999E-2</v>
      </c>
      <c r="K37" s="126">
        <v>1.9939999999999999E-2</v>
      </c>
      <c r="L37" s="126">
        <v>8.7459999999999996E-2</v>
      </c>
      <c r="M37" s="126">
        <v>0</v>
      </c>
      <c r="N37" s="125">
        <v>1.19</v>
      </c>
      <c r="O37" s="126">
        <v>3.4479999999999997E-2</v>
      </c>
      <c r="P37" s="126">
        <v>2.9399999999999999E-2</v>
      </c>
      <c r="Q37" s="126">
        <v>0</v>
      </c>
      <c r="R37" s="126">
        <v>8.2479999999999998E-2</v>
      </c>
      <c r="S37" s="125">
        <v>1.19</v>
      </c>
      <c r="T37" s="126">
        <v>2.6160000000000003E-2</v>
      </c>
      <c r="U37" s="126">
        <v>1.206E-2</v>
      </c>
      <c r="V37" s="126">
        <v>6.3640000000000002E-2</v>
      </c>
      <c r="W37" s="126">
        <v>0</v>
      </c>
      <c r="X37" s="125">
        <v>1.19</v>
      </c>
      <c r="Y37" s="126">
        <v>2.504E-2</v>
      </c>
      <c r="Z37" s="126">
        <v>2.5479999999999999E-2</v>
      </c>
      <c r="AA37" s="126">
        <v>0</v>
      </c>
      <c r="AB37" s="126">
        <v>7.0760000000000003E-2</v>
      </c>
      <c r="AC37" s="125">
        <v>1.19</v>
      </c>
      <c r="AD37" s="126">
        <v>3.074E-2</v>
      </c>
      <c r="AE37" s="126">
        <v>2.1679999999999998E-2</v>
      </c>
      <c r="AF37" s="126">
        <v>7.0059999999999997E-2</v>
      </c>
      <c r="AG37" s="126">
        <v>4.9480000000000003E-2</v>
      </c>
      <c r="AH37" s="125">
        <v>1.19</v>
      </c>
      <c r="AI37" s="126">
        <v>2.3599999999999999E-2</v>
      </c>
      <c r="AJ37" s="126">
        <v>1.4440000000000001E-2</v>
      </c>
      <c r="AK37" s="126">
        <v>5.6079999999999998E-2</v>
      </c>
      <c r="AL37" s="126">
        <v>2.9739999999999999E-2</v>
      </c>
      <c r="AM37" s="125">
        <v>1.19</v>
      </c>
      <c r="AN37" s="126">
        <v>2.4680000000000001E-2</v>
      </c>
      <c r="AO37" s="126">
        <v>1.9960000000000002E-2</v>
      </c>
      <c r="AP37" s="126">
        <v>5.2539999999999996E-2</v>
      </c>
      <c r="AQ37" s="126">
        <v>4.9499999999999995E-2</v>
      </c>
      <c r="AR37" s="125">
        <v>1.19</v>
      </c>
      <c r="AS37" s="126">
        <v>2.0320000000000001E-2</v>
      </c>
      <c r="AT37" s="126">
        <v>1.4360000000000001E-2</v>
      </c>
      <c r="AU37" s="126">
        <v>4.666E-2</v>
      </c>
      <c r="AV37" s="126">
        <v>3.2980000000000002E-2</v>
      </c>
      <c r="AW37" s="125">
        <v>1.19</v>
      </c>
      <c r="AX37" s="126">
        <v>1.0200000000000001E-2</v>
      </c>
      <c r="AY37" s="126">
        <v>5.1630000000000002E-2</v>
      </c>
      <c r="AZ37" s="126">
        <v>6.2980000000000008E-2</v>
      </c>
      <c r="BA37" s="126">
        <v>9.9299999999999999E-2</v>
      </c>
      <c r="BB37" s="125">
        <v>1.19</v>
      </c>
      <c r="BC37" s="126">
        <v>3.9219999999999998E-2</v>
      </c>
      <c r="BD37" s="126">
        <v>8.77E-3</v>
      </c>
      <c r="BE37" s="126">
        <v>7.1849999999999997E-2</v>
      </c>
      <c r="BF37" s="126">
        <v>3.5053000000000001E-2</v>
      </c>
    </row>
    <row r="38" spans="4:58" ht="15.5">
      <c r="D38" s="123">
        <v>1.2</v>
      </c>
      <c r="E38" s="124">
        <v>4.2799999999999998E-2</v>
      </c>
      <c r="F38" s="124">
        <v>2.98E-2</v>
      </c>
      <c r="G38" s="126">
        <v>0</v>
      </c>
      <c r="H38" s="126">
        <v>0</v>
      </c>
      <c r="I38" s="123">
        <v>1.2</v>
      </c>
      <c r="J38" s="124">
        <v>3.5700000000000003E-2</v>
      </c>
      <c r="K38" s="124">
        <v>1.9599999999999999E-2</v>
      </c>
      <c r="L38" s="124">
        <v>8.72E-2</v>
      </c>
      <c r="M38" s="126">
        <v>0</v>
      </c>
      <c r="N38" s="123">
        <v>1.2</v>
      </c>
      <c r="O38" s="124">
        <v>3.4799999999999998E-2</v>
      </c>
      <c r="P38" s="124">
        <v>2.92E-2</v>
      </c>
      <c r="Q38" s="126">
        <v>0</v>
      </c>
      <c r="R38" s="124">
        <v>8.2000000000000003E-2</v>
      </c>
      <c r="S38" s="123">
        <v>1.2</v>
      </c>
      <c r="T38" s="124">
        <v>2.6100000000000002E-2</v>
      </c>
      <c r="U38" s="124">
        <v>1.18E-2</v>
      </c>
      <c r="V38" s="124">
        <v>6.3299999999999995E-2</v>
      </c>
      <c r="W38" s="126">
        <v>0</v>
      </c>
      <c r="X38" s="123">
        <v>1.2</v>
      </c>
      <c r="Y38" s="124">
        <v>2.5399999999999999E-2</v>
      </c>
      <c r="Z38" s="124">
        <v>2.5399999999999999E-2</v>
      </c>
      <c r="AA38" s="126">
        <v>0</v>
      </c>
      <c r="AB38" s="124">
        <v>7.0699999999999999E-2</v>
      </c>
      <c r="AC38" s="123">
        <v>1.2</v>
      </c>
      <c r="AD38" s="124">
        <v>3.09E-2</v>
      </c>
      <c r="AE38" s="124">
        <v>2.1399999999999999E-2</v>
      </c>
      <c r="AF38" s="124">
        <v>7.0300000000000001E-2</v>
      </c>
      <c r="AG38" s="124">
        <v>4.8800000000000003E-2</v>
      </c>
      <c r="AH38" s="123">
        <v>1.2</v>
      </c>
      <c r="AI38" s="124">
        <v>2.3599999999999999E-2</v>
      </c>
      <c r="AJ38" s="124">
        <v>1.4200000000000001E-2</v>
      </c>
      <c r="AK38" s="124">
        <v>5.6000000000000001E-2</v>
      </c>
      <c r="AL38" s="124">
        <v>2.92E-2</v>
      </c>
      <c r="AM38" s="123">
        <v>1.2</v>
      </c>
      <c r="AN38" s="124">
        <v>2.4899999999999999E-2</v>
      </c>
      <c r="AO38" s="124">
        <v>1.9800000000000002E-2</v>
      </c>
      <c r="AP38" s="124">
        <v>5.2999999999999999E-2</v>
      </c>
      <c r="AQ38" s="124">
        <v>4.9099999999999998E-2</v>
      </c>
      <c r="AR38" s="123">
        <v>1.2</v>
      </c>
      <c r="AS38" s="124">
        <v>2.0400000000000001E-2</v>
      </c>
      <c r="AT38" s="124">
        <v>1.4200000000000001E-2</v>
      </c>
      <c r="AU38" s="124">
        <v>4.6800000000000001E-2</v>
      </c>
      <c r="AV38" s="124">
        <v>3.2500000000000001E-2</v>
      </c>
      <c r="AW38" s="123">
        <v>1.2</v>
      </c>
      <c r="AX38" s="124">
        <v>1.0200000000000001E-2</v>
      </c>
      <c r="AY38" s="124">
        <v>5.1900000000000002E-2</v>
      </c>
      <c r="AZ38" s="124">
        <v>6.3600000000000004E-2</v>
      </c>
      <c r="BA38" s="124">
        <v>0.1</v>
      </c>
      <c r="BB38" s="123">
        <v>1.2</v>
      </c>
      <c r="BC38" s="124">
        <v>3.8899999999999997E-2</v>
      </c>
      <c r="BD38" s="124">
        <v>8.6999999999999994E-3</v>
      </c>
      <c r="BE38" s="124">
        <v>7.1199999999999999E-2</v>
      </c>
      <c r="BF38" s="124">
        <v>3.397E-2</v>
      </c>
    </row>
    <row r="39" spans="4:58" ht="15.5">
      <c r="D39" s="125">
        <v>1.21</v>
      </c>
      <c r="E39" s="126">
        <v>4.3039999999999995E-2</v>
      </c>
      <c r="F39" s="126">
        <v>2.9479999999999999E-2</v>
      </c>
      <c r="G39" s="126">
        <v>0</v>
      </c>
      <c r="H39" s="126">
        <v>0</v>
      </c>
      <c r="I39" s="125">
        <v>1.21</v>
      </c>
      <c r="J39" s="126">
        <v>3.5740000000000001E-2</v>
      </c>
      <c r="K39" s="126">
        <v>1.9259999999999999E-2</v>
      </c>
      <c r="L39" s="126">
        <v>8.6940000000000003E-2</v>
      </c>
      <c r="M39" s="126">
        <v>0</v>
      </c>
      <c r="N39" s="125">
        <v>1.21</v>
      </c>
      <c r="O39" s="126">
        <v>3.5099999999999999E-2</v>
      </c>
      <c r="P39" s="126">
        <v>2.896E-2</v>
      </c>
      <c r="Q39" s="126">
        <v>0</v>
      </c>
      <c r="R39" s="126">
        <v>8.1420000000000006E-2</v>
      </c>
      <c r="S39" s="125">
        <v>1.21</v>
      </c>
      <c r="T39" s="126">
        <v>2.6020000000000001E-2</v>
      </c>
      <c r="U39" s="126">
        <v>1.1559999999999999E-2</v>
      </c>
      <c r="V39" s="126">
        <v>6.2960000000000002E-2</v>
      </c>
      <c r="W39" s="126">
        <v>0</v>
      </c>
      <c r="X39" s="125">
        <v>1.21</v>
      </c>
      <c r="Y39" s="126">
        <v>2.5739999999999999E-2</v>
      </c>
      <c r="Z39" s="126">
        <v>2.528E-2</v>
      </c>
      <c r="AA39" s="126">
        <v>0</v>
      </c>
      <c r="AB39" s="126">
        <v>7.0559999999999998E-2</v>
      </c>
      <c r="AC39" s="125">
        <v>1.21</v>
      </c>
      <c r="AD39" s="126">
        <v>3.1E-2</v>
      </c>
      <c r="AE39" s="126">
        <v>2.1159999999999998E-2</v>
      </c>
      <c r="AF39" s="126">
        <v>7.0440000000000003E-2</v>
      </c>
      <c r="AG39" s="126">
        <v>4.8120000000000003E-2</v>
      </c>
      <c r="AH39" s="125">
        <v>1.21</v>
      </c>
      <c r="AI39" s="126">
        <v>2.3599999999999999E-2</v>
      </c>
      <c r="AJ39" s="126">
        <v>1.4E-2</v>
      </c>
      <c r="AK39" s="126">
        <v>5.5840000000000001E-2</v>
      </c>
      <c r="AL39" s="126">
        <v>2.87E-2</v>
      </c>
      <c r="AM39" s="125">
        <v>1.21</v>
      </c>
      <c r="AN39" s="126">
        <v>2.5079999999999998E-2</v>
      </c>
      <c r="AO39" s="126">
        <v>1.9620000000000002E-2</v>
      </c>
      <c r="AP39" s="126">
        <v>5.3379999999999997E-2</v>
      </c>
      <c r="AQ39" s="126">
        <v>4.8680000000000001E-2</v>
      </c>
      <c r="AR39" s="125">
        <v>1.21</v>
      </c>
      <c r="AS39" s="126">
        <v>2.0460000000000002E-2</v>
      </c>
      <c r="AT39" s="126">
        <v>1.4020000000000001E-2</v>
      </c>
      <c r="AU39" s="126">
        <v>4.6900000000000004E-2</v>
      </c>
      <c r="AV39" s="126">
        <v>3.2059999999999998E-2</v>
      </c>
      <c r="AW39" s="125">
        <v>1.21</v>
      </c>
      <c r="AX39" s="126">
        <v>1.0180000000000002E-2</v>
      </c>
      <c r="AY39" s="126">
        <v>5.2110000000000004E-2</v>
      </c>
      <c r="AZ39" s="126">
        <v>6.4240000000000005E-2</v>
      </c>
      <c r="BA39" s="126">
        <v>0.10062</v>
      </c>
      <c r="BB39" s="125">
        <v>1.21</v>
      </c>
      <c r="BC39" s="126">
        <v>3.8629999999999998E-2</v>
      </c>
      <c r="BD39" s="126">
        <v>8.6199999999999992E-3</v>
      </c>
      <c r="BE39" s="126">
        <v>7.0660000000000001E-2</v>
      </c>
      <c r="BF39" s="126">
        <v>3.4112999999999997E-2</v>
      </c>
    </row>
    <row r="40" spans="4:58" ht="15.5">
      <c r="D40" s="125">
        <v>1.22</v>
      </c>
      <c r="E40" s="126">
        <v>4.3279999999999999E-2</v>
      </c>
      <c r="F40" s="126">
        <v>2.9159999999999998E-2</v>
      </c>
      <c r="G40" s="126">
        <v>0</v>
      </c>
      <c r="H40" s="126">
        <v>0</v>
      </c>
      <c r="I40" s="125">
        <v>1.22</v>
      </c>
      <c r="J40" s="126">
        <v>3.5779999999999999E-2</v>
      </c>
      <c r="K40" s="126">
        <v>1.8919999999999999E-2</v>
      </c>
      <c r="L40" s="126">
        <v>8.6680000000000007E-2</v>
      </c>
      <c r="M40" s="126">
        <v>0</v>
      </c>
      <c r="N40" s="125">
        <v>1.22</v>
      </c>
      <c r="O40" s="126">
        <v>3.5400000000000001E-2</v>
      </c>
      <c r="P40" s="126">
        <v>2.8719999999999999E-2</v>
      </c>
      <c r="Q40" s="126">
        <v>0</v>
      </c>
      <c r="R40" s="126">
        <v>8.0840000000000009E-2</v>
      </c>
      <c r="S40" s="125">
        <v>1.22</v>
      </c>
      <c r="T40" s="126">
        <v>2.5940000000000001E-2</v>
      </c>
      <c r="U40" s="126">
        <v>1.132E-2</v>
      </c>
      <c r="V40" s="126">
        <v>6.2619999999999995E-2</v>
      </c>
      <c r="W40" s="126">
        <v>0</v>
      </c>
      <c r="X40" s="125">
        <v>1.22</v>
      </c>
      <c r="Y40" s="126">
        <v>2.6079999999999999E-2</v>
      </c>
      <c r="Z40" s="126">
        <v>2.5159999999999998E-2</v>
      </c>
      <c r="AA40" s="126">
        <v>0</v>
      </c>
      <c r="AB40" s="126">
        <v>7.0419999999999996E-2</v>
      </c>
      <c r="AC40" s="125">
        <v>1.22</v>
      </c>
      <c r="AD40" s="126">
        <v>3.1099999999999999E-2</v>
      </c>
      <c r="AE40" s="126">
        <v>2.0919999999999998E-2</v>
      </c>
      <c r="AF40" s="126">
        <v>7.0580000000000004E-2</v>
      </c>
      <c r="AG40" s="126">
        <v>4.7440000000000003E-2</v>
      </c>
      <c r="AH40" s="125">
        <v>1.22</v>
      </c>
      <c r="AI40" s="126">
        <v>2.3599999999999999E-2</v>
      </c>
      <c r="AJ40" s="126">
        <v>1.38E-2</v>
      </c>
      <c r="AK40" s="126">
        <v>5.568E-2</v>
      </c>
      <c r="AL40" s="126">
        <v>2.8199999999999999E-2</v>
      </c>
      <c r="AM40" s="125">
        <v>1.22</v>
      </c>
      <c r="AN40" s="126">
        <v>2.5259999999999998E-2</v>
      </c>
      <c r="AO40" s="126">
        <v>1.9440000000000002E-2</v>
      </c>
      <c r="AP40" s="126">
        <v>5.3759999999999995E-2</v>
      </c>
      <c r="AQ40" s="126">
        <v>4.8259999999999997E-2</v>
      </c>
      <c r="AR40" s="125">
        <v>1.22</v>
      </c>
      <c r="AS40" s="126">
        <v>2.052E-2</v>
      </c>
      <c r="AT40" s="126">
        <v>1.384E-2</v>
      </c>
      <c r="AU40" s="126">
        <v>4.7E-2</v>
      </c>
      <c r="AV40" s="126">
        <v>3.1620000000000002E-2</v>
      </c>
      <c r="AW40" s="125">
        <v>1.22</v>
      </c>
      <c r="AX40" s="126">
        <v>1.0160000000000001E-2</v>
      </c>
      <c r="AY40" s="126">
        <v>5.2319999999999998E-2</v>
      </c>
      <c r="AZ40" s="126">
        <v>6.4880000000000007E-2</v>
      </c>
      <c r="BA40" s="126">
        <v>0.10124</v>
      </c>
      <c r="BB40" s="125">
        <v>1.22</v>
      </c>
      <c r="BC40" s="126">
        <v>3.8359999999999998E-2</v>
      </c>
      <c r="BD40" s="126">
        <v>8.539999999999999E-3</v>
      </c>
      <c r="BE40" s="126">
        <v>7.0120000000000002E-2</v>
      </c>
      <c r="BF40" s="126">
        <v>3.4256000000000002E-2</v>
      </c>
    </row>
    <row r="41" spans="4:58" ht="15.5">
      <c r="D41" s="125">
        <v>1.23</v>
      </c>
      <c r="E41" s="126">
        <v>4.3519999999999996E-2</v>
      </c>
      <c r="F41" s="126">
        <v>2.8840000000000001E-2</v>
      </c>
      <c r="G41" s="126">
        <v>0</v>
      </c>
      <c r="H41" s="126">
        <v>0</v>
      </c>
      <c r="I41" s="125">
        <v>1.23</v>
      </c>
      <c r="J41" s="126">
        <v>3.5820000000000005E-2</v>
      </c>
      <c r="K41" s="126">
        <v>1.8579999999999999E-2</v>
      </c>
      <c r="L41" s="126">
        <v>8.6419999999999997E-2</v>
      </c>
      <c r="M41" s="126">
        <v>0</v>
      </c>
      <c r="N41" s="125">
        <v>1.23</v>
      </c>
      <c r="O41" s="126">
        <v>3.5699999999999996E-2</v>
      </c>
      <c r="P41" s="126">
        <v>2.8480000000000002E-2</v>
      </c>
      <c r="Q41" s="126">
        <v>0</v>
      </c>
      <c r="R41" s="126">
        <v>8.0259999999999998E-2</v>
      </c>
      <c r="S41" s="125">
        <v>1.23</v>
      </c>
      <c r="T41" s="126">
        <v>2.5860000000000001E-2</v>
      </c>
      <c r="U41" s="126">
        <v>1.108E-2</v>
      </c>
      <c r="V41" s="126">
        <v>6.2280000000000002E-2</v>
      </c>
      <c r="W41" s="126">
        <v>0</v>
      </c>
      <c r="X41" s="125">
        <v>1.23</v>
      </c>
      <c r="Y41" s="126">
        <v>2.6419999999999999E-2</v>
      </c>
      <c r="Z41" s="126">
        <v>2.504E-2</v>
      </c>
      <c r="AA41" s="126">
        <v>0</v>
      </c>
      <c r="AB41" s="126">
        <v>7.0280000000000009E-2</v>
      </c>
      <c r="AC41" s="125">
        <v>1.23</v>
      </c>
      <c r="AD41" s="126">
        <v>3.1199999999999999E-2</v>
      </c>
      <c r="AE41" s="126">
        <v>2.068E-2</v>
      </c>
      <c r="AF41" s="126">
        <v>7.0719999999999991E-2</v>
      </c>
      <c r="AG41" s="126">
        <v>4.6760000000000003E-2</v>
      </c>
      <c r="AH41" s="125">
        <v>1.23</v>
      </c>
      <c r="AI41" s="126">
        <v>2.3599999999999999E-2</v>
      </c>
      <c r="AJ41" s="126">
        <v>1.3600000000000001E-2</v>
      </c>
      <c r="AK41" s="126">
        <v>5.552E-2</v>
      </c>
      <c r="AL41" s="126">
        <v>2.7700000000000002E-2</v>
      </c>
      <c r="AM41" s="125">
        <v>1.23</v>
      </c>
      <c r="AN41" s="126">
        <v>2.5440000000000001E-2</v>
      </c>
      <c r="AO41" s="126">
        <v>1.9259999999999999E-2</v>
      </c>
      <c r="AP41" s="126">
        <v>5.4140000000000001E-2</v>
      </c>
      <c r="AQ41" s="126">
        <v>4.7840000000000001E-2</v>
      </c>
      <c r="AR41" s="125">
        <v>1.23</v>
      </c>
      <c r="AS41" s="126">
        <v>2.0580000000000001E-2</v>
      </c>
      <c r="AT41" s="126">
        <v>1.366E-2</v>
      </c>
      <c r="AU41" s="126">
        <v>4.7100000000000003E-2</v>
      </c>
      <c r="AV41" s="126">
        <v>3.1179999999999999E-2</v>
      </c>
      <c r="AW41" s="125">
        <v>1.23</v>
      </c>
      <c r="AX41" s="126">
        <v>1.0140000000000001E-2</v>
      </c>
      <c r="AY41" s="126">
        <v>5.253E-2</v>
      </c>
      <c r="AZ41" s="126">
        <v>6.5519999999999995E-2</v>
      </c>
      <c r="BA41" s="126">
        <v>0.10186000000000001</v>
      </c>
      <c r="BB41" s="125">
        <v>1.23</v>
      </c>
      <c r="BC41" s="126">
        <v>3.8089999999999999E-2</v>
      </c>
      <c r="BD41" s="126">
        <v>8.4600000000000005E-3</v>
      </c>
      <c r="BE41" s="126">
        <v>6.9580000000000003E-2</v>
      </c>
      <c r="BF41" s="126">
        <v>3.4398999999999999E-2</v>
      </c>
    </row>
    <row r="42" spans="4:58" ht="15.5">
      <c r="D42" s="125">
        <v>1.24</v>
      </c>
      <c r="E42" s="126">
        <v>4.376E-2</v>
      </c>
      <c r="F42" s="126">
        <v>2.852E-2</v>
      </c>
      <c r="G42" s="126">
        <v>0</v>
      </c>
      <c r="H42" s="126">
        <v>0</v>
      </c>
      <c r="I42" s="125">
        <v>1.24</v>
      </c>
      <c r="J42" s="126">
        <v>3.5860000000000003E-2</v>
      </c>
      <c r="K42" s="126">
        <v>1.8239999999999999E-2</v>
      </c>
      <c r="L42" s="126">
        <v>8.616E-2</v>
      </c>
      <c r="M42" s="126">
        <v>0</v>
      </c>
      <c r="N42" s="125">
        <v>1.24</v>
      </c>
      <c r="O42" s="126">
        <v>3.5999999999999997E-2</v>
      </c>
      <c r="P42" s="126">
        <v>2.8240000000000001E-2</v>
      </c>
      <c r="Q42" s="126">
        <v>0</v>
      </c>
      <c r="R42" s="126">
        <v>7.9680000000000001E-2</v>
      </c>
      <c r="S42" s="125">
        <v>1.24</v>
      </c>
      <c r="T42" s="126">
        <v>2.5780000000000001E-2</v>
      </c>
      <c r="U42" s="126">
        <v>1.0840000000000001E-2</v>
      </c>
      <c r="V42" s="126">
        <v>6.1940000000000002E-2</v>
      </c>
      <c r="W42" s="126">
        <v>0</v>
      </c>
      <c r="X42" s="125">
        <v>1.24</v>
      </c>
      <c r="Y42" s="126">
        <v>2.6759999999999999E-2</v>
      </c>
      <c r="Z42" s="126">
        <v>2.4919999999999998E-2</v>
      </c>
      <c r="AA42" s="126">
        <v>0</v>
      </c>
      <c r="AB42" s="126">
        <v>7.0140000000000008E-2</v>
      </c>
      <c r="AC42" s="125">
        <v>1.24</v>
      </c>
      <c r="AD42" s="126">
        <v>3.1299999999999994E-2</v>
      </c>
      <c r="AE42" s="126">
        <v>2.044E-2</v>
      </c>
      <c r="AF42" s="126">
        <v>7.0859999999999992E-2</v>
      </c>
      <c r="AG42" s="126">
        <v>4.6080000000000003E-2</v>
      </c>
      <c r="AH42" s="125">
        <v>1.24</v>
      </c>
      <c r="AI42" s="126">
        <v>2.3599999999999999E-2</v>
      </c>
      <c r="AJ42" s="126">
        <v>1.34E-2</v>
      </c>
      <c r="AK42" s="126">
        <v>5.5359999999999999E-2</v>
      </c>
      <c r="AL42" s="126">
        <v>2.7200000000000002E-2</v>
      </c>
      <c r="AM42" s="125">
        <v>1.24</v>
      </c>
      <c r="AN42" s="126">
        <v>2.562E-2</v>
      </c>
      <c r="AO42" s="126">
        <v>1.908E-2</v>
      </c>
      <c r="AP42" s="126">
        <v>5.4519999999999999E-2</v>
      </c>
      <c r="AQ42" s="126">
        <v>4.7419999999999997E-2</v>
      </c>
      <c r="AR42" s="125">
        <v>1.24</v>
      </c>
      <c r="AS42" s="126">
        <v>2.0639999999999999E-2</v>
      </c>
      <c r="AT42" s="126">
        <v>1.3479999999999999E-2</v>
      </c>
      <c r="AU42" s="126">
        <v>4.7199999999999999E-2</v>
      </c>
      <c r="AV42" s="126">
        <v>3.074E-2</v>
      </c>
      <c r="AW42" s="125">
        <v>1.24</v>
      </c>
      <c r="AX42" s="126">
        <v>1.0120000000000001E-2</v>
      </c>
      <c r="AY42" s="126">
        <v>5.2739999999999995E-2</v>
      </c>
      <c r="AZ42" s="126">
        <v>6.6159999999999997E-2</v>
      </c>
      <c r="BA42" s="126">
        <v>0.10248</v>
      </c>
      <c r="BB42" s="125">
        <v>1.24</v>
      </c>
      <c r="BC42" s="126">
        <v>3.7819999999999999E-2</v>
      </c>
      <c r="BD42" s="126">
        <v>8.3800000000000003E-3</v>
      </c>
      <c r="BE42" s="126">
        <v>6.9040000000000004E-2</v>
      </c>
      <c r="BF42" s="126">
        <v>3.4542000000000003E-2</v>
      </c>
    </row>
    <row r="43" spans="4:58" ht="15.5">
      <c r="D43" s="123">
        <v>1.25</v>
      </c>
      <c r="E43" s="124">
        <v>4.3999999999999997E-2</v>
      </c>
      <c r="F43" s="124">
        <v>2.8199999999999999E-2</v>
      </c>
      <c r="G43" s="126">
        <v>0</v>
      </c>
      <c r="H43" s="126">
        <v>0</v>
      </c>
      <c r="I43" s="123">
        <v>1.25</v>
      </c>
      <c r="J43" s="124">
        <v>3.5900000000000001E-2</v>
      </c>
      <c r="K43" s="124">
        <v>1.7899999999999999E-2</v>
      </c>
      <c r="L43" s="124">
        <v>8.5900000000000004E-2</v>
      </c>
      <c r="M43" s="126">
        <v>0</v>
      </c>
      <c r="N43" s="123">
        <v>1.25</v>
      </c>
      <c r="O43" s="124">
        <v>3.6299999999999999E-2</v>
      </c>
      <c r="P43" s="124">
        <v>2.8000000000000001E-2</v>
      </c>
      <c r="Q43" s="126">
        <v>0</v>
      </c>
      <c r="R43" s="124">
        <v>7.9100000000000004E-2</v>
      </c>
      <c r="S43" s="123">
        <v>1.25</v>
      </c>
      <c r="T43" s="124">
        <v>2.5700000000000001E-2</v>
      </c>
      <c r="U43" s="124">
        <v>1.06E-2</v>
      </c>
      <c r="V43" s="124">
        <v>6.1600000000000002E-2</v>
      </c>
      <c r="W43" s="126">
        <v>0</v>
      </c>
      <c r="X43" s="123">
        <v>1.25</v>
      </c>
      <c r="Y43" s="124">
        <v>2.7099999999999999E-2</v>
      </c>
      <c r="Z43" s="124">
        <v>2.4799999999999999E-2</v>
      </c>
      <c r="AA43" s="126">
        <v>0</v>
      </c>
      <c r="AB43" s="124">
        <v>7.0000000000000007E-2</v>
      </c>
      <c r="AC43" s="123">
        <v>1.25</v>
      </c>
      <c r="AD43" s="124">
        <v>3.1399999999999997E-2</v>
      </c>
      <c r="AE43" s="124">
        <v>2.0199999999999999E-2</v>
      </c>
      <c r="AF43" s="124">
        <v>7.0999999999999994E-2</v>
      </c>
      <c r="AG43" s="124">
        <v>4.5400000000000003E-2</v>
      </c>
      <c r="AH43" s="123">
        <v>1.25</v>
      </c>
      <c r="AI43" s="124">
        <v>2.3599999999999999E-2</v>
      </c>
      <c r="AJ43" s="124">
        <v>1.32E-2</v>
      </c>
      <c r="AK43" s="124">
        <v>5.5199999999999999E-2</v>
      </c>
      <c r="AL43" s="124">
        <v>2.6700000000000002E-2</v>
      </c>
      <c r="AM43" s="123">
        <v>1.25</v>
      </c>
      <c r="AN43" s="124">
        <v>2.58E-2</v>
      </c>
      <c r="AO43" s="124">
        <v>1.89E-2</v>
      </c>
      <c r="AP43" s="124">
        <v>5.4899999999999997E-2</v>
      </c>
      <c r="AQ43" s="124">
        <v>4.7E-2</v>
      </c>
      <c r="AR43" s="123">
        <v>1.25</v>
      </c>
      <c r="AS43" s="124">
        <v>2.07E-2</v>
      </c>
      <c r="AT43" s="124">
        <v>1.3299999999999999E-2</v>
      </c>
      <c r="AU43" s="124">
        <v>4.7300000000000002E-2</v>
      </c>
      <c r="AV43" s="124">
        <v>3.0300000000000001E-2</v>
      </c>
      <c r="AW43" s="123">
        <v>1.25</v>
      </c>
      <c r="AX43" s="124">
        <v>1.0100000000000001E-2</v>
      </c>
      <c r="AY43" s="124">
        <v>5.2949999999999997E-2</v>
      </c>
      <c r="AZ43" s="124">
        <v>6.6799999999999998E-2</v>
      </c>
      <c r="BA43" s="124">
        <v>0.1031</v>
      </c>
      <c r="BB43" s="123">
        <v>1.25</v>
      </c>
      <c r="BC43" s="124">
        <v>3.755E-2</v>
      </c>
      <c r="BD43" s="124">
        <v>8.3000000000000001E-3</v>
      </c>
      <c r="BE43" s="124">
        <v>6.8500000000000005E-2</v>
      </c>
      <c r="BF43" s="124">
        <v>3.4685000000000001E-2</v>
      </c>
    </row>
    <row r="44" spans="4:58" ht="15.5">
      <c r="D44" s="125">
        <v>1.26</v>
      </c>
      <c r="E44" s="126">
        <v>4.4239999999999995E-2</v>
      </c>
      <c r="F44" s="126">
        <v>2.792E-2</v>
      </c>
      <c r="G44" s="126">
        <v>0</v>
      </c>
      <c r="H44" s="126">
        <v>0</v>
      </c>
      <c r="I44" s="125">
        <v>1.26</v>
      </c>
      <c r="J44" s="126">
        <v>3.5900000000000001E-2</v>
      </c>
      <c r="K44" s="126">
        <v>1.762E-2</v>
      </c>
      <c r="L44" s="126">
        <v>8.5580000000000003E-2</v>
      </c>
      <c r="M44" s="126">
        <v>0</v>
      </c>
      <c r="N44" s="125">
        <v>1.26</v>
      </c>
      <c r="O44" s="126">
        <v>3.6600000000000001E-2</v>
      </c>
      <c r="P44" s="126">
        <v>2.7779999999999999E-2</v>
      </c>
      <c r="Q44" s="126">
        <v>0</v>
      </c>
      <c r="R44" s="126">
        <v>7.8480000000000008E-2</v>
      </c>
      <c r="S44" s="125">
        <v>1.26</v>
      </c>
      <c r="T44" s="126">
        <v>2.564E-2</v>
      </c>
      <c r="U44" s="126">
        <v>1.042E-2</v>
      </c>
      <c r="V44" s="126">
        <v>6.1260000000000002E-2</v>
      </c>
      <c r="W44" s="126">
        <v>0</v>
      </c>
      <c r="X44" s="125">
        <v>1.26</v>
      </c>
      <c r="Y44" s="126">
        <v>2.742E-2</v>
      </c>
      <c r="Z44" s="126">
        <v>2.4680000000000001E-2</v>
      </c>
      <c r="AA44" s="126">
        <v>0</v>
      </c>
      <c r="AB44" s="126">
        <v>6.9780000000000009E-2</v>
      </c>
      <c r="AC44" s="125">
        <v>1.26</v>
      </c>
      <c r="AD44" s="126">
        <v>3.15E-2</v>
      </c>
      <c r="AE44" s="126">
        <v>1.992E-2</v>
      </c>
      <c r="AF44" s="126">
        <v>7.102E-2</v>
      </c>
      <c r="AG44" s="126">
        <v>4.4740000000000002E-2</v>
      </c>
      <c r="AH44" s="125">
        <v>1.26</v>
      </c>
      <c r="AI44" s="126">
        <v>2.358E-2</v>
      </c>
      <c r="AJ44" s="126">
        <v>1.2959999999999999E-2</v>
      </c>
      <c r="AK44" s="126">
        <v>5.5059999999999998E-2</v>
      </c>
      <c r="AL44" s="126">
        <v>2.6200000000000001E-2</v>
      </c>
      <c r="AM44" s="125">
        <v>1.26</v>
      </c>
      <c r="AN44" s="126">
        <v>2.596E-2</v>
      </c>
      <c r="AO44" s="126">
        <v>1.874E-2</v>
      </c>
      <c r="AP44" s="126">
        <v>5.5219999999999998E-2</v>
      </c>
      <c r="AQ44" s="126">
        <v>4.6539999999999998E-2</v>
      </c>
      <c r="AR44" s="125">
        <v>1.26</v>
      </c>
      <c r="AS44" s="126">
        <v>2.0719999999999999E-2</v>
      </c>
      <c r="AT44" s="126">
        <v>1.3099999999999999E-2</v>
      </c>
      <c r="AU44" s="126">
        <v>4.734E-2</v>
      </c>
      <c r="AV44" s="126">
        <v>2.9860000000000001E-2</v>
      </c>
      <c r="AW44" s="125">
        <v>1.26</v>
      </c>
      <c r="AX44" s="126">
        <v>1.008E-2</v>
      </c>
      <c r="AY44" s="126">
        <v>5.3159999999999999E-2</v>
      </c>
      <c r="AZ44" s="126">
        <v>6.744E-2</v>
      </c>
      <c r="BA44" s="126">
        <v>0.10371999999999999</v>
      </c>
      <c r="BB44" s="125">
        <v>1.26</v>
      </c>
      <c r="BC44" s="126">
        <v>3.7280000000000001E-2</v>
      </c>
      <c r="BD44" s="126">
        <v>8.2199999999999999E-3</v>
      </c>
      <c r="BE44" s="126">
        <v>6.7960000000000007E-2</v>
      </c>
      <c r="BF44" s="126">
        <v>3.4827999999999998E-2</v>
      </c>
    </row>
    <row r="45" spans="4:58" ht="15.5">
      <c r="D45" s="125">
        <v>1.27</v>
      </c>
      <c r="E45" s="126">
        <v>4.4479999999999999E-2</v>
      </c>
      <c r="F45" s="126">
        <v>2.7640000000000001E-2</v>
      </c>
      <c r="G45" s="126">
        <v>0</v>
      </c>
      <c r="H45" s="126">
        <v>0</v>
      </c>
      <c r="I45" s="125">
        <v>1.27</v>
      </c>
      <c r="J45" s="126">
        <v>3.5900000000000001E-2</v>
      </c>
      <c r="K45" s="126">
        <v>1.7340000000000001E-2</v>
      </c>
      <c r="L45" s="126">
        <v>8.5260000000000002E-2</v>
      </c>
      <c r="M45" s="126">
        <v>0</v>
      </c>
      <c r="N45" s="125">
        <v>1.27</v>
      </c>
      <c r="O45" s="126">
        <v>3.6900000000000002E-2</v>
      </c>
      <c r="P45" s="126">
        <v>2.7560000000000001E-2</v>
      </c>
      <c r="Q45" s="126">
        <v>0</v>
      </c>
      <c r="R45" s="126">
        <v>7.7859999999999999E-2</v>
      </c>
      <c r="S45" s="125">
        <v>1.27</v>
      </c>
      <c r="T45" s="126">
        <v>2.5579999999999999E-2</v>
      </c>
      <c r="U45" s="126">
        <v>1.0240000000000001E-2</v>
      </c>
      <c r="V45" s="126">
        <v>6.0920000000000002E-2</v>
      </c>
      <c r="W45" s="126">
        <v>0</v>
      </c>
      <c r="X45" s="125">
        <v>1.27</v>
      </c>
      <c r="Y45" s="126">
        <v>2.7740000000000001E-2</v>
      </c>
      <c r="Z45" s="126">
        <v>2.4559999999999998E-2</v>
      </c>
      <c r="AA45" s="126">
        <v>0</v>
      </c>
      <c r="AB45" s="126">
        <v>6.9560000000000011E-2</v>
      </c>
      <c r="AC45" s="125">
        <v>1.27</v>
      </c>
      <c r="AD45" s="126">
        <v>3.1599999999999996E-2</v>
      </c>
      <c r="AE45" s="126">
        <v>1.9640000000000001E-2</v>
      </c>
      <c r="AF45" s="126">
        <v>7.1039999999999992E-2</v>
      </c>
      <c r="AG45" s="126">
        <v>4.4080000000000001E-2</v>
      </c>
      <c r="AH45" s="125">
        <v>1.27</v>
      </c>
      <c r="AI45" s="126">
        <v>2.3560000000000001E-2</v>
      </c>
      <c r="AJ45" s="126">
        <v>1.272E-2</v>
      </c>
      <c r="AK45" s="126">
        <v>5.4919999999999997E-2</v>
      </c>
      <c r="AL45" s="126">
        <v>2.5700000000000001E-2</v>
      </c>
      <c r="AM45" s="125">
        <v>1.27</v>
      </c>
      <c r="AN45" s="126">
        <v>2.6120000000000001E-2</v>
      </c>
      <c r="AO45" s="126">
        <v>1.8579999999999999E-2</v>
      </c>
      <c r="AP45" s="126">
        <v>5.5539999999999999E-2</v>
      </c>
      <c r="AQ45" s="126">
        <v>4.6079999999999996E-2</v>
      </c>
      <c r="AR45" s="125">
        <v>1.27</v>
      </c>
      <c r="AS45" s="126">
        <v>2.0739999999999998E-2</v>
      </c>
      <c r="AT45" s="126">
        <v>1.29E-2</v>
      </c>
      <c r="AU45" s="126">
        <v>4.7379999999999999E-2</v>
      </c>
      <c r="AV45" s="126">
        <v>2.9420000000000002E-2</v>
      </c>
      <c r="AW45" s="125">
        <v>1.27</v>
      </c>
      <c r="AX45" s="126">
        <v>1.0060000000000001E-2</v>
      </c>
      <c r="AY45" s="126">
        <v>5.3370000000000001E-2</v>
      </c>
      <c r="AZ45" s="126">
        <v>6.8080000000000002E-2</v>
      </c>
      <c r="BA45" s="126">
        <v>0.10434</v>
      </c>
      <c r="BB45" s="125">
        <v>1.27</v>
      </c>
      <c r="BC45" s="126">
        <v>3.7010000000000001E-2</v>
      </c>
      <c r="BD45" s="126">
        <v>8.1399999999999997E-3</v>
      </c>
      <c r="BE45" s="126">
        <v>6.7420000000000008E-2</v>
      </c>
      <c r="BF45" s="126">
        <v>3.4971000000000002E-2</v>
      </c>
    </row>
    <row r="46" spans="4:58" ht="15.5">
      <c r="D46" s="125">
        <v>1.28</v>
      </c>
      <c r="E46" s="126">
        <v>4.4719999999999996E-2</v>
      </c>
      <c r="F46" s="126">
        <v>2.7359999999999999E-2</v>
      </c>
      <c r="G46" s="126">
        <v>0</v>
      </c>
      <c r="H46" s="126">
        <v>0</v>
      </c>
      <c r="I46" s="125">
        <v>1.28</v>
      </c>
      <c r="J46" s="126">
        <v>3.5900000000000001E-2</v>
      </c>
      <c r="K46" s="126">
        <v>1.7059999999999999E-2</v>
      </c>
      <c r="L46" s="126">
        <v>8.4940000000000002E-2</v>
      </c>
      <c r="M46" s="126">
        <v>0</v>
      </c>
      <c r="N46" s="125">
        <v>1.28</v>
      </c>
      <c r="O46" s="126">
        <v>3.7199999999999997E-2</v>
      </c>
      <c r="P46" s="126">
        <v>2.734E-2</v>
      </c>
      <c r="Q46" s="126">
        <v>0</v>
      </c>
      <c r="R46" s="126">
        <v>7.7240000000000003E-2</v>
      </c>
      <c r="S46" s="125">
        <v>1.28</v>
      </c>
      <c r="T46" s="126">
        <v>2.5520000000000001E-2</v>
      </c>
      <c r="U46" s="126">
        <v>1.0059999999999999E-2</v>
      </c>
      <c r="V46" s="126">
        <v>6.0580000000000002E-2</v>
      </c>
      <c r="W46" s="126">
        <v>0</v>
      </c>
      <c r="X46" s="125">
        <v>1.28</v>
      </c>
      <c r="Y46" s="126">
        <v>2.8059999999999998E-2</v>
      </c>
      <c r="Z46" s="126">
        <v>2.444E-2</v>
      </c>
      <c r="AA46" s="126">
        <v>0</v>
      </c>
      <c r="AB46" s="126">
        <v>6.9339999999999999E-2</v>
      </c>
      <c r="AC46" s="125">
        <v>1.28</v>
      </c>
      <c r="AD46" s="126">
        <v>3.1699999999999999E-2</v>
      </c>
      <c r="AE46" s="126">
        <v>1.9359999999999999E-2</v>
      </c>
      <c r="AF46" s="126">
        <v>7.1059999999999998E-2</v>
      </c>
      <c r="AG46" s="126">
        <v>4.342E-2</v>
      </c>
      <c r="AH46" s="125">
        <v>1.28</v>
      </c>
      <c r="AI46" s="126">
        <v>2.3539999999999998E-2</v>
      </c>
      <c r="AJ46" s="126">
        <v>1.248E-2</v>
      </c>
      <c r="AK46" s="126">
        <v>5.4780000000000002E-2</v>
      </c>
      <c r="AL46" s="126">
        <v>2.52E-2</v>
      </c>
      <c r="AM46" s="125">
        <v>1.28</v>
      </c>
      <c r="AN46" s="126">
        <v>2.6279999999999998E-2</v>
      </c>
      <c r="AO46" s="126">
        <v>1.8420000000000002E-2</v>
      </c>
      <c r="AP46" s="126">
        <v>5.586E-2</v>
      </c>
      <c r="AQ46" s="126">
        <v>4.5620000000000001E-2</v>
      </c>
      <c r="AR46" s="125">
        <v>1.28</v>
      </c>
      <c r="AS46" s="126">
        <v>2.0760000000000001E-2</v>
      </c>
      <c r="AT46" s="126">
        <v>1.2699999999999999E-2</v>
      </c>
      <c r="AU46" s="126">
        <v>4.7420000000000004E-2</v>
      </c>
      <c r="AV46" s="126">
        <v>2.8979999999999999E-2</v>
      </c>
      <c r="AW46" s="125">
        <v>1.28</v>
      </c>
      <c r="AX46" s="126">
        <v>1.004E-2</v>
      </c>
      <c r="AY46" s="126">
        <v>5.3579999999999996E-2</v>
      </c>
      <c r="AZ46" s="126">
        <v>6.8720000000000003E-2</v>
      </c>
      <c r="BA46" s="126">
        <v>0.10496</v>
      </c>
      <c r="BB46" s="125">
        <v>1.28</v>
      </c>
      <c r="BC46" s="126">
        <v>3.6740000000000002E-2</v>
      </c>
      <c r="BD46" s="126">
        <v>8.0600000000000012E-3</v>
      </c>
      <c r="BE46" s="126">
        <v>6.6879999999999995E-2</v>
      </c>
      <c r="BF46" s="126">
        <v>3.5113999999999999E-2</v>
      </c>
    </row>
    <row r="47" spans="4:58" ht="15.5">
      <c r="D47" s="125">
        <v>1.29</v>
      </c>
      <c r="E47" s="126">
        <v>4.496E-2</v>
      </c>
      <c r="F47" s="126">
        <v>2.708E-2</v>
      </c>
      <c r="G47" s="126">
        <v>0</v>
      </c>
      <c r="H47" s="126">
        <v>0</v>
      </c>
      <c r="I47" s="125">
        <v>1.29</v>
      </c>
      <c r="J47" s="126">
        <v>3.5900000000000001E-2</v>
      </c>
      <c r="K47" s="126">
        <v>1.678E-2</v>
      </c>
      <c r="L47" s="126">
        <v>8.4620000000000001E-2</v>
      </c>
      <c r="M47" s="126">
        <v>0</v>
      </c>
      <c r="N47" s="125">
        <v>1.29</v>
      </c>
      <c r="O47" s="126">
        <v>3.7499999999999999E-2</v>
      </c>
      <c r="P47" s="126">
        <v>2.7120000000000002E-2</v>
      </c>
      <c r="Q47" s="126">
        <v>0</v>
      </c>
      <c r="R47" s="126">
        <v>7.6619999999999994E-2</v>
      </c>
      <c r="S47" s="125">
        <v>1.29</v>
      </c>
      <c r="T47" s="126">
        <v>2.546E-2</v>
      </c>
      <c r="U47" s="126">
        <v>9.8799999999999999E-3</v>
      </c>
      <c r="V47" s="126">
        <v>6.0240000000000002E-2</v>
      </c>
      <c r="W47" s="126">
        <v>0</v>
      </c>
      <c r="X47" s="125">
        <v>1.29</v>
      </c>
      <c r="Y47" s="126">
        <v>2.8379999999999999E-2</v>
      </c>
      <c r="Z47" s="126">
        <v>2.4319999999999998E-2</v>
      </c>
      <c r="AA47" s="126">
        <v>0</v>
      </c>
      <c r="AB47" s="126">
        <v>6.9120000000000001E-2</v>
      </c>
      <c r="AC47" s="125">
        <v>1.29</v>
      </c>
      <c r="AD47" s="126">
        <v>3.1799999999999995E-2</v>
      </c>
      <c r="AE47" s="126">
        <v>1.908E-2</v>
      </c>
      <c r="AF47" s="126">
        <v>7.107999999999999E-2</v>
      </c>
      <c r="AG47" s="126">
        <v>4.2759999999999999E-2</v>
      </c>
      <c r="AH47" s="125">
        <v>1.29</v>
      </c>
      <c r="AI47" s="126">
        <v>2.3519999999999999E-2</v>
      </c>
      <c r="AJ47" s="126">
        <v>1.2240000000000001E-2</v>
      </c>
      <c r="AK47" s="126">
        <v>5.4640000000000001E-2</v>
      </c>
      <c r="AL47" s="126">
        <v>2.47E-2</v>
      </c>
      <c r="AM47" s="125">
        <v>1.29</v>
      </c>
      <c r="AN47" s="126">
        <v>2.6439999999999998E-2</v>
      </c>
      <c r="AO47" s="126">
        <v>1.8260000000000002E-2</v>
      </c>
      <c r="AP47" s="126">
        <v>5.6180000000000001E-2</v>
      </c>
      <c r="AQ47" s="126">
        <v>4.5159999999999999E-2</v>
      </c>
      <c r="AR47" s="125">
        <v>1.29</v>
      </c>
      <c r="AS47" s="126">
        <v>2.078E-2</v>
      </c>
      <c r="AT47" s="126">
        <v>1.2500000000000001E-2</v>
      </c>
      <c r="AU47" s="126">
        <v>4.7460000000000002E-2</v>
      </c>
      <c r="AV47" s="126">
        <v>2.8539999999999999E-2</v>
      </c>
      <c r="AW47" s="125">
        <v>1.29</v>
      </c>
      <c r="AX47" s="126">
        <v>1.0020000000000001E-2</v>
      </c>
      <c r="AY47" s="126">
        <v>5.3789999999999998E-2</v>
      </c>
      <c r="AZ47" s="126">
        <v>6.9360000000000005E-2</v>
      </c>
      <c r="BA47" s="126">
        <v>0.10558000000000001</v>
      </c>
      <c r="BB47" s="125">
        <v>1.29</v>
      </c>
      <c r="BC47" s="126">
        <v>3.6470000000000002E-2</v>
      </c>
      <c r="BD47" s="126">
        <v>7.980000000000001E-3</v>
      </c>
      <c r="BE47" s="126">
        <v>6.6339999999999996E-2</v>
      </c>
      <c r="BF47" s="126">
        <v>3.5257000000000004E-2</v>
      </c>
    </row>
    <row r="48" spans="4:58" ht="15.5">
      <c r="D48" s="123">
        <v>1.3</v>
      </c>
      <c r="E48" s="124">
        <v>4.5199999999999997E-2</v>
      </c>
      <c r="F48" s="124">
        <v>2.6800000000000001E-2</v>
      </c>
      <c r="G48" s="126">
        <v>0</v>
      </c>
      <c r="H48" s="126">
        <v>0</v>
      </c>
      <c r="I48" s="123">
        <v>1.3</v>
      </c>
      <c r="J48" s="124">
        <v>3.5900000000000001E-2</v>
      </c>
      <c r="K48" s="124">
        <v>1.6500000000000001E-2</v>
      </c>
      <c r="L48" s="124">
        <v>8.43E-2</v>
      </c>
      <c r="M48" s="126">
        <v>0</v>
      </c>
      <c r="N48" s="123">
        <v>1.3</v>
      </c>
      <c r="O48" s="124">
        <v>3.78E-2</v>
      </c>
      <c r="P48" s="124">
        <v>2.69E-2</v>
      </c>
      <c r="Q48" s="126">
        <v>0</v>
      </c>
      <c r="R48" s="124">
        <v>7.5999999999999998E-2</v>
      </c>
      <c r="S48" s="123">
        <v>1.3</v>
      </c>
      <c r="T48" s="124">
        <v>2.5399999999999999E-2</v>
      </c>
      <c r="U48" s="124">
        <v>9.7000000000000003E-3</v>
      </c>
      <c r="V48" s="124">
        <v>5.9900000000000002E-2</v>
      </c>
      <c r="W48" s="126">
        <v>0</v>
      </c>
      <c r="X48" s="123">
        <v>1.3</v>
      </c>
      <c r="Y48" s="124">
        <v>2.87E-2</v>
      </c>
      <c r="Z48" s="124">
        <v>2.4199999999999999E-2</v>
      </c>
      <c r="AA48" s="126">
        <v>0</v>
      </c>
      <c r="AB48" s="124">
        <v>6.8900000000000003E-2</v>
      </c>
      <c r="AC48" s="123">
        <v>1.3</v>
      </c>
      <c r="AD48" s="124">
        <v>3.1899999999999998E-2</v>
      </c>
      <c r="AE48" s="124">
        <v>1.8800000000000001E-2</v>
      </c>
      <c r="AF48" s="124">
        <v>7.1099999999999997E-2</v>
      </c>
      <c r="AG48" s="124">
        <v>4.2099999999999999E-2</v>
      </c>
      <c r="AH48" s="123">
        <v>1.3</v>
      </c>
      <c r="AI48" s="124">
        <v>2.35E-2</v>
      </c>
      <c r="AJ48" s="124">
        <v>1.2E-2</v>
      </c>
      <c r="AK48" s="124">
        <v>5.45E-2</v>
      </c>
      <c r="AL48" s="124">
        <v>2.4199999999999999E-2</v>
      </c>
      <c r="AM48" s="123">
        <v>1.3</v>
      </c>
      <c r="AN48" s="124">
        <v>2.6599999999999999E-2</v>
      </c>
      <c r="AO48" s="124">
        <v>1.8100000000000002E-2</v>
      </c>
      <c r="AP48" s="124">
        <v>5.6500000000000002E-2</v>
      </c>
      <c r="AQ48" s="124">
        <v>4.4699999999999997E-2</v>
      </c>
      <c r="AR48" s="123">
        <v>1.3</v>
      </c>
      <c r="AS48" s="124">
        <v>2.0799999999999999E-2</v>
      </c>
      <c r="AT48" s="124">
        <v>1.23E-2</v>
      </c>
      <c r="AU48" s="124">
        <v>4.7500000000000001E-2</v>
      </c>
      <c r="AV48" s="124">
        <v>2.81E-2</v>
      </c>
      <c r="AW48" s="123">
        <v>1.3</v>
      </c>
      <c r="AX48" s="124">
        <v>0.01</v>
      </c>
      <c r="AY48" s="124">
        <v>5.3999999999999999E-2</v>
      </c>
      <c r="AZ48" s="124">
        <v>7.0000000000000007E-2</v>
      </c>
      <c r="BA48" s="124">
        <v>0.1062</v>
      </c>
      <c r="BB48" s="123">
        <v>1.3</v>
      </c>
      <c r="BC48" s="124">
        <v>3.6200000000000003E-2</v>
      </c>
      <c r="BD48" s="124">
        <v>7.9000000000000008E-3</v>
      </c>
      <c r="BE48" s="124">
        <v>6.5799999999999997E-2</v>
      </c>
      <c r="BF48" s="124">
        <v>3.5400000000000001E-2</v>
      </c>
    </row>
    <row r="49" spans="4:58" ht="15.5">
      <c r="D49" s="125">
        <v>1.31</v>
      </c>
      <c r="E49" s="126">
        <v>4.5379999999999997E-2</v>
      </c>
      <c r="F49" s="126">
        <v>2.6499999999999999E-2</v>
      </c>
      <c r="G49" s="126">
        <v>0</v>
      </c>
      <c r="H49" s="126">
        <v>0</v>
      </c>
      <c r="I49" s="125">
        <v>1.31</v>
      </c>
      <c r="J49" s="126">
        <v>3.5880000000000002E-2</v>
      </c>
      <c r="K49" s="126">
        <v>1.6240000000000001E-2</v>
      </c>
      <c r="L49" s="126">
        <v>8.3979999999999999E-2</v>
      </c>
      <c r="M49" s="126">
        <v>0</v>
      </c>
      <c r="N49" s="125">
        <v>1.31</v>
      </c>
      <c r="O49" s="126">
        <v>3.8060000000000004E-2</v>
      </c>
      <c r="P49" s="126">
        <v>2.6679999999999999E-2</v>
      </c>
      <c r="Q49" s="126">
        <v>0</v>
      </c>
      <c r="R49" s="126">
        <v>7.5319999999999998E-2</v>
      </c>
      <c r="S49" s="125">
        <v>1.31</v>
      </c>
      <c r="T49" s="126">
        <v>2.5319999999999999E-2</v>
      </c>
      <c r="U49" s="126">
        <v>9.5200000000000007E-3</v>
      </c>
      <c r="V49" s="126">
        <v>5.9560000000000002E-2</v>
      </c>
      <c r="W49" s="126">
        <v>0</v>
      </c>
      <c r="X49" s="125">
        <v>1.31</v>
      </c>
      <c r="Y49" s="126">
        <v>2.9000000000000001E-2</v>
      </c>
      <c r="Z49" s="126">
        <v>2.4059999999999998E-2</v>
      </c>
      <c r="AA49" s="126">
        <v>0</v>
      </c>
      <c r="AB49" s="126">
        <v>6.8640000000000007E-2</v>
      </c>
      <c r="AC49" s="125">
        <v>1.31</v>
      </c>
      <c r="AD49" s="126">
        <v>3.1919999999999997E-2</v>
      </c>
      <c r="AE49" s="126">
        <v>1.856E-2</v>
      </c>
      <c r="AF49" s="126">
        <v>7.1099999999999997E-2</v>
      </c>
      <c r="AG49" s="126">
        <v>4.1500000000000002E-2</v>
      </c>
      <c r="AH49" s="125">
        <v>1.31</v>
      </c>
      <c r="AI49" s="126">
        <v>2.3460000000000002E-2</v>
      </c>
      <c r="AJ49" s="126">
        <v>1.18E-2</v>
      </c>
      <c r="AK49" s="126">
        <v>5.432E-2</v>
      </c>
      <c r="AL49" s="126">
        <v>2.3799999999999998E-2</v>
      </c>
      <c r="AM49" s="125">
        <v>1.31</v>
      </c>
      <c r="AN49" s="126">
        <v>2.6719999999999997E-2</v>
      </c>
      <c r="AO49" s="126">
        <v>1.7920000000000002E-2</v>
      </c>
      <c r="AP49" s="126">
        <v>5.6739999999999999E-2</v>
      </c>
      <c r="AQ49" s="126">
        <v>4.4239999999999995E-2</v>
      </c>
      <c r="AR49" s="125">
        <v>1.31</v>
      </c>
      <c r="AS49" s="126">
        <v>2.0840000000000001E-2</v>
      </c>
      <c r="AT49" s="126">
        <v>1.214E-2</v>
      </c>
      <c r="AU49" s="126">
        <v>4.7480000000000001E-2</v>
      </c>
      <c r="AV49" s="126">
        <v>2.7720000000000002E-2</v>
      </c>
      <c r="AW49" s="125">
        <v>1.31</v>
      </c>
      <c r="AX49" s="126">
        <v>9.9699999999999997E-3</v>
      </c>
      <c r="AY49" s="126">
        <v>5.4120000000000001E-2</v>
      </c>
      <c r="AZ49" s="126">
        <v>7.0610000000000006E-2</v>
      </c>
      <c r="BA49" s="126">
        <v>0.10673000000000001</v>
      </c>
      <c r="BB49" s="125">
        <v>1.31</v>
      </c>
      <c r="BC49" s="126">
        <v>3.594E-2</v>
      </c>
      <c r="BD49" s="126">
        <v>7.8100000000000001E-3</v>
      </c>
      <c r="BE49" s="126">
        <v>6.5309999999999993E-2</v>
      </c>
      <c r="BF49" s="126">
        <v>3.5009999999999999E-2</v>
      </c>
    </row>
    <row r="50" spans="4:58" ht="15.5">
      <c r="D50" s="125">
        <v>1.32</v>
      </c>
      <c r="E50" s="126">
        <v>4.5559999999999996E-2</v>
      </c>
      <c r="F50" s="126">
        <v>2.6200000000000001E-2</v>
      </c>
      <c r="G50" s="126">
        <v>0</v>
      </c>
      <c r="H50" s="126">
        <v>0</v>
      </c>
      <c r="I50" s="125">
        <v>1.32</v>
      </c>
      <c r="J50" s="126">
        <v>3.5860000000000003E-2</v>
      </c>
      <c r="K50" s="126">
        <v>1.5980000000000001E-2</v>
      </c>
      <c r="L50" s="126">
        <v>8.3659999999999998E-2</v>
      </c>
      <c r="M50" s="126">
        <v>0</v>
      </c>
      <c r="N50" s="125">
        <v>1.32</v>
      </c>
      <c r="O50" s="126">
        <v>3.832E-2</v>
      </c>
      <c r="P50" s="126">
        <v>2.6460000000000001E-2</v>
      </c>
      <c r="Q50" s="126">
        <v>0</v>
      </c>
      <c r="R50" s="126">
        <v>7.4639999999999998E-2</v>
      </c>
      <c r="S50" s="125">
        <v>1.32</v>
      </c>
      <c r="T50" s="126">
        <v>2.5239999999999999E-2</v>
      </c>
      <c r="U50" s="126">
        <v>9.3400000000000011E-3</v>
      </c>
      <c r="V50" s="126">
        <v>5.9220000000000002E-2</v>
      </c>
      <c r="W50" s="126">
        <v>0</v>
      </c>
      <c r="X50" s="125">
        <v>1.32</v>
      </c>
      <c r="Y50" s="126">
        <v>2.93E-2</v>
      </c>
      <c r="Z50" s="126">
        <v>2.392E-2</v>
      </c>
      <c r="AA50" s="126">
        <v>0</v>
      </c>
      <c r="AB50" s="126">
        <v>6.8379999999999996E-2</v>
      </c>
      <c r="AC50" s="125">
        <v>1.32</v>
      </c>
      <c r="AD50" s="126">
        <v>3.1939999999999996E-2</v>
      </c>
      <c r="AE50" s="126">
        <v>1.8319999999999999E-2</v>
      </c>
      <c r="AF50" s="126">
        <v>7.1099999999999997E-2</v>
      </c>
      <c r="AG50" s="126">
        <v>4.0899999999999999E-2</v>
      </c>
      <c r="AH50" s="125">
        <v>1.32</v>
      </c>
      <c r="AI50" s="126">
        <v>2.342E-2</v>
      </c>
      <c r="AJ50" s="126">
        <v>1.1599999999999999E-2</v>
      </c>
      <c r="AK50" s="126">
        <v>5.4140000000000001E-2</v>
      </c>
      <c r="AL50" s="126">
        <v>2.3400000000000001E-2</v>
      </c>
      <c r="AM50" s="125">
        <v>1.32</v>
      </c>
      <c r="AN50" s="126">
        <v>2.6839999999999999E-2</v>
      </c>
      <c r="AO50" s="126">
        <v>1.7740000000000002E-2</v>
      </c>
      <c r="AP50" s="126">
        <v>5.6980000000000003E-2</v>
      </c>
      <c r="AQ50" s="126">
        <v>4.3779999999999999E-2</v>
      </c>
      <c r="AR50" s="125">
        <v>1.32</v>
      </c>
      <c r="AS50" s="126">
        <v>2.0879999999999999E-2</v>
      </c>
      <c r="AT50" s="126">
        <v>1.1979999999999999E-2</v>
      </c>
      <c r="AU50" s="126">
        <v>4.7460000000000002E-2</v>
      </c>
      <c r="AV50" s="126">
        <v>2.734E-2</v>
      </c>
      <c r="AW50" s="125">
        <v>1.32</v>
      </c>
      <c r="AX50" s="126">
        <v>9.9399999999999992E-3</v>
      </c>
      <c r="AY50" s="126">
        <v>5.4240000000000003E-2</v>
      </c>
      <c r="AZ50" s="126">
        <v>7.1220000000000006E-2</v>
      </c>
      <c r="BA50" s="126">
        <v>0.10726000000000001</v>
      </c>
      <c r="BB50" s="125">
        <v>1.32</v>
      </c>
      <c r="BC50" s="126">
        <v>3.5680000000000003E-2</v>
      </c>
      <c r="BD50" s="126">
        <v>7.7200000000000003E-3</v>
      </c>
      <c r="BE50" s="126">
        <v>6.4819999999999989E-2</v>
      </c>
      <c r="BF50" s="126">
        <v>3.4619999999999998E-2</v>
      </c>
    </row>
    <row r="51" spans="4:58" ht="15.5">
      <c r="D51" s="125">
        <v>1.33</v>
      </c>
      <c r="E51" s="126">
        <v>4.5740000000000003E-2</v>
      </c>
      <c r="F51" s="126">
        <v>2.5899999999999999E-2</v>
      </c>
      <c r="G51" s="126">
        <v>0</v>
      </c>
      <c r="H51" s="126">
        <v>0</v>
      </c>
      <c r="I51" s="125">
        <v>1.33</v>
      </c>
      <c r="J51" s="126">
        <v>3.5839999999999997E-2</v>
      </c>
      <c r="K51" s="126">
        <v>1.5720000000000001E-2</v>
      </c>
      <c r="L51" s="126">
        <v>8.3339999999999997E-2</v>
      </c>
      <c r="M51" s="126">
        <v>0</v>
      </c>
      <c r="N51" s="125">
        <v>1.33</v>
      </c>
      <c r="O51" s="126">
        <v>3.8580000000000003E-2</v>
      </c>
      <c r="P51" s="126">
        <v>2.6239999999999999E-2</v>
      </c>
      <c r="Q51" s="126">
        <v>0</v>
      </c>
      <c r="R51" s="126">
        <v>7.3959999999999998E-2</v>
      </c>
      <c r="S51" s="125">
        <v>1.33</v>
      </c>
      <c r="T51" s="126">
        <v>2.5160000000000002E-2</v>
      </c>
      <c r="U51" s="126">
        <v>9.1599999999999997E-3</v>
      </c>
      <c r="V51" s="126">
        <v>5.8880000000000002E-2</v>
      </c>
      <c r="W51" s="126">
        <v>0</v>
      </c>
      <c r="X51" s="125">
        <v>1.33</v>
      </c>
      <c r="Y51" s="126">
        <v>2.9600000000000001E-2</v>
      </c>
      <c r="Z51" s="126">
        <v>2.3779999999999999E-2</v>
      </c>
      <c r="AA51" s="126">
        <v>0</v>
      </c>
      <c r="AB51" s="126">
        <v>6.812E-2</v>
      </c>
      <c r="AC51" s="125">
        <v>1.33</v>
      </c>
      <c r="AD51" s="126">
        <v>3.1960000000000002E-2</v>
      </c>
      <c r="AE51" s="126">
        <v>1.8080000000000002E-2</v>
      </c>
      <c r="AF51" s="126">
        <v>7.1099999999999997E-2</v>
      </c>
      <c r="AG51" s="126">
        <v>4.0300000000000002E-2</v>
      </c>
      <c r="AH51" s="125">
        <v>1.33</v>
      </c>
      <c r="AI51" s="126">
        <v>2.3380000000000001E-2</v>
      </c>
      <c r="AJ51" s="126">
        <v>1.14E-2</v>
      </c>
      <c r="AK51" s="126">
        <v>5.3960000000000001E-2</v>
      </c>
      <c r="AL51" s="126">
        <v>2.3E-2</v>
      </c>
      <c r="AM51" s="125">
        <v>1.33</v>
      </c>
      <c r="AN51" s="126">
        <v>2.6959999999999998E-2</v>
      </c>
      <c r="AO51" s="126">
        <v>1.7559999999999999E-2</v>
      </c>
      <c r="AP51" s="126">
        <v>5.722E-2</v>
      </c>
      <c r="AQ51" s="126">
        <v>4.3319999999999997E-2</v>
      </c>
      <c r="AR51" s="125">
        <v>1.33</v>
      </c>
      <c r="AS51" s="126">
        <v>2.0920000000000001E-2</v>
      </c>
      <c r="AT51" s="126">
        <v>1.1820000000000001E-2</v>
      </c>
      <c r="AU51" s="126">
        <v>4.7439999999999996E-2</v>
      </c>
      <c r="AV51" s="126">
        <v>2.6960000000000001E-2</v>
      </c>
      <c r="AW51" s="125">
        <v>1.33</v>
      </c>
      <c r="AX51" s="126">
        <v>9.9100000000000004E-3</v>
      </c>
      <c r="AY51" s="126">
        <v>5.4359999999999999E-2</v>
      </c>
      <c r="AZ51" s="126">
        <v>7.1830000000000005E-2</v>
      </c>
      <c r="BA51" s="126">
        <v>0.10779</v>
      </c>
      <c r="BB51" s="125">
        <v>1.33</v>
      </c>
      <c r="BC51" s="126">
        <v>3.542E-2</v>
      </c>
      <c r="BD51" s="126">
        <v>7.6299999999999996E-3</v>
      </c>
      <c r="BE51" s="126">
        <v>6.4329999999999998E-2</v>
      </c>
      <c r="BF51" s="126">
        <v>3.4229999999999997E-2</v>
      </c>
    </row>
    <row r="52" spans="4:58" ht="15.5">
      <c r="D52" s="125">
        <v>1.34</v>
      </c>
      <c r="E52" s="126">
        <v>4.5920000000000002E-2</v>
      </c>
      <c r="F52" s="126">
        <v>2.5600000000000001E-2</v>
      </c>
      <c r="G52" s="126">
        <v>0</v>
      </c>
      <c r="H52" s="126">
        <v>0</v>
      </c>
      <c r="I52" s="125">
        <v>1.34</v>
      </c>
      <c r="J52" s="126">
        <v>3.5819999999999998E-2</v>
      </c>
      <c r="K52" s="126">
        <v>1.546E-2</v>
      </c>
      <c r="L52" s="126">
        <v>8.3019999999999997E-2</v>
      </c>
      <c r="M52" s="126">
        <v>0</v>
      </c>
      <c r="N52" s="125">
        <v>1.34</v>
      </c>
      <c r="O52" s="126">
        <v>3.884E-2</v>
      </c>
      <c r="P52" s="126">
        <v>2.6020000000000001E-2</v>
      </c>
      <c r="Q52" s="126">
        <v>0</v>
      </c>
      <c r="R52" s="126">
        <v>7.3279999999999998E-2</v>
      </c>
      <c r="S52" s="125">
        <v>1.34</v>
      </c>
      <c r="T52" s="126">
        <v>2.5080000000000002E-2</v>
      </c>
      <c r="U52" s="126">
        <v>8.9800000000000001E-3</v>
      </c>
      <c r="V52" s="126">
        <v>5.8540000000000002E-2</v>
      </c>
      <c r="W52" s="126">
        <v>0</v>
      </c>
      <c r="X52" s="125">
        <v>1.34</v>
      </c>
      <c r="Y52" s="126">
        <v>2.9899999999999999E-2</v>
      </c>
      <c r="Z52" s="126">
        <v>2.3640000000000001E-2</v>
      </c>
      <c r="AA52" s="126">
        <v>0</v>
      </c>
      <c r="AB52" s="126">
        <v>6.785999999999999E-2</v>
      </c>
      <c r="AC52" s="125">
        <v>1.34</v>
      </c>
      <c r="AD52" s="126">
        <v>3.1980000000000001E-2</v>
      </c>
      <c r="AE52" s="126">
        <v>1.7840000000000002E-2</v>
      </c>
      <c r="AF52" s="126">
        <v>7.1099999999999997E-2</v>
      </c>
      <c r="AG52" s="126">
        <v>3.9699999999999999E-2</v>
      </c>
      <c r="AH52" s="125">
        <v>1.34</v>
      </c>
      <c r="AI52" s="126">
        <v>2.334E-2</v>
      </c>
      <c r="AJ52" s="126">
        <v>1.12E-2</v>
      </c>
      <c r="AK52" s="126">
        <v>5.3780000000000001E-2</v>
      </c>
      <c r="AL52" s="126">
        <v>2.2600000000000002E-2</v>
      </c>
      <c r="AM52" s="125">
        <v>1.34</v>
      </c>
      <c r="AN52" s="126">
        <v>2.708E-2</v>
      </c>
      <c r="AO52" s="126">
        <v>1.738E-2</v>
      </c>
      <c r="AP52" s="126">
        <v>5.7460000000000004E-2</v>
      </c>
      <c r="AQ52" s="126">
        <v>4.2860000000000002E-2</v>
      </c>
      <c r="AR52" s="125">
        <v>1.34</v>
      </c>
      <c r="AS52" s="126">
        <v>2.0959999999999999E-2</v>
      </c>
      <c r="AT52" s="126">
        <v>1.166E-2</v>
      </c>
      <c r="AU52" s="126">
        <v>4.7419999999999997E-2</v>
      </c>
      <c r="AV52" s="126">
        <v>2.6579999999999999E-2</v>
      </c>
      <c r="AW52" s="125">
        <v>1.34</v>
      </c>
      <c r="AX52" s="126">
        <v>9.8799999999999999E-3</v>
      </c>
      <c r="AY52" s="126">
        <v>5.4480000000000001E-2</v>
      </c>
      <c r="AZ52" s="126">
        <v>7.2440000000000004E-2</v>
      </c>
      <c r="BA52" s="126">
        <v>0.10832</v>
      </c>
      <c r="BB52" s="125">
        <v>1.34</v>
      </c>
      <c r="BC52" s="126">
        <v>3.5160000000000004E-2</v>
      </c>
      <c r="BD52" s="126">
        <v>7.5399999999999998E-3</v>
      </c>
      <c r="BE52" s="126">
        <v>6.3839999999999994E-2</v>
      </c>
      <c r="BF52" s="126">
        <v>3.3839999999999995E-2</v>
      </c>
    </row>
    <row r="53" spans="4:58" ht="15.5">
      <c r="D53" s="123">
        <v>1.35</v>
      </c>
      <c r="E53" s="124">
        <v>4.6100000000000002E-2</v>
      </c>
      <c r="F53" s="124">
        <v>2.53E-2</v>
      </c>
      <c r="G53" s="126">
        <v>0</v>
      </c>
      <c r="H53" s="126">
        <v>0</v>
      </c>
      <c r="I53" s="123">
        <v>1.35</v>
      </c>
      <c r="J53" s="124">
        <v>3.5799999999999998E-2</v>
      </c>
      <c r="K53" s="124">
        <v>1.52E-2</v>
      </c>
      <c r="L53" s="124">
        <v>8.2699999999999996E-2</v>
      </c>
      <c r="M53" s="126">
        <v>0</v>
      </c>
      <c r="N53" s="123">
        <v>1.35</v>
      </c>
      <c r="O53" s="124">
        <v>3.9100000000000003E-2</v>
      </c>
      <c r="P53" s="124">
        <v>2.58E-2</v>
      </c>
      <c r="Q53" s="126">
        <v>0</v>
      </c>
      <c r="R53" s="124">
        <v>7.2599999999999998E-2</v>
      </c>
      <c r="S53" s="123">
        <v>1.35</v>
      </c>
      <c r="T53" s="124">
        <v>2.5000000000000001E-2</v>
      </c>
      <c r="U53" s="124">
        <v>8.8000000000000005E-3</v>
      </c>
      <c r="V53" s="124">
        <v>5.8200000000000002E-2</v>
      </c>
      <c r="W53" s="126">
        <v>0</v>
      </c>
      <c r="X53" s="123">
        <v>1.35</v>
      </c>
      <c r="Y53" s="124">
        <v>3.0200000000000001E-2</v>
      </c>
      <c r="Z53" s="124">
        <v>2.35E-2</v>
      </c>
      <c r="AA53" s="126">
        <v>0</v>
      </c>
      <c r="AB53" s="124">
        <v>6.7599999999999993E-2</v>
      </c>
      <c r="AC53" s="123">
        <v>1.35</v>
      </c>
      <c r="AD53" s="124">
        <v>3.2000000000000001E-2</v>
      </c>
      <c r="AE53" s="124">
        <v>1.7600000000000001E-2</v>
      </c>
      <c r="AF53" s="124">
        <v>7.1099999999999997E-2</v>
      </c>
      <c r="AG53" s="124">
        <v>3.9100000000000003E-2</v>
      </c>
      <c r="AH53" s="123">
        <v>1.35</v>
      </c>
      <c r="AI53" s="124">
        <v>2.3300000000000001E-2</v>
      </c>
      <c r="AJ53" s="124">
        <v>1.0999999999999999E-2</v>
      </c>
      <c r="AK53" s="124">
        <v>5.3600000000000002E-2</v>
      </c>
      <c r="AL53" s="124">
        <v>2.2200000000000001E-2</v>
      </c>
      <c r="AM53" s="123">
        <v>1.35</v>
      </c>
      <c r="AN53" s="124">
        <v>2.7199999999999998E-2</v>
      </c>
      <c r="AO53" s="124">
        <v>1.72E-2</v>
      </c>
      <c r="AP53" s="124">
        <v>5.7700000000000001E-2</v>
      </c>
      <c r="AQ53" s="124">
        <v>4.24E-2</v>
      </c>
      <c r="AR53" s="123">
        <v>1.35</v>
      </c>
      <c r="AS53" s="124">
        <v>2.1000000000000001E-2</v>
      </c>
      <c r="AT53" s="124">
        <v>1.15E-2</v>
      </c>
      <c r="AU53" s="124">
        <v>4.7399999999999998E-2</v>
      </c>
      <c r="AV53" s="124">
        <v>2.6200000000000001E-2</v>
      </c>
      <c r="AW53" s="123">
        <v>1.35</v>
      </c>
      <c r="AX53" s="124">
        <v>9.8499999999999994E-3</v>
      </c>
      <c r="AY53" s="124">
        <v>5.4600000000000003E-2</v>
      </c>
      <c r="AZ53" s="124">
        <v>7.3050000000000004E-2</v>
      </c>
      <c r="BA53" s="124">
        <v>0.10885</v>
      </c>
      <c r="BB53" s="123">
        <v>1.35</v>
      </c>
      <c r="BC53" s="124">
        <v>3.49E-2</v>
      </c>
      <c r="BD53" s="124">
        <v>7.4499999999999992E-3</v>
      </c>
      <c r="BE53" s="124">
        <v>6.334999999999999E-2</v>
      </c>
      <c r="BF53" s="124">
        <v>3.3449999999999994E-2</v>
      </c>
    </row>
    <row r="54" spans="4:58" ht="15.5">
      <c r="D54" s="125">
        <v>1.36</v>
      </c>
      <c r="E54" s="126">
        <v>4.6260000000000003E-2</v>
      </c>
      <c r="F54" s="126">
        <v>2.504E-2</v>
      </c>
      <c r="G54" s="126">
        <v>0</v>
      </c>
      <c r="H54" s="126">
        <v>0</v>
      </c>
      <c r="I54" s="125">
        <v>1.36</v>
      </c>
      <c r="J54" s="126">
        <v>3.5779999999999999E-2</v>
      </c>
      <c r="K54" s="126">
        <v>1.4959999999999999E-2</v>
      </c>
      <c r="L54" s="126">
        <v>8.231999999999999E-2</v>
      </c>
      <c r="M54" s="126">
        <v>0</v>
      </c>
      <c r="N54" s="125">
        <v>1.36</v>
      </c>
      <c r="O54" s="126">
        <v>3.9300000000000002E-2</v>
      </c>
      <c r="P54" s="126">
        <v>2.5599999999999998E-2</v>
      </c>
      <c r="Q54" s="126">
        <v>0</v>
      </c>
      <c r="R54" s="126">
        <v>7.1840000000000001E-2</v>
      </c>
      <c r="S54" s="125">
        <v>1.36</v>
      </c>
      <c r="T54" s="126">
        <v>2.4900000000000002E-2</v>
      </c>
      <c r="U54" s="126">
        <v>8.6400000000000001E-3</v>
      </c>
      <c r="V54" s="126">
        <v>5.7860000000000002E-2</v>
      </c>
      <c r="W54" s="126">
        <v>0</v>
      </c>
      <c r="X54" s="125">
        <v>1.36</v>
      </c>
      <c r="Y54" s="126">
        <v>3.0480000000000004E-2</v>
      </c>
      <c r="Z54" s="126">
        <v>2.3379999999999998E-2</v>
      </c>
      <c r="AA54" s="126">
        <v>0</v>
      </c>
      <c r="AB54" s="126">
        <v>6.7279999999999993E-2</v>
      </c>
      <c r="AC54" s="125">
        <v>1.36</v>
      </c>
      <c r="AD54" s="126">
        <v>3.2059999999999998E-2</v>
      </c>
      <c r="AE54" s="126">
        <v>1.738E-2</v>
      </c>
      <c r="AF54" s="126">
        <v>7.1059999999999998E-2</v>
      </c>
      <c r="AG54" s="126">
        <v>3.85E-2</v>
      </c>
      <c r="AH54" s="125">
        <v>1.36</v>
      </c>
      <c r="AI54" s="126">
        <v>2.324E-2</v>
      </c>
      <c r="AJ54" s="126">
        <v>1.0839999999999999E-2</v>
      </c>
      <c r="AK54" s="126">
        <v>5.3400000000000003E-2</v>
      </c>
      <c r="AL54" s="126">
        <v>2.18E-2</v>
      </c>
      <c r="AM54" s="125">
        <v>1.36</v>
      </c>
      <c r="AN54" s="126">
        <v>2.734E-2</v>
      </c>
      <c r="AO54" s="126">
        <v>1.6999999999999998E-2</v>
      </c>
      <c r="AP54" s="126">
        <v>5.7919999999999999E-2</v>
      </c>
      <c r="AQ54" s="126">
        <v>4.1919999999999999E-2</v>
      </c>
      <c r="AR54" s="125">
        <v>1.36</v>
      </c>
      <c r="AS54" s="126">
        <v>2.1000000000000001E-2</v>
      </c>
      <c r="AT54" s="126">
        <v>1.1339999999999999E-2</v>
      </c>
      <c r="AU54" s="126">
        <v>4.537999999999999E-2</v>
      </c>
      <c r="AV54" s="126">
        <v>2.5759999999999998E-2</v>
      </c>
      <c r="AW54" s="125">
        <v>1.36</v>
      </c>
      <c r="AX54" s="126">
        <v>9.8199999999999989E-3</v>
      </c>
      <c r="AY54" s="126">
        <v>5.4720000000000005E-2</v>
      </c>
      <c r="AZ54" s="126">
        <v>7.3660000000000003E-2</v>
      </c>
      <c r="BA54" s="126">
        <v>0.10938000000000001</v>
      </c>
      <c r="BB54" s="125">
        <v>1.36</v>
      </c>
      <c r="BC54" s="126">
        <v>3.4639999999999997E-2</v>
      </c>
      <c r="BD54" s="126">
        <v>7.3599999999999994E-3</v>
      </c>
      <c r="BE54" s="126">
        <v>6.2859999999999985E-2</v>
      </c>
      <c r="BF54" s="126">
        <v>3.3059999999999992E-2</v>
      </c>
    </row>
    <row r="55" spans="4:58" ht="15.5">
      <c r="D55" s="125">
        <v>1.37</v>
      </c>
      <c r="E55" s="126">
        <v>4.6420000000000003E-2</v>
      </c>
      <c r="F55" s="126">
        <v>2.4779999999999996E-2</v>
      </c>
      <c r="G55" s="126">
        <v>0</v>
      </c>
      <c r="H55" s="126">
        <v>0</v>
      </c>
      <c r="I55" s="125">
        <v>1.37</v>
      </c>
      <c r="J55" s="126">
        <v>3.576E-2</v>
      </c>
      <c r="K55" s="126">
        <v>1.4719999999999999E-2</v>
      </c>
      <c r="L55" s="126">
        <v>8.1939999999999999E-2</v>
      </c>
      <c r="M55" s="126">
        <v>0</v>
      </c>
      <c r="N55" s="125">
        <v>1.37</v>
      </c>
      <c r="O55" s="126">
        <v>3.95E-2</v>
      </c>
      <c r="P55" s="126">
        <v>2.5399999999999999E-2</v>
      </c>
      <c r="Q55" s="126">
        <v>0</v>
      </c>
      <c r="R55" s="126">
        <v>7.107999999999999E-2</v>
      </c>
      <c r="S55" s="125">
        <v>1.37</v>
      </c>
      <c r="T55" s="126">
        <v>2.4799999999999999E-2</v>
      </c>
      <c r="U55" s="126">
        <v>8.4799999999999997E-3</v>
      </c>
      <c r="V55" s="126">
        <v>5.7520000000000002E-2</v>
      </c>
      <c r="W55" s="126">
        <v>0</v>
      </c>
      <c r="X55" s="125">
        <v>1.37</v>
      </c>
      <c r="Y55" s="126">
        <v>3.0760000000000006E-2</v>
      </c>
      <c r="Z55" s="126">
        <v>2.3259999999999999E-2</v>
      </c>
      <c r="AA55" s="126">
        <v>0</v>
      </c>
      <c r="AB55" s="126">
        <v>6.6959999999999992E-2</v>
      </c>
      <c r="AC55" s="125">
        <v>1.37</v>
      </c>
      <c r="AD55" s="126">
        <v>3.2120000000000003E-2</v>
      </c>
      <c r="AE55" s="126">
        <v>1.7159999999999998E-2</v>
      </c>
      <c r="AF55" s="126">
        <v>7.102E-2</v>
      </c>
      <c r="AG55" s="126">
        <v>3.7899999999999996E-2</v>
      </c>
      <c r="AH55" s="125">
        <v>1.37</v>
      </c>
      <c r="AI55" s="126">
        <v>2.3179999999999999E-2</v>
      </c>
      <c r="AJ55" s="126">
        <v>1.0679999999999999E-2</v>
      </c>
      <c r="AK55" s="126">
        <v>5.3199999999999997E-2</v>
      </c>
      <c r="AL55" s="126">
        <v>2.1399999999999995E-2</v>
      </c>
      <c r="AM55" s="125">
        <v>1.37</v>
      </c>
      <c r="AN55" s="126">
        <v>2.7480000000000001E-2</v>
      </c>
      <c r="AO55" s="126">
        <v>1.6799999999999999E-2</v>
      </c>
      <c r="AP55" s="126">
        <v>5.8140000000000004E-2</v>
      </c>
      <c r="AQ55" s="126">
        <v>4.1439999999999998E-2</v>
      </c>
      <c r="AR55" s="125">
        <v>1.37</v>
      </c>
      <c r="AS55" s="126">
        <v>2.1000000000000001E-2</v>
      </c>
      <c r="AT55" s="126">
        <v>1.1179999999999999E-2</v>
      </c>
      <c r="AU55" s="126">
        <v>4.3359999999999982E-2</v>
      </c>
      <c r="AV55" s="126">
        <v>2.5319999999999995E-2</v>
      </c>
      <c r="AW55" s="125">
        <v>1.37</v>
      </c>
      <c r="AX55" s="126">
        <v>9.7900000000000001E-3</v>
      </c>
      <c r="AY55" s="126">
        <v>5.484E-2</v>
      </c>
      <c r="AZ55" s="126">
        <v>7.4270000000000003E-2</v>
      </c>
      <c r="BA55" s="126">
        <v>0.10991000000000001</v>
      </c>
      <c r="BB55" s="125">
        <v>1.37</v>
      </c>
      <c r="BC55" s="126">
        <v>3.4379999999999994E-2</v>
      </c>
      <c r="BD55" s="126">
        <v>7.2699999999999987E-3</v>
      </c>
      <c r="BE55" s="126">
        <v>6.2369999999999988E-2</v>
      </c>
      <c r="BF55" s="126">
        <v>3.2669999999999991E-2</v>
      </c>
    </row>
    <row r="56" spans="4:58" ht="15.5">
      <c r="D56" s="125">
        <v>1.38</v>
      </c>
      <c r="E56" s="126">
        <v>4.6579999999999996E-2</v>
      </c>
      <c r="F56" s="126">
        <v>2.4520000000000004E-2</v>
      </c>
      <c r="G56" s="126">
        <v>0</v>
      </c>
      <c r="H56" s="126">
        <v>0</v>
      </c>
      <c r="I56" s="125">
        <v>1.38</v>
      </c>
      <c r="J56" s="126">
        <v>3.5740000000000001E-2</v>
      </c>
      <c r="K56" s="126">
        <v>1.4480000000000002E-2</v>
      </c>
      <c r="L56" s="126">
        <v>8.1559999999999994E-2</v>
      </c>
      <c r="M56" s="126">
        <v>0</v>
      </c>
      <c r="N56" s="125">
        <v>1.38</v>
      </c>
      <c r="O56" s="126">
        <v>3.9699999999999999E-2</v>
      </c>
      <c r="P56" s="126">
        <v>2.52E-2</v>
      </c>
      <c r="Q56" s="126">
        <v>0</v>
      </c>
      <c r="R56" s="126">
        <v>7.0320000000000008E-2</v>
      </c>
      <c r="S56" s="125">
        <v>1.38</v>
      </c>
      <c r="T56" s="126">
        <v>2.4700000000000003E-2</v>
      </c>
      <c r="U56" s="126">
        <v>8.320000000000001E-3</v>
      </c>
      <c r="V56" s="126">
        <v>5.7180000000000002E-2</v>
      </c>
      <c r="W56" s="126">
        <v>0</v>
      </c>
      <c r="X56" s="125">
        <v>1.38</v>
      </c>
      <c r="Y56" s="126">
        <v>3.1039999999999998E-2</v>
      </c>
      <c r="Z56" s="126">
        <v>2.3140000000000001E-2</v>
      </c>
      <c r="AA56" s="126">
        <v>0</v>
      </c>
      <c r="AB56" s="126">
        <v>6.6640000000000005E-2</v>
      </c>
      <c r="AC56" s="125">
        <v>1.38</v>
      </c>
      <c r="AD56" s="126">
        <v>3.218E-2</v>
      </c>
      <c r="AE56" s="126">
        <v>1.6940000000000004E-2</v>
      </c>
      <c r="AF56" s="126">
        <v>7.0980000000000001E-2</v>
      </c>
      <c r="AG56" s="126">
        <v>3.7300000000000007E-2</v>
      </c>
      <c r="AH56" s="125">
        <v>1.38</v>
      </c>
      <c r="AI56" s="126">
        <v>2.3120000000000002E-2</v>
      </c>
      <c r="AJ56" s="126">
        <v>1.0520000000000002E-2</v>
      </c>
      <c r="AK56" s="126">
        <v>5.3000000000000005E-2</v>
      </c>
      <c r="AL56" s="126">
        <v>2.1000000000000005E-2</v>
      </c>
      <c r="AM56" s="125">
        <v>1.38</v>
      </c>
      <c r="AN56" s="126">
        <v>2.7619999999999999E-2</v>
      </c>
      <c r="AO56" s="126">
        <v>1.66E-2</v>
      </c>
      <c r="AP56" s="126">
        <v>5.8359999999999995E-2</v>
      </c>
      <c r="AQ56" s="126">
        <v>4.0960000000000003E-2</v>
      </c>
      <c r="AR56" s="125">
        <v>1.38</v>
      </c>
      <c r="AS56" s="126">
        <v>2.1000000000000001E-2</v>
      </c>
      <c r="AT56" s="126">
        <v>1.102E-2</v>
      </c>
      <c r="AU56" s="126">
        <v>4.1340000000000016E-2</v>
      </c>
      <c r="AV56" s="126">
        <v>2.4880000000000006E-2</v>
      </c>
      <c r="AW56" s="125">
        <v>1.38</v>
      </c>
      <c r="AX56" s="126">
        <v>9.7599999999999996E-3</v>
      </c>
      <c r="AY56" s="126">
        <v>5.4960000000000002E-2</v>
      </c>
      <c r="AZ56" s="126">
        <v>7.4880000000000002E-2</v>
      </c>
      <c r="BA56" s="126">
        <v>0.11044</v>
      </c>
      <c r="BB56" s="125">
        <v>1.38</v>
      </c>
      <c r="BC56" s="126">
        <v>3.4120000000000004E-2</v>
      </c>
      <c r="BD56" s="126">
        <v>7.1800000000000006E-3</v>
      </c>
      <c r="BE56" s="126">
        <v>6.1880000000000004E-2</v>
      </c>
      <c r="BF56" s="126">
        <v>3.2280000000000003E-2</v>
      </c>
    </row>
    <row r="57" spans="4:58" ht="15.5">
      <c r="D57" s="125">
        <v>1.39</v>
      </c>
      <c r="E57" s="126">
        <v>4.6739999999999997E-2</v>
      </c>
      <c r="F57" s="126">
        <v>2.426E-2</v>
      </c>
      <c r="G57" s="126">
        <v>0</v>
      </c>
      <c r="H57" s="126">
        <v>0</v>
      </c>
      <c r="I57" s="125">
        <v>1.39</v>
      </c>
      <c r="J57" s="126">
        <v>3.5720000000000002E-2</v>
      </c>
      <c r="K57" s="126">
        <v>1.4240000000000001E-2</v>
      </c>
      <c r="L57" s="126">
        <v>8.1180000000000002E-2</v>
      </c>
      <c r="M57" s="126">
        <v>0</v>
      </c>
      <c r="N57" s="125">
        <v>1.39</v>
      </c>
      <c r="O57" s="126">
        <v>3.9899999999999998E-2</v>
      </c>
      <c r="P57" s="126">
        <v>2.5000000000000001E-2</v>
      </c>
      <c r="Q57" s="126">
        <v>0</v>
      </c>
      <c r="R57" s="126">
        <v>6.9559999999999997E-2</v>
      </c>
      <c r="S57" s="125">
        <v>1.39</v>
      </c>
      <c r="T57" s="126">
        <v>2.46E-2</v>
      </c>
      <c r="U57" s="126">
        <v>8.1600000000000006E-3</v>
      </c>
      <c r="V57" s="126">
        <v>5.6840000000000002E-2</v>
      </c>
      <c r="W57" s="126">
        <v>0</v>
      </c>
      <c r="X57" s="125">
        <v>1.39</v>
      </c>
      <c r="Y57" s="126">
        <v>3.1320000000000001E-2</v>
      </c>
      <c r="Z57" s="126">
        <v>2.3020000000000002E-2</v>
      </c>
      <c r="AA57" s="126">
        <v>0</v>
      </c>
      <c r="AB57" s="126">
        <v>6.6320000000000004E-2</v>
      </c>
      <c r="AC57" s="125">
        <v>1.39</v>
      </c>
      <c r="AD57" s="126">
        <v>3.2240000000000005E-2</v>
      </c>
      <c r="AE57" s="126">
        <v>1.6720000000000002E-2</v>
      </c>
      <c r="AF57" s="126">
        <v>7.0940000000000003E-2</v>
      </c>
      <c r="AG57" s="126">
        <v>3.6700000000000003E-2</v>
      </c>
      <c r="AH57" s="125">
        <v>1.39</v>
      </c>
      <c r="AI57" s="126">
        <v>2.3060000000000001E-2</v>
      </c>
      <c r="AJ57" s="126">
        <v>1.0360000000000001E-2</v>
      </c>
      <c r="AK57" s="126">
        <v>5.28E-2</v>
      </c>
      <c r="AL57" s="126">
        <v>2.06E-2</v>
      </c>
      <c r="AM57" s="125">
        <v>1.39</v>
      </c>
      <c r="AN57" s="126">
        <v>2.776E-2</v>
      </c>
      <c r="AO57" s="126">
        <v>1.6400000000000001E-2</v>
      </c>
      <c r="AP57" s="126">
        <v>5.858E-2</v>
      </c>
      <c r="AQ57" s="126">
        <v>4.0480000000000002E-2</v>
      </c>
      <c r="AR57" s="125">
        <v>1.39</v>
      </c>
      <c r="AS57" s="126">
        <v>2.1000000000000001E-2</v>
      </c>
      <c r="AT57" s="126">
        <v>1.086E-2</v>
      </c>
      <c r="AU57" s="126">
        <v>3.9320000000000008E-2</v>
      </c>
      <c r="AV57" s="126">
        <v>2.4440000000000003E-2</v>
      </c>
      <c r="AW57" s="125">
        <v>1.39</v>
      </c>
      <c r="AX57" s="126">
        <v>9.7300000000000008E-3</v>
      </c>
      <c r="AY57" s="126">
        <v>5.5079999999999997E-2</v>
      </c>
      <c r="AZ57" s="126">
        <v>7.5490000000000002E-2</v>
      </c>
      <c r="BA57" s="126">
        <v>0.11097</v>
      </c>
      <c r="BB57" s="125">
        <v>1.39</v>
      </c>
      <c r="BC57" s="126">
        <v>3.3860000000000001E-2</v>
      </c>
      <c r="BD57" s="126">
        <v>7.0900000000000008E-3</v>
      </c>
      <c r="BE57" s="126">
        <v>6.139E-2</v>
      </c>
      <c r="BF57" s="126">
        <v>3.1890000000000002E-2</v>
      </c>
    </row>
    <row r="58" spans="4:58" ht="15.5">
      <c r="D58" s="123">
        <v>1.4</v>
      </c>
      <c r="E58" s="124">
        <v>4.6899999999999997E-2</v>
      </c>
      <c r="F58" s="124">
        <v>2.4E-2</v>
      </c>
      <c r="G58" s="126">
        <v>0</v>
      </c>
      <c r="H58" s="126">
        <v>0</v>
      </c>
      <c r="I58" s="123">
        <v>1.4</v>
      </c>
      <c r="J58" s="124">
        <v>3.5700000000000003E-2</v>
      </c>
      <c r="K58" s="124">
        <v>1.4E-2</v>
      </c>
      <c r="L58" s="124">
        <v>8.0799999999999997E-2</v>
      </c>
      <c r="M58" s="126">
        <v>0</v>
      </c>
      <c r="N58" s="123">
        <v>1.4</v>
      </c>
      <c r="O58" s="124">
        <v>4.0099999999999997E-2</v>
      </c>
      <c r="P58" s="124">
        <v>2.4799999999999999E-2</v>
      </c>
      <c r="Q58" s="126">
        <v>0</v>
      </c>
      <c r="R58" s="124">
        <v>6.88E-2</v>
      </c>
      <c r="S58" s="123">
        <v>1.4</v>
      </c>
      <c r="T58" s="124">
        <v>2.4500000000000001E-2</v>
      </c>
      <c r="U58" s="124">
        <v>8.0000000000000002E-3</v>
      </c>
      <c r="V58" s="124">
        <v>5.6500000000000002E-2</v>
      </c>
      <c r="W58" s="126">
        <v>0</v>
      </c>
      <c r="X58" s="123">
        <v>1.4</v>
      </c>
      <c r="Y58" s="124">
        <v>3.1600000000000003E-2</v>
      </c>
      <c r="Z58" s="124">
        <v>2.29E-2</v>
      </c>
      <c r="AA58" s="126">
        <v>0</v>
      </c>
      <c r="AB58" s="124">
        <v>6.6000000000000003E-2</v>
      </c>
      <c r="AC58" s="123">
        <v>1.4</v>
      </c>
      <c r="AD58" s="124">
        <v>3.2300000000000002E-2</v>
      </c>
      <c r="AE58" s="124">
        <v>1.6500000000000001E-2</v>
      </c>
      <c r="AF58" s="124">
        <v>7.0900000000000005E-2</v>
      </c>
      <c r="AG58" s="124">
        <v>3.61E-2</v>
      </c>
      <c r="AH58" s="123">
        <v>1.4</v>
      </c>
      <c r="AI58" s="124">
        <v>2.3E-2</v>
      </c>
      <c r="AJ58" s="124">
        <v>1.0200000000000001E-2</v>
      </c>
      <c r="AK58" s="124">
        <v>5.2600000000000001E-2</v>
      </c>
      <c r="AL58" s="124">
        <v>2.0199999999999999E-2</v>
      </c>
      <c r="AM58" s="123">
        <v>1.4</v>
      </c>
      <c r="AN58" s="124">
        <v>2.7900000000000001E-2</v>
      </c>
      <c r="AO58" s="124">
        <v>1.6199999999999999E-2</v>
      </c>
      <c r="AP58" s="124">
        <v>5.8799999999999998E-2</v>
      </c>
      <c r="AQ58" s="124">
        <v>0.04</v>
      </c>
      <c r="AR58" s="123">
        <v>1.4</v>
      </c>
      <c r="AS58" s="124">
        <v>2.1000000000000001E-2</v>
      </c>
      <c r="AT58" s="124">
        <v>1.0699999999999999E-2</v>
      </c>
      <c r="AU58" s="124">
        <v>3.73E-2</v>
      </c>
      <c r="AV58" s="124">
        <v>2.4E-2</v>
      </c>
      <c r="AW58" s="123">
        <v>1.4</v>
      </c>
      <c r="AX58" s="124">
        <v>9.7000000000000003E-3</v>
      </c>
      <c r="AY58" s="124">
        <v>5.5199999999999999E-2</v>
      </c>
      <c r="AZ58" s="124">
        <v>7.6100000000000001E-2</v>
      </c>
      <c r="BA58" s="124">
        <v>0.1115</v>
      </c>
      <c r="BB58" s="123">
        <v>1.4</v>
      </c>
      <c r="BC58" s="124">
        <v>3.3599999999999998E-2</v>
      </c>
      <c r="BD58" s="124">
        <v>7.0000000000000001E-3</v>
      </c>
      <c r="BE58" s="124">
        <v>6.0900000000000003E-2</v>
      </c>
      <c r="BF58" s="124">
        <v>3.15E-2</v>
      </c>
    </row>
    <row r="59" spans="4:58" ht="15.5">
      <c r="D59" s="125">
        <v>1.41</v>
      </c>
      <c r="E59" s="126">
        <v>4.7019999999999999E-2</v>
      </c>
      <c r="F59" s="126">
        <v>2.3699999999999999E-2</v>
      </c>
      <c r="G59" s="126">
        <v>0</v>
      </c>
      <c r="H59" s="126">
        <v>0</v>
      </c>
      <c r="I59" s="125">
        <v>1.41</v>
      </c>
      <c r="J59" s="126">
        <v>3.5619999999999999E-2</v>
      </c>
      <c r="K59" s="126">
        <v>1.376E-2</v>
      </c>
      <c r="L59" s="126">
        <v>8.0439999999999998E-2</v>
      </c>
      <c r="M59" s="126">
        <v>0</v>
      </c>
      <c r="N59" s="125">
        <v>1.41</v>
      </c>
      <c r="O59" s="126">
        <v>4.0299999999999996E-2</v>
      </c>
      <c r="P59" s="126">
        <v>2.4579999999999998E-2</v>
      </c>
      <c r="Q59" s="126">
        <v>0</v>
      </c>
      <c r="R59" s="126">
        <v>6.812E-2</v>
      </c>
      <c r="S59" s="125">
        <v>1.41</v>
      </c>
      <c r="T59" s="126">
        <v>2.4400000000000002E-2</v>
      </c>
      <c r="U59" s="126">
        <v>7.8399999999999997E-3</v>
      </c>
      <c r="V59" s="126">
        <v>5.62E-2</v>
      </c>
      <c r="W59" s="126">
        <v>0</v>
      </c>
      <c r="X59" s="125">
        <v>1.41</v>
      </c>
      <c r="Y59" s="126">
        <v>3.1859999999999999E-2</v>
      </c>
      <c r="Z59" s="126">
        <v>2.2759999999999999E-2</v>
      </c>
      <c r="AA59" s="126">
        <v>0</v>
      </c>
      <c r="AB59" s="126">
        <v>6.5619999999999998E-2</v>
      </c>
      <c r="AC59" s="125">
        <v>1.41</v>
      </c>
      <c r="AD59" s="126">
        <v>3.2320000000000002E-2</v>
      </c>
      <c r="AE59" s="126">
        <v>1.6279999999999999E-2</v>
      </c>
      <c r="AF59" s="126">
        <v>7.078000000000001E-2</v>
      </c>
      <c r="AG59" s="126">
        <v>3.5560000000000001E-2</v>
      </c>
      <c r="AH59" s="125">
        <v>1.41</v>
      </c>
      <c r="AI59" s="126">
        <v>2.2960000000000001E-2</v>
      </c>
      <c r="AJ59" s="126">
        <v>1.004E-2</v>
      </c>
      <c r="AK59" s="126">
        <v>5.2400000000000002E-2</v>
      </c>
      <c r="AL59" s="126">
        <v>1.9859999999999999E-2</v>
      </c>
      <c r="AM59" s="125">
        <v>1.41</v>
      </c>
      <c r="AN59" s="126">
        <v>2.7960000000000002E-2</v>
      </c>
      <c r="AO59" s="126">
        <v>1.6039999999999999E-2</v>
      </c>
      <c r="AP59" s="126">
        <v>5.8900000000000001E-2</v>
      </c>
      <c r="AQ59" s="126">
        <v>3.9539999999999999E-2</v>
      </c>
      <c r="AR59" s="125">
        <v>1.41</v>
      </c>
      <c r="AS59" s="126">
        <v>2.0980000000000002E-2</v>
      </c>
      <c r="AT59" s="126">
        <v>1.056E-2</v>
      </c>
      <c r="AU59" s="126">
        <v>3.9219999999999998E-2</v>
      </c>
      <c r="AV59" s="126">
        <v>2.366E-2</v>
      </c>
      <c r="AW59" s="125">
        <v>1.41</v>
      </c>
      <c r="AX59" s="126">
        <v>9.6800000000000011E-3</v>
      </c>
      <c r="AY59" s="126">
        <v>5.5239999999999997E-2</v>
      </c>
      <c r="AZ59" s="126">
        <v>7.6700000000000004E-2</v>
      </c>
      <c r="BA59" s="126">
        <v>0.1119</v>
      </c>
      <c r="BB59" s="125">
        <v>1.41</v>
      </c>
      <c r="BC59" s="126">
        <v>3.3349999999999998E-2</v>
      </c>
      <c r="BD59" s="126">
        <v>6.8900000000000003E-3</v>
      </c>
      <c r="BE59" s="126">
        <v>6.0430000000000005E-2</v>
      </c>
      <c r="BF59" s="126">
        <v>3.1140000000000001E-2</v>
      </c>
    </row>
    <row r="60" spans="4:58" ht="15.5">
      <c r="D60" s="125">
        <v>1.42</v>
      </c>
      <c r="E60" s="126">
        <v>4.7140000000000001E-2</v>
      </c>
      <c r="F60" s="126">
        <v>2.3400000000000001E-2</v>
      </c>
      <c r="G60" s="126">
        <v>0</v>
      </c>
      <c r="H60" s="126">
        <v>0</v>
      </c>
      <c r="I60" s="125">
        <v>1.42</v>
      </c>
      <c r="J60" s="126">
        <v>3.5540000000000002E-2</v>
      </c>
      <c r="K60" s="126">
        <v>1.3520000000000001E-2</v>
      </c>
      <c r="L60" s="126">
        <v>8.0079999999999998E-2</v>
      </c>
      <c r="M60" s="126">
        <v>0</v>
      </c>
      <c r="N60" s="125">
        <v>1.42</v>
      </c>
      <c r="O60" s="126">
        <v>4.0499999999999994E-2</v>
      </c>
      <c r="P60" s="126">
        <v>2.436E-2</v>
      </c>
      <c r="Q60" s="126">
        <v>0</v>
      </c>
      <c r="R60" s="126">
        <v>6.744E-2</v>
      </c>
      <c r="S60" s="125">
        <v>1.42</v>
      </c>
      <c r="T60" s="126">
        <v>2.4300000000000002E-2</v>
      </c>
      <c r="U60" s="126">
        <v>7.6800000000000002E-3</v>
      </c>
      <c r="V60" s="126">
        <v>5.5899999999999998E-2</v>
      </c>
      <c r="W60" s="126">
        <v>0</v>
      </c>
      <c r="X60" s="125">
        <v>1.42</v>
      </c>
      <c r="Y60" s="126">
        <v>3.2120000000000003E-2</v>
      </c>
      <c r="Z60" s="126">
        <v>2.2620000000000001E-2</v>
      </c>
      <c r="AA60" s="126">
        <v>0</v>
      </c>
      <c r="AB60" s="126">
        <v>6.5240000000000006E-2</v>
      </c>
      <c r="AC60" s="125">
        <v>1.42</v>
      </c>
      <c r="AD60" s="126">
        <v>3.2340000000000001E-2</v>
      </c>
      <c r="AE60" s="126">
        <v>1.6060000000000001E-2</v>
      </c>
      <c r="AF60" s="126">
        <v>7.0660000000000001E-2</v>
      </c>
      <c r="AG60" s="126">
        <v>3.5020000000000003E-2</v>
      </c>
      <c r="AH60" s="125">
        <v>1.42</v>
      </c>
      <c r="AI60" s="126">
        <v>2.2919999999999999E-2</v>
      </c>
      <c r="AJ60" s="126">
        <v>9.8799999999999999E-3</v>
      </c>
      <c r="AK60" s="126">
        <v>5.2200000000000003E-2</v>
      </c>
      <c r="AL60" s="126">
        <v>1.9519999999999999E-2</v>
      </c>
      <c r="AM60" s="125">
        <v>1.42</v>
      </c>
      <c r="AN60" s="126">
        <v>2.802E-2</v>
      </c>
      <c r="AO60" s="126">
        <v>1.5879999999999998E-2</v>
      </c>
      <c r="AP60" s="126">
        <v>5.8999999999999997E-2</v>
      </c>
      <c r="AQ60" s="126">
        <v>3.9079999999999997E-2</v>
      </c>
      <c r="AR60" s="125">
        <v>1.42</v>
      </c>
      <c r="AS60" s="126">
        <v>2.0959999999999999E-2</v>
      </c>
      <c r="AT60" s="126">
        <v>1.042E-2</v>
      </c>
      <c r="AU60" s="126">
        <v>4.1139999999999996E-2</v>
      </c>
      <c r="AV60" s="126">
        <v>2.332E-2</v>
      </c>
      <c r="AW60" s="125">
        <v>1.42</v>
      </c>
      <c r="AX60" s="126">
        <v>9.6600000000000002E-3</v>
      </c>
      <c r="AY60" s="126">
        <v>5.5279999999999996E-2</v>
      </c>
      <c r="AZ60" s="126">
        <v>7.7300000000000008E-2</v>
      </c>
      <c r="BA60" s="126">
        <v>0.1123</v>
      </c>
      <c r="BB60" s="125">
        <v>1.42</v>
      </c>
      <c r="BC60" s="126">
        <v>3.3099999999999997E-2</v>
      </c>
      <c r="BD60" s="126">
        <v>6.7800000000000004E-3</v>
      </c>
      <c r="BE60" s="126">
        <v>5.9960000000000006E-2</v>
      </c>
      <c r="BF60" s="126">
        <v>3.0780000000000002E-2</v>
      </c>
    </row>
    <row r="61" spans="4:58" ht="15.5">
      <c r="D61" s="125">
        <v>1.43</v>
      </c>
      <c r="E61" s="126">
        <v>4.7259999999999996E-2</v>
      </c>
      <c r="F61" s="126">
        <v>2.3099999999999999E-2</v>
      </c>
      <c r="G61" s="126">
        <v>0</v>
      </c>
      <c r="H61" s="126">
        <v>0</v>
      </c>
      <c r="I61" s="125">
        <v>1.43</v>
      </c>
      <c r="J61" s="126">
        <v>3.5459999999999998E-2</v>
      </c>
      <c r="K61" s="126">
        <v>1.328E-2</v>
      </c>
      <c r="L61" s="126">
        <v>7.9719999999999999E-2</v>
      </c>
      <c r="M61" s="126">
        <v>0</v>
      </c>
      <c r="N61" s="125">
        <v>1.43</v>
      </c>
      <c r="O61" s="126">
        <v>4.07E-2</v>
      </c>
      <c r="P61" s="126">
        <v>2.4139999999999998E-2</v>
      </c>
      <c r="Q61" s="126">
        <v>0</v>
      </c>
      <c r="R61" s="126">
        <v>6.676E-2</v>
      </c>
      <c r="S61" s="125">
        <v>1.43</v>
      </c>
      <c r="T61" s="126">
        <v>2.4199999999999999E-2</v>
      </c>
      <c r="U61" s="126">
        <v>7.5199999999999998E-3</v>
      </c>
      <c r="V61" s="126">
        <v>5.5600000000000004E-2</v>
      </c>
      <c r="W61" s="126">
        <v>0</v>
      </c>
      <c r="X61" s="125">
        <v>1.43</v>
      </c>
      <c r="Y61" s="126">
        <v>3.2379999999999999E-2</v>
      </c>
      <c r="Z61" s="126">
        <v>2.248E-2</v>
      </c>
      <c r="AA61" s="126">
        <v>0</v>
      </c>
      <c r="AB61" s="126">
        <v>6.4860000000000001E-2</v>
      </c>
      <c r="AC61" s="125">
        <v>1.43</v>
      </c>
      <c r="AD61" s="126">
        <v>3.236E-2</v>
      </c>
      <c r="AE61" s="126">
        <v>1.584E-2</v>
      </c>
      <c r="AF61" s="126">
        <v>7.0540000000000005E-2</v>
      </c>
      <c r="AG61" s="126">
        <v>3.4479999999999997E-2</v>
      </c>
      <c r="AH61" s="125">
        <v>1.43</v>
      </c>
      <c r="AI61" s="126">
        <v>2.2880000000000001E-2</v>
      </c>
      <c r="AJ61" s="126">
        <v>9.7200000000000012E-3</v>
      </c>
      <c r="AK61" s="126">
        <v>5.1999999999999998E-2</v>
      </c>
      <c r="AL61" s="126">
        <v>1.9179999999999999E-2</v>
      </c>
      <c r="AM61" s="125">
        <v>1.43</v>
      </c>
      <c r="AN61" s="126">
        <v>2.8080000000000001E-2</v>
      </c>
      <c r="AO61" s="126">
        <v>1.5720000000000001E-2</v>
      </c>
      <c r="AP61" s="126">
        <v>5.91E-2</v>
      </c>
      <c r="AQ61" s="126">
        <v>3.8620000000000002E-2</v>
      </c>
      <c r="AR61" s="125">
        <v>1.43</v>
      </c>
      <c r="AS61" s="126">
        <v>2.094E-2</v>
      </c>
      <c r="AT61" s="126">
        <v>1.0279999999999999E-2</v>
      </c>
      <c r="AU61" s="126">
        <v>4.3060000000000001E-2</v>
      </c>
      <c r="AV61" s="126">
        <v>2.298E-2</v>
      </c>
      <c r="AW61" s="125">
        <v>1.43</v>
      </c>
      <c r="AX61" s="126">
        <v>9.640000000000001E-3</v>
      </c>
      <c r="AY61" s="126">
        <v>5.5320000000000001E-2</v>
      </c>
      <c r="AZ61" s="126">
        <v>7.7899999999999997E-2</v>
      </c>
      <c r="BA61" s="126">
        <v>0.11270000000000001</v>
      </c>
      <c r="BB61" s="125">
        <v>1.43</v>
      </c>
      <c r="BC61" s="126">
        <v>3.2849999999999997E-2</v>
      </c>
      <c r="BD61" s="126">
        <v>6.6699999999999997E-3</v>
      </c>
      <c r="BE61" s="126">
        <v>5.9490000000000001E-2</v>
      </c>
      <c r="BF61" s="126">
        <v>3.0419999999999999E-2</v>
      </c>
    </row>
    <row r="62" spans="4:58" ht="15.5">
      <c r="D62" s="125">
        <v>1.44</v>
      </c>
      <c r="E62" s="126">
        <v>4.7379999999999999E-2</v>
      </c>
      <c r="F62" s="126">
        <v>2.2800000000000001E-2</v>
      </c>
      <c r="G62" s="126">
        <v>0</v>
      </c>
      <c r="H62" s="126">
        <v>0</v>
      </c>
      <c r="I62" s="125">
        <v>1.44</v>
      </c>
      <c r="J62" s="126">
        <v>3.5380000000000002E-2</v>
      </c>
      <c r="K62" s="126">
        <v>1.3040000000000001E-2</v>
      </c>
      <c r="L62" s="126">
        <v>7.936E-2</v>
      </c>
      <c r="M62" s="126">
        <v>0</v>
      </c>
      <c r="N62" s="125">
        <v>1.44</v>
      </c>
      <c r="O62" s="126">
        <v>4.0899999999999999E-2</v>
      </c>
      <c r="P62" s="126">
        <v>2.392E-2</v>
      </c>
      <c r="Q62" s="126">
        <v>0</v>
      </c>
      <c r="R62" s="126">
        <v>6.608E-2</v>
      </c>
      <c r="S62" s="125">
        <v>1.44</v>
      </c>
      <c r="T62" s="126">
        <v>2.41E-2</v>
      </c>
      <c r="U62" s="126">
        <v>7.3600000000000002E-3</v>
      </c>
      <c r="V62" s="126">
        <v>5.5300000000000002E-2</v>
      </c>
      <c r="W62" s="126">
        <v>0</v>
      </c>
      <c r="X62" s="125">
        <v>1.44</v>
      </c>
      <c r="Y62" s="126">
        <v>3.2640000000000002E-2</v>
      </c>
      <c r="Z62" s="126">
        <v>2.2340000000000002E-2</v>
      </c>
      <c r="AA62" s="126">
        <v>0</v>
      </c>
      <c r="AB62" s="126">
        <v>6.448000000000001E-2</v>
      </c>
      <c r="AC62" s="125">
        <v>1.44</v>
      </c>
      <c r="AD62" s="126">
        <v>3.2379999999999999E-2</v>
      </c>
      <c r="AE62" s="126">
        <v>1.562E-2</v>
      </c>
      <c r="AF62" s="126">
        <v>7.0419999999999996E-2</v>
      </c>
      <c r="AG62" s="126">
        <v>3.3939999999999998E-2</v>
      </c>
      <c r="AH62" s="125">
        <v>1.44</v>
      </c>
      <c r="AI62" s="126">
        <v>2.2839999999999999E-2</v>
      </c>
      <c r="AJ62" s="126">
        <v>9.5600000000000008E-3</v>
      </c>
      <c r="AK62" s="126">
        <v>5.1799999999999999E-2</v>
      </c>
      <c r="AL62" s="126">
        <v>1.8839999999999999E-2</v>
      </c>
      <c r="AM62" s="125">
        <v>1.44</v>
      </c>
      <c r="AN62" s="126">
        <v>2.8139999999999998E-2</v>
      </c>
      <c r="AO62" s="126">
        <v>1.5560000000000001E-2</v>
      </c>
      <c r="AP62" s="126">
        <v>5.9199999999999996E-2</v>
      </c>
      <c r="AQ62" s="126">
        <v>3.8159999999999999E-2</v>
      </c>
      <c r="AR62" s="125">
        <v>1.44</v>
      </c>
      <c r="AS62" s="126">
        <v>2.0919999999999998E-2</v>
      </c>
      <c r="AT62" s="126">
        <v>1.014E-2</v>
      </c>
      <c r="AU62" s="126">
        <v>4.4979999999999999E-2</v>
      </c>
      <c r="AV62" s="126">
        <v>2.264E-2</v>
      </c>
      <c r="AW62" s="125">
        <v>1.44</v>
      </c>
      <c r="AX62" s="126">
        <v>9.6200000000000001E-3</v>
      </c>
      <c r="AY62" s="126">
        <v>5.5359999999999999E-2</v>
      </c>
      <c r="AZ62" s="126">
        <v>7.85E-2</v>
      </c>
      <c r="BA62" s="126">
        <v>0.11310000000000001</v>
      </c>
      <c r="BB62" s="125">
        <v>1.44</v>
      </c>
      <c r="BC62" s="126">
        <v>3.2599999999999997E-2</v>
      </c>
      <c r="BD62" s="126">
        <v>6.5599999999999999E-3</v>
      </c>
      <c r="BE62" s="126">
        <v>5.9020000000000003E-2</v>
      </c>
      <c r="BF62" s="126">
        <v>3.006E-2</v>
      </c>
    </row>
    <row r="63" spans="4:58" ht="15.5">
      <c r="D63" s="123">
        <v>1.45</v>
      </c>
      <c r="E63" s="124">
        <v>4.7500000000000001E-2</v>
      </c>
      <c r="F63" s="124">
        <v>2.2499999999999999E-2</v>
      </c>
      <c r="G63" s="126">
        <v>0</v>
      </c>
      <c r="H63" s="126">
        <v>0</v>
      </c>
      <c r="I63" s="123">
        <v>1.45</v>
      </c>
      <c r="J63" s="124">
        <v>3.5299999999999998E-2</v>
      </c>
      <c r="K63" s="124">
        <v>1.2800000000000001E-2</v>
      </c>
      <c r="L63" s="124">
        <v>7.9000000000000001E-2</v>
      </c>
      <c r="M63" s="126">
        <v>0</v>
      </c>
      <c r="N63" s="123">
        <v>1.45</v>
      </c>
      <c r="O63" s="124">
        <v>4.1099999999999998E-2</v>
      </c>
      <c r="P63" s="124">
        <v>2.3699999999999999E-2</v>
      </c>
      <c r="Q63" s="126">
        <v>0</v>
      </c>
      <c r="R63" s="124">
        <v>6.54E-2</v>
      </c>
      <c r="S63" s="123">
        <v>1.45</v>
      </c>
      <c r="T63" s="124">
        <v>2.4E-2</v>
      </c>
      <c r="U63" s="124">
        <v>7.1999999999999998E-3</v>
      </c>
      <c r="V63" s="124">
        <v>5.5E-2</v>
      </c>
      <c r="W63" s="126">
        <v>0</v>
      </c>
      <c r="X63" s="123">
        <v>1.45</v>
      </c>
      <c r="Y63" s="124">
        <v>3.2899999999999999E-2</v>
      </c>
      <c r="Z63" s="124">
        <v>2.2200000000000001E-2</v>
      </c>
      <c r="AA63" s="126">
        <v>0</v>
      </c>
      <c r="AB63" s="124">
        <v>6.4100000000000004E-2</v>
      </c>
      <c r="AC63" s="123">
        <v>1.45</v>
      </c>
      <c r="AD63" s="124">
        <v>3.2399999999999998E-2</v>
      </c>
      <c r="AE63" s="124">
        <v>1.54E-2</v>
      </c>
      <c r="AF63" s="124">
        <v>7.0300000000000001E-2</v>
      </c>
      <c r="AG63" s="124">
        <v>3.3399999999999999E-2</v>
      </c>
      <c r="AH63" s="123">
        <v>1.45</v>
      </c>
      <c r="AI63" s="124">
        <v>2.2800000000000001E-2</v>
      </c>
      <c r="AJ63" s="124">
        <v>9.4000000000000004E-3</v>
      </c>
      <c r="AK63" s="124">
        <v>5.16E-2</v>
      </c>
      <c r="AL63" s="124">
        <v>1.8499999999999999E-2</v>
      </c>
      <c r="AM63" s="123">
        <v>1.45</v>
      </c>
      <c r="AN63" s="124">
        <v>2.8199999999999999E-2</v>
      </c>
      <c r="AO63" s="124">
        <v>1.54E-2</v>
      </c>
      <c r="AP63" s="124">
        <v>5.9299999999999999E-2</v>
      </c>
      <c r="AQ63" s="124">
        <v>3.7699999999999997E-2</v>
      </c>
      <c r="AR63" s="123">
        <v>1.45</v>
      </c>
      <c r="AS63" s="124">
        <v>2.0899999999999998E-2</v>
      </c>
      <c r="AT63" s="124">
        <v>0.01</v>
      </c>
      <c r="AU63" s="124">
        <v>4.6899999999999997E-2</v>
      </c>
      <c r="AV63" s="124">
        <v>2.23E-2</v>
      </c>
      <c r="AW63" s="123">
        <v>1.45</v>
      </c>
      <c r="AX63" s="124">
        <v>9.6000000000000009E-3</v>
      </c>
      <c r="AY63" s="124">
        <v>5.5399999999999998E-2</v>
      </c>
      <c r="AZ63" s="124">
        <v>7.9100000000000004E-2</v>
      </c>
      <c r="BA63" s="124">
        <v>0.1135</v>
      </c>
      <c r="BB63" s="123">
        <v>1.45</v>
      </c>
      <c r="BC63" s="124">
        <v>3.2349999999999997E-2</v>
      </c>
      <c r="BD63" s="124">
        <v>6.45E-3</v>
      </c>
      <c r="BE63" s="124">
        <v>5.8550000000000005E-2</v>
      </c>
      <c r="BF63" s="124">
        <v>2.9700000000000001E-2</v>
      </c>
    </row>
    <row r="64" spans="4:58" ht="15.5">
      <c r="D64" s="125">
        <v>1.46</v>
      </c>
      <c r="E64" s="126">
        <v>4.7600000000000003E-2</v>
      </c>
      <c r="F64" s="126">
        <v>2.2279999999999998E-2</v>
      </c>
      <c r="G64" s="126">
        <v>0</v>
      </c>
      <c r="H64" s="126">
        <v>0</v>
      </c>
      <c r="I64" s="125">
        <v>1.46</v>
      </c>
      <c r="J64" s="126">
        <v>3.524E-2</v>
      </c>
      <c r="K64" s="126">
        <v>1.2620000000000001E-2</v>
      </c>
      <c r="L64" s="126">
        <v>7.8640000000000002E-2</v>
      </c>
      <c r="M64" s="126">
        <v>0</v>
      </c>
      <c r="N64" s="125">
        <v>1.46</v>
      </c>
      <c r="O64" s="126">
        <v>4.1279999999999997E-2</v>
      </c>
      <c r="P64" s="126">
        <v>2.3519999999999999E-2</v>
      </c>
      <c r="Q64" s="126">
        <v>0</v>
      </c>
      <c r="R64" s="126">
        <v>6.472E-2</v>
      </c>
      <c r="S64" s="125">
        <v>1.46</v>
      </c>
      <c r="T64" s="126">
        <v>2.3900000000000001E-2</v>
      </c>
      <c r="U64" s="126">
        <v>7.0799999999999995E-3</v>
      </c>
      <c r="V64" s="126">
        <v>5.466E-2</v>
      </c>
      <c r="W64" s="126">
        <v>0</v>
      </c>
      <c r="X64" s="125">
        <v>1.46</v>
      </c>
      <c r="Y64" s="126">
        <v>3.3139999999999996E-2</v>
      </c>
      <c r="Z64" s="126">
        <v>2.2040000000000001E-2</v>
      </c>
      <c r="AA64" s="126">
        <v>0</v>
      </c>
      <c r="AB64" s="126">
        <v>6.3700000000000007E-2</v>
      </c>
      <c r="AC64" s="125">
        <v>1.46</v>
      </c>
      <c r="AD64" s="126">
        <v>3.2399999999999998E-2</v>
      </c>
      <c r="AE64" s="126">
        <v>1.52E-2</v>
      </c>
      <c r="AF64" s="126">
        <v>7.0140000000000008E-2</v>
      </c>
      <c r="AG64" s="126">
        <v>3.2919999999999998E-2</v>
      </c>
      <c r="AH64" s="125">
        <v>1.46</v>
      </c>
      <c r="AI64" s="126">
        <v>2.274E-2</v>
      </c>
      <c r="AJ64" s="126">
        <v>9.2399999999999999E-3</v>
      </c>
      <c r="AK64" s="126">
        <v>5.1400000000000001E-2</v>
      </c>
      <c r="AL64" s="126">
        <v>1.8179999999999998E-2</v>
      </c>
      <c r="AM64" s="125">
        <v>1.46</v>
      </c>
      <c r="AN64" s="126">
        <v>2.826E-2</v>
      </c>
      <c r="AO64" s="126">
        <v>1.524E-2</v>
      </c>
      <c r="AP64" s="126">
        <v>5.9380000000000002E-2</v>
      </c>
      <c r="AQ64" s="126">
        <v>3.7239999999999995E-2</v>
      </c>
      <c r="AR64" s="125">
        <v>1.46</v>
      </c>
      <c r="AS64" s="126">
        <v>2.0879999999999999E-2</v>
      </c>
      <c r="AT64" s="126">
        <v>9.8600000000000007E-3</v>
      </c>
      <c r="AU64" s="126">
        <v>4.6799999999999994E-2</v>
      </c>
      <c r="AV64" s="126">
        <v>2.196E-2</v>
      </c>
      <c r="AW64" s="125">
        <v>1.46</v>
      </c>
      <c r="AX64" s="126">
        <v>9.58E-3</v>
      </c>
      <c r="AY64" s="126">
        <v>5.5439999999999996E-2</v>
      </c>
      <c r="AZ64" s="126">
        <v>7.9700000000000007E-2</v>
      </c>
      <c r="BA64" s="126">
        <v>0.1139</v>
      </c>
      <c r="BB64" s="125">
        <v>1.46</v>
      </c>
      <c r="BC64" s="126">
        <v>3.2099999999999997E-2</v>
      </c>
      <c r="BD64" s="126">
        <v>6.3400000000000001E-3</v>
      </c>
      <c r="BE64" s="126">
        <v>5.8080000000000007E-2</v>
      </c>
      <c r="BF64" s="126">
        <v>2.9340000000000001E-2</v>
      </c>
    </row>
    <row r="65" spans="4:58" ht="15.5">
      <c r="D65" s="125">
        <v>1.47</v>
      </c>
      <c r="E65" s="126">
        <v>4.7699999999999999E-2</v>
      </c>
      <c r="F65" s="126">
        <v>2.206E-2</v>
      </c>
      <c r="G65" s="126">
        <v>0</v>
      </c>
      <c r="H65" s="126">
        <v>0</v>
      </c>
      <c r="I65" s="125">
        <v>1.47</v>
      </c>
      <c r="J65" s="126">
        <v>3.5180000000000003E-2</v>
      </c>
      <c r="K65" s="126">
        <v>1.2440000000000001E-2</v>
      </c>
      <c r="L65" s="126">
        <v>7.8280000000000002E-2</v>
      </c>
      <c r="M65" s="126">
        <v>0</v>
      </c>
      <c r="N65" s="125">
        <v>1.47</v>
      </c>
      <c r="O65" s="126">
        <v>4.1459999999999997E-2</v>
      </c>
      <c r="P65" s="126">
        <v>2.334E-2</v>
      </c>
      <c r="Q65" s="126">
        <v>0</v>
      </c>
      <c r="R65" s="126">
        <v>6.404E-2</v>
      </c>
      <c r="S65" s="125">
        <v>1.47</v>
      </c>
      <c r="T65" s="126">
        <v>2.3800000000000002E-2</v>
      </c>
      <c r="U65" s="126">
        <v>6.96E-3</v>
      </c>
      <c r="V65" s="126">
        <v>5.432E-2</v>
      </c>
      <c r="W65" s="126">
        <v>0</v>
      </c>
      <c r="X65" s="125">
        <v>1.47</v>
      </c>
      <c r="Y65" s="126">
        <v>3.338E-2</v>
      </c>
      <c r="Z65" s="126">
        <v>2.188E-2</v>
      </c>
      <c r="AA65" s="126">
        <v>0</v>
      </c>
      <c r="AB65" s="126">
        <v>6.3300000000000009E-2</v>
      </c>
      <c r="AC65" s="125">
        <v>1.47</v>
      </c>
      <c r="AD65" s="126">
        <v>3.2399999999999998E-2</v>
      </c>
      <c r="AE65" s="126">
        <v>1.4999999999999999E-2</v>
      </c>
      <c r="AF65" s="126">
        <v>6.9980000000000001E-2</v>
      </c>
      <c r="AG65" s="126">
        <v>3.2439999999999997E-2</v>
      </c>
      <c r="AH65" s="125">
        <v>1.47</v>
      </c>
      <c r="AI65" s="126">
        <v>2.2679999999999999E-2</v>
      </c>
      <c r="AJ65" s="126">
        <v>9.0799999999999995E-3</v>
      </c>
      <c r="AK65" s="126">
        <v>5.1200000000000002E-2</v>
      </c>
      <c r="AL65" s="126">
        <v>1.7859999999999997E-2</v>
      </c>
      <c r="AM65" s="125">
        <v>1.47</v>
      </c>
      <c r="AN65" s="126">
        <v>2.8320000000000001E-2</v>
      </c>
      <c r="AO65" s="126">
        <v>1.508E-2</v>
      </c>
      <c r="AP65" s="126">
        <v>5.9459999999999999E-2</v>
      </c>
      <c r="AQ65" s="126">
        <v>3.678E-2</v>
      </c>
      <c r="AR65" s="125">
        <v>1.47</v>
      </c>
      <c r="AS65" s="126">
        <v>2.086E-2</v>
      </c>
      <c r="AT65" s="126">
        <v>9.7199999999999995E-3</v>
      </c>
      <c r="AU65" s="126">
        <v>4.6699999999999998E-2</v>
      </c>
      <c r="AV65" s="126">
        <v>2.162E-2</v>
      </c>
      <c r="AW65" s="125">
        <v>1.47</v>
      </c>
      <c r="AX65" s="126">
        <v>9.5600000000000008E-3</v>
      </c>
      <c r="AY65" s="126">
        <v>5.5479999999999995E-2</v>
      </c>
      <c r="AZ65" s="126">
        <v>8.030000000000001E-2</v>
      </c>
      <c r="BA65" s="126">
        <v>0.1143</v>
      </c>
      <c r="BB65" s="125">
        <v>1.47</v>
      </c>
      <c r="BC65" s="126">
        <v>3.1849999999999996E-2</v>
      </c>
      <c r="BD65" s="126">
        <v>6.2300000000000003E-3</v>
      </c>
      <c r="BE65" s="126">
        <v>5.7610000000000001E-2</v>
      </c>
      <c r="BF65" s="126">
        <v>2.8980000000000002E-2</v>
      </c>
    </row>
    <row r="66" spans="4:58" ht="15.5">
      <c r="D66" s="125">
        <v>1.48</v>
      </c>
      <c r="E66" s="126">
        <v>4.7800000000000002E-2</v>
      </c>
      <c r="F66" s="126">
        <v>2.1839999999999998E-2</v>
      </c>
      <c r="G66" s="126">
        <v>0</v>
      </c>
      <c r="H66" s="126">
        <v>0</v>
      </c>
      <c r="I66" s="125">
        <v>1.48</v>
      </c>
      <c r="J66" s="126">
        <v>3.5119999999999998E-2</v>
      </c>
      <c r="K66" s="126">
        <v>1.226E-2</v>
      </c>
      <c r="L66" s="126">
        <v>7.7920000000000003E-2</v>
      </c>
      <c r="M66" s="126">
        <v>0</v>
      </c>
      <c r="N66" s="125">
        <v>1.48</v>
      </c>
      <c r="O66" s="126">
        <v>4.1640000000000003E-2</v>
      </c>
      <c r="P66" s="126">
        <v>2.316E-2</v>
      </c>
      <c r="Q66" s="126">
        <v>0</v>
      </c>
      <c r="R66" s="126">
        <v>6.336E-2</v>
      </c>
      <c r="S66" s="125">
        <v>1.48</v>
      </c>
      <c r="T66" s="126">
        <v>2.3699999999999999E-2</v>
      </c>
      <c r="U66" s="126">
        <v>6.8399999999999997E-3</v>
      </c>
      <c r="V66" s="126">
        <v>5.398E-2</v>
      </c>
      <c r="W66" s="126">
        <v>0</v>
      </c>
      <c r="X66" s="125">
        <v>1.48</v>
      </c>
      <c r="Y66" s="126">
        <v>3.3619999999999997E-2</v>
      </c>
      <c r="Z66" s="126">
        <v>2.172E-2</v>
      </c>
      <c r="AA66" s="126">
        <v>0</v>
      </c>
      <c r="AB66" s="126">
        <v>6.2899999999999998E-2</v>
      </c>
      <c r="AC66" s="125">
        <v>1.48</v>
      </c>
      <c r="AD66" s="126">
        <v>3.2399999999999998E-2</v>
      </c>
      <c r="AE66" s="126">
        <v>1.4800000000000001E-2</v>
      </c>
      <c r="AF66" s="126">
        <v>6.9820000000000007E-2</v>
      </c>
      <c r="AG66" s="126">
        <v>3.1960000000000002E-2</v>
      </c>
      <c r="AH66" s="125">
        <v>1.48</v>
      </c>
      <c r="AI66" s="126">
        <v>2.2620000000000001E-2</v>
      </c>
      <c r="AJ66" s="126">
        <v>8.9200000000000008E-3</v>
      </c>
      <c r="AK66" s="126">
        <v>5.0999999999999997E-2</v>
      </c>
      <c r="AL66" s="126">
        <v>1.754E-2</v>
      </c>
      <c r="AM66" s="125">
        <v>1.48</v>
      </c>
      <c r="AN66" s="126">
        <v>2.8379999999999999E-2</v>
      </c>
      <c r="AO66" s="126">
        <v>1.4920000000000001E-2</v>
      </c>
      <c r="AP66" s="126">
        <v>5.9540000000000003E-2</v>
      </c>
      <c r="AQ66" s="126">
        <v>3.6319999999999998E-2</v>
      </c>
      <c r="AR66" s="125">
        <v>1.48</v>
      </c>
      <c r="AS66" s="126">
        <v>2.0839999999999997E-2</v>
      </c>
      <c r="AT66" s="126">
        <v>9.58E-3</v>
      </c>
      <c r="AU66" s="126">
        <v>4.6599999999999996E-2</v>
      </c>
      <c r="AV66" s="126">
        <v>2.128E-2</v>
      </c>
      <c r="AW66" s="125">
        <v>1.48</v>
      </c>
      <c r="AX66" s="126">
        <v>9.5399999999999999E-3</v>
      </c>
      <c r="AY66" s="126">
        <v>5.552E-2</v>
      </c>
      <c r="AZ66" s="126">
        <v>8.09E-2</v>
      </c>
      <c r="BA66" s="126">
        <v>0.11470000000000001</v>
      </c>
      <c r="BB66" s="125">
        <v>1.48</v>
      </c>
      <c r="BC66" s="126">
        <v>3.1599999999999996E-2</v>
      </c>
      <c r="BD66" s="126">
        <v>6.1199999999999996E-3</v>
      </c>
      <c r="BE66" s="126">
        <v>5.7140000000000003E-2</v>
      </c>
      <c r="BF66" s="126">
        <v>2.862E-2</v>
      </c>
    </row>
    <row r="67" spans="4:58" ht="15.5">
      <c r="D67" s="125">
        <v>1.49</v>
      </c>
      <c r="E67" s="126">
        <v>4.7899999999999998E-2</v>
      </c>
      <c r="F67" s="126">
        <v>2.162E-2</v>
      </c>
      <c r="G67" s="126">
        <v>0</v>
      </c>
      <c r="H67" s="126">
        <v>0</v>
      </c>
      <c r="I67" s="125">
        <v>1.49</v>
      </c>
      <c r="J67" s="126">
        <v>3.5060000000000001E-2</v>
      </c>
      <c r="K67" s="126">
        <v>1.208E-2</v>
      </c>
      <c r="L67" s="126">
        <v>7.7560000000000004E-2</v>
      </c>
      <c r="M67" s="126">
        <v>0</v>
      </c>
      <c r="N67" s="125">
        <v>1.49</v>
      </c>
      <c r="O67" s="126">
        <v>4.1820000000000003E-2</v>
      </c>
      <c r="P67" s="126">
        <v>2.298E-2</v>
      </c>
      <c r="Q67" s="126">
        <v>0</v>
      </c>
      <c r="R67" s="126">
        <v>6.268E-2</v>
      </c>
      <c r="S67" s="125">
        <v>1.49</v>
      </c>
      <c r="T67" s="126">
        <v>2.3599999999999999E-2</v>
      </c>
      <c r="U67" s="126">
        <v>6.7200000000000003E-3</v>
      </c>
      <c r="V67" s="126">
        <v>5.364E-2</v>
      </c>
      <c r="W67" s="126">
        <v>0</v>
      </c>
      <c r="X67" s="125">
        <v>1.49</v>
      </c>
      <c r="Y67" s="126">
        <v>3.3860000000000001E-2</v>
      </c>
      <c r="Z67" s="126">
        <v>2.1559999999999999E-2</v>
      </c>
      <c r="AA67" s="126">
        <v>0</v>
      </c>
      <c r="AB67" s="126">
        <v>6.25E-2</v>
      </c>
      <c r="AC67" s="125">
        <v>1.49</v>
      </c>
      <c r="AD67" s="126">
        <v>3.2399999999999998E-2</v>
      </c>
      <c r="AE67" s="126">
        <v>1.46E-2</v>
      </c>
      <c r="AF67" s="126">
        <v>6.966E-2</v>
      </c>
      <c r="AG67" s="126">
        <v>3.1480000000000001E-2</v>
      </c>
      <c r="AH67" s="125">
        <v>1.49</v>
      </c>
      <c r="AI67" s="126">
        <v>2.256E-2</v>
      </c>
      <c r="AJ67" s="126">
        <v>8.7600000000000004E-3</v>
      </c>
      <c r="AK67" s="126">
        <v>5.0799999999999998E-2</v>
      </c>
      <c r="AL67" s="126">
        <v>1.7219999999999999E-2</v>
      </c>
      <c r="AM67" s="125">
        <v>1.49</v>
      </c>
      <c r="AN67" s="126">
        <v>2.844E-2</v>
      </c>
      <c r="AO67" s="126">
        <v>1.4760000000000001E-2</v>
      </c>
      <c r="AP67" s="126">
        <v>5.9619999999999999E-2</v>
      </c>
      <c r="AQ67" s="126">
        <v>3.5860000000000003E-2</v>
      </c>
      <c r="AR67" s="125">
        <v>1.49</v>
      </c>
      <c r="AS67" s="126">
        <v>2.0819999999999998E-2</v>
      </c>
      <c r="AT67" s="126">
        <v>9.4399999999999987E-3</v>
      </c>
      <c r="AU67" s="126">
        <v>4.65E-2</v>
      </c>
      <c r="AV67" s="126">
        <v>2.094E-2</v>
      </c>
      <c r="AW67" s="125">
        <v>1.49</v>
      </c>
      <c r="AX67" s="126">
        <v>9.5200000000000007E-3</v>
      </c>
      <c r="AY67" s="126">
        <v>5.5559999999999998E-2</v>
      </c>
      <c r="AZ67" s="126">
        <v>8.1500000000000003E-2</v>
      </c>
      <c r="BA67" s="126">
        <v>0.11510000000000001</v>
      </c>
      <c r="BB67" s="125">
        <v>1.49</v>
      </c>
      <c r="BC67" s="126">
        <v>3.1349999999999996E-2</v>
      </c>
      <c r="BD67" s="126">
        <v>6.0099999999999997E-3</v>
      </c>
      <c r="BE67" s="126">
        <v>5.6669999999999998E-2</v>
      </c>
      <c r="BF67" s="126">
        <v>2.826E-2</v>
      </c>
    </row>
    <row r="68" spans="4:58" ht="15.5">
      <c r="D68" s="123">
        <v>1.5</v>
      </c>
      <c r="E68" s="124">
        <v>4.8000000000000001E-2</v>
      </c>
      <c r="F68" s="124">
        <v>2.1399999999999999E-2</v>
      </c>
      <c r="G68" s="126">
        <v>0</v>
      </c>
      <c r="H68" s="126">
        <v>0</v>
      </c>
      <c r="I68" s="123">
        <v>1.5</v>
      </c>
      <c r="J68" s="124">
        <v>3.5000000000000003E-2</v>
      </c>
      <c r="K68" s="124">
        <v>1.1900000000000001E-2</v>
      </c>
      <c r="L68" s="124">
        <v>7.7200000000000005E-2</v>
      </c>
      <c r="M68" s="126">
        <v>0</v>
      </c>
      <c r="N68" s="123">
        <v>1.5</v>
      </c>
      <c r="O68" s="124">
        <v>4.2000000000000003E-2</v>
      </c>
      <c r="P68" s="124">
        <v>2.2800000000000001E-2</v>
      </c>
      <c r="Q68" s="126">
        <v>0</v>
      </c>
      <c r="R68" s="124">
        <v>6.2E-2</v>
      </c>
      <c r="S68" s="123">
        <v>1.5</v>
      </c>
      <c r="T68" s="124">
        <v>2.35E-2</v>
      </c>
      <c r="U68" s="124">
        <v>6.6E-3</v>
      </c>
      <c r="V68" s="124">
        <v>5.33E-2</v>
      </c>
      <c r="W68" s="126">
        <v>0</v>
      </c>
      <c r="X68" s="123">
        <v>1.5</v>
      </c>
      <c r="Y68" s="124">
        <v>3.4099999999999998E-2</v>
      </c>
      <c r="Z68" s="124">
        <v>2.1399999999999999E-2</v>
      </c>
      <c r="AA68" s="126">
        <v>0</v>
      </c>
      <c r="AB68" s="124">
        <v>6.2100000000000002E-2</v>
      </c>
      <c r="AC68" s="123">
        <v>1.5</v>
      </c>
      <c r="AD68" s="124">
        <v>3.2399999999999998E-2</v>
      </c>
      <c r="AE68" s="124">
        <v>1.44E-2</v>
      </c>
      <c r="AF68" s="124">
        <v>6.9500000000000006E-2</v>
      </c>
      <c r="AG68" s="124">
        <v>3.1E-2</v>
      </c>
      <c r="AH68" s="123">
        <v>1.5</v>
      </c>
      <c r="AI68" s="124">
        <v>2.2499999999999999E-2</v>
      </c>
      <c r="AJ68" s="124">
        <v>8.6E-3</v>
      </c>
      <c r="AK68" s="124">
        <v>5.0599999999999999E-2</v>
      </c>
      <c r="AL68" s="124">
        <v>1.6899999999999998E-2</v>
      </c>
      <c r="AM68" s="123">
        <v>1.5</v>
      </c>
      <c r="AN68" s="124">
        <v>2.8500000000000001E-2</v>
      </c>
      <c r="AO68" s="124">
        <v>1.46E-2</v>
      </c>
      <c r="AP68" s="124">
        <v>5.9700000000000003E-2</v>
      </c>
      <c r="AQ68" s="124">
        <v>3.5400000000000001E-2</v>
      </c>
      <c r="AR68" s="123">
        <v>1.5</v>
      </c>
      <c r="AS68" s="124">
        <v>2.0799999999999999E-2</v>
      </c>
      <c r="AT68" s="124">
        <v>9.2999999999999992E-3</v>
      </c>
      <c r="AU68" s="124">
        <v>4.6399999999999997E-2</v>
      </c>
      <c r="AV68" s="124">
        <v>2.06E-2</v>
      </c>
      <c r="AW68" s="123">
        <v>1.5</v>
      </c>
      <c r="AX68" s="124">
        <v>9.4999999999999998E-3</v>
      </c>
      <c r="AY68" s="124">
        <v>5.5599999999999997E-2</v>
      </c>
      <c r="AZ68" s="124">
        <v>8.2100000000000006E-2</v>
      </c>
      <c r="BA68" s="124">
        <v>0.11550000000000001</v>
      </c>
      <c r="BB68" s="123">
        <v>1.5</v>
      </c>
      <c r="BC68" s="124">
        <v>3.1099999999999999E-2</v>
      </c>
      <c r="BD68" s="124">
        <v>5.8999999999999999E-3</v>
      </c>
      <c r="BE68" s="124">
        <v>5.62E-2</v>
      </c>
      <c r="BF68" s="124">
        <v>2.7900000000000001E-2</v>
      </c>
    </row>
    <row r="69" spans="4:58" ht="15.5">
      <c r="D69" s="125">
        <v>1.51</v>
      </c>
      <c r="E69" s="126">
        <v>4.8079999999999998E-2</v>
      </c>
      <c r="F69" s="126">
        <v>2.1139999999999999E-2</v>
      </c>
      <c r="G69" s="126">
        <v>0</v>
      </c>
      <c r="H69" s="126">
        <v>0</v>
      </c>
      <c r="I69" s="125">
        <v>1.51</v>
      </c>
      <c r="J69" s="126">
        <v>3.492E-2</v>
      </c>
      <c r="K69" s="126">
        <v>1.17E-2</v>
      </c>
      <c r="L69" s="126">
        <v>7.6840000000000006E-2</v>
      </c>
      <c r="M69" s="126">
        <v>0</v>
      </c>
      <c r="N69" s="125">
        <v>1.51</v>
      </c>
      <c r="O69" s="126">
        <v>4.2140000000000004E-2</v>
      </c>
      <c r="P69" s="126">
        <v>2.2620000000000001E-2</v>
      </c>
      <c r="Q69" s="126">
        <v>0</v>
      </c>
      <c r="R69" s="126">
        <v>6.13E-2</v>
      </c>
      <c r="S69" s="125">
        <v>1.51</v>
      </c>
      <c r="T69" s="126">
        <v>2.3400000000000001E-2</v>
      </c>
      <c r="U69" s="126">
        <v>6.4799999999999996E-3</v>
      </c>
      <c r="V69" s="126">
        <v>5.3019999999999998E-2</v>
      </c>
      <c r="W69" s="126">
        <v>0</v>
      </c>
      <c r="X69" s="125">
        <v>1.51</v>
      </c>
      <c r="Y69" s="126">
        <v>3.4319999999999996E-2</v>
      </c>
      <c r="Z69" s="126">
        <v>2.1259999999999998E-2</v>
      </c>
      <c r="AA69" s="126">
        <v>0</v>
      </c>
      <c r="AB69" s="126">
        <v>6.166E-2</v>
      </c>
      <c r="AC69" s="125">
        <v>1.51</v>
      </c>
      <c r="AD69" s="126">
        <v>3.2379999999999999E-2</v>
      </c>
      <c r="AE69" s="126">
        <v>1.4199999999999999E-2</v>
      </c>
      <c r="AF69" s="126">
        <v>6.9320000000000007E-2</v>
      </c>
      <c r="AG69" s="126">
        <v>3.0519999999999999E-2</v>
      </c>
      <c r="AH69" s="125">
        <v>1.51</v>
      </c>
      <c r="AI69" s="126">
        <v>2.2419999999999999E-2</v>
      </c>
      <c r="AJ69" s="126">
        <v>8.4600000000000005E-3</v>
      </c>
      <c r="AK69" s="126">
        <v>5.0380000000000001E-2</v>
      </c>
      <c r="AL69" s="126">
        <v>1.6619999999999999E-2</v>
      </c>
      <c r="AM69" s="125">
        <v>1.51</v>
      </c>
      <c r="AN69" s="126">
        <v>2.8580000000000001E-2</v>
      </c>
      <c r="AO69" s="126">
        <v>1.444E-2</v>
      </c>
      <c r="AP69" s="126">
        <v>5.9740000000000001E-2</v>
      </c>
      <c r="AQ69" s="126">
        <v>3.4959999999999998E-2</v>
      </c>
      <c r="AR69" s="125">
        <v>1.51</v>
      </c>
      <c r="AS69" s="126">
        <v>2.0760000000000001E-2</v>
      </c>
      <c r="AT69" s="126">
        <v>9.1599999999999997E-3</v>
      </c>
      <c r="AU69" s="126">
        <v>4.6300000000000001E-2</v>
      </c>
      <c r="AV69" s="126">
        <v>2.0299999999999999E-2</v>
      </c>
      <c r="AW69" s="125"/>
      <c r="AX69" s="126"/>
      <c r="AY69" s="126"/>
      <c r="AZ69" s="126"/>
      <c r="BA69" s="126"/>
      <c r="BB69" s="125"/>
      <c r="BC69" s="126"/>
      <c r="BD69" s="126"/>
      <c r="BE69" s="126"/>
      <c r="BF69" s="126"/>
    </row>
    <row r="70" spans="4:58" ht="15.5">
      <c r="D70" s="125">
        <v>1.52</v>
      </c>
      <c r="E70" s="126">
        <v>4.8160000000000001E-2</v>
      </c>
      <c r="F70" s="126">
        <v>2.0879999999999999E-2</v>
      </c>
      <c r="G70" s="126">
        <v>0</v>
      </c>
      <c r="H70" s="126">
        <v>0</v>
      </c>
      <c r="I70" s="125">
        <v>1.52</v>
      </c>
      <c r="J70" s="126">
        <v>3.4840000000000003E-2</v>
      </c>
      <c r="K70" s="126">
        <v>1.15E-2</v>
      </c>
      <c r="L70" s="126">
        <v>7.6480000000000006E-2</v>
      </c>
      <c r="M70" s="126">
        <v>0</v>
      </c>
      <c r="N70" s="125">
        <v>1.52</v>
      </c>
      <c r="O70" s="126">
        <v>4.2280000000000005E-2</v>
      </c>
      <c r="P70" s="126">
        <v>2.2440000000000002E-2</v>
      </c>
      <c r="Q70" s="126">
        <v>0</v>
      </c>
      <c r="R70" s="126">
        <v>6.0600000000000001E-2</v>
      </c>
      <c r="S70" s="125">
        <v>1.52</v>
      </c>
      <c r="T70" s="126">
        <v>2.3300000000000001E-2</v>
      </c>
      <c r="U70" s="126">
        <v>6.3600000000000002E-3</v>
      </c>
      <c r="V70" s="126">
        <v>5.2740000000000002E-2</v>
      </c>
      <c r="W70" s="126">
        <v>0</v>
      </c>
      <c r="X70" s="125">
        <v>1.52</v>
      </c>
      <c r="Y70" s="126">
        <v>3.4540000000000001E-2</v>
      </c>
      <c r="Z70" s="126">
        <v>2.112E-2</v>
      </c>
      <c r="AA70" s="126">
        <v>0</v>
      </c>
      <c r="AB70" s="126">
        <v>6.1220000000000004E-2</v>
      </c>
      <c r="AC70" s="125">
        <v>1.52</v>
      </c>
      <c r="AD70" s="126">
        <v>3.236E-2</v>
      </c>
      <c r="AE70" s="126">
        <v>1.4E-2</v>
      </c>
      <c r="AF70" s="126">
        <v>6.9140000000000007E-2</v>
      </c>
      <c r="AG70" s="126">
        <v>3.0040000000000001E-2</v>
      </c>
      <c r="AH70" s="125">
        <v>1.52</v>
      </c>
      <c r="AI70" s="126">
        <v>2.2339999999999999E-2</v>
      </c>
      <c r="AJ70" s="126">
        <v>8.320000000000001E-3</v>
      </c>
      <c r="AK70" s="126">
        <v>5.0160000000000003E-2</v>
      </c>
      <c r="AL70" s="126">
        <v>1.634E-2</v>
      </c>
      <c r="AM70" s="125">
        <v>1.52</v>
      </c>
      <c r="AN70" s="126">
        <v>2.8660000000000001E-2</v>
      </c>
      <c r="AO70" s="126">
        <v>1.4279999999999999E-2</v>
      </c>
      <c r="AP70" s="126">
        <v>5.978E-2</v>
      </c>
      <c r="AQ70" s="126">
        <v>3.4520000000000002E-2</v>
      </c>
      <c r="AR70" s="125">
        <v>1.52</v>
      </c>
      <c r="AS70" s="126">
        <v>2.0719999999999999E-2</v>
      </c>
      <c r="AT70" s="126">
        <v>9.0200000000000002E-3</v>
      </c>
      <c r="AU70" s="126">
        <v>4.6199999999999998E-2</v>
      </c>
      <c r="AV70" s="126">
        <v>0.02</v>
      </c>
      <c r="AW70" s="125"/>
      <c r="AX70" s="126"/>
      <c r="AY70" s="126"/>
      <c r="AZ70" s="126"/>
      <c r="BA70" s="126"/>
      <c r="BB70" s="125"/>
      <c r="BC70" s="126"/>
      <c r="BD70" s="126"/>
      <c r="BE70" s="126"/>
      <c r="BF70" s="126"/>
    </row>
    <row r="71" spans="4:58" ht="15.5">
      <c r="D71" s="125">
        <v>1.53</v>
      </c>
      <c r="E71" s="126">
        <v>4.8239999999999998E-2</v>
      </c>
      <c r="F71" s="126">
        <v>2.0619999999999999E-2</v>
      </c>
      <c r="G71" s="126">
        <v>0</v>
      </c>
      <c r="H71" s="126">
        <v>0</v>
      </c>
      <c r="I71" s="125">
        <v>1.53</v>
      </c>
      <c r="J71" s="126">
        <v>3.4759999999999999E-2</v>
      </c>
      <c r="K71" s="126">
        <v>1.1300000000000001E-2</v>
      </c>
      <c r="L71" s="126">
        <v>7.6119999999999993E-2</v>
      </c>
      <c r="M71" s="126">
        <v>0</v>
      </c>
      <c r="N71" s="125">
        <v>1.53</v>
      </c>
      <c r="O71" s="126">
        <v>4.2419999999999999E-2</v>
      </c>
      <c r="P71" s="126">
        <v>2.2259999999999999E-2</v>
      </c>
      <c r="Q71" s="126">
        <v>0</v>
      </c>
      <c r="R71" s="126">
        <v>5.9900000000000002E-2</v>
      </c>
      <c r="S71" s="125">
        <v>1.53</v>
      </c>
      <c r="T71" s="126">
        <v>2.3199999999999998E-2</v>
      </c>
      <c r="U71" s="126">
        <v>6.2399999999999999E-3</v>
      </c>
      <c r="V71" s="126">
        <v>5.246E-2</v>
      </c>
      <c r="W71" s="126">
        <v>0</v>
      </c>
      <c r="X71" s="125">
        <v>1.53</v>
      </c>
      <c r="Y71" s="126">
        <v>3.4759999999999999E-2</v>
      </c>
      <c r="Z71" s="126">
        <v>2.0979999999999999E-2</v>
      </c>
      <c r="AA71" s="126">
        <v>0</v>
      </c>
      <c r="AB71" s="126">
        <v>6.0780000000000001E-2</v>
      </c>
      <c r="AC71" s="125">
        <v>1.53</v>
      </c>
      <c r="AD71" s="126">
        <v>3.2340000000000001E-2</v>
      </c>
      <c r="AE71" s="126">
        <v>1.38E-2</v>
      </c>
      <c r="AF71" s="126">
        <v>6.8959999999999994E-2</v>
      </c>
      <c r="AG71" s="126">
        <v>2.9559999999999999E-2</v>
      </c>
      <c r="AH71" s="125">
        <v>1.53</v>
      </c>
      <c r="AI71" s="126">
        <v>2.2260000000000002E-2</v>
      </c>
      <c r="AJ71" s="126">
        <v>8.1799999999999998E-3</v>
      </c>
      <c r="AK71" s="126">
        <v>4.9939999999999998E-2</v>
      </c>
      <c r="AL71" s="126">
        <v>1.6059999999999998E-2</v>
      </c>
      <c r="AM71" s="125">
        <v>1.53</v>
      </c>
      <c r="AN71" s="126">
        <v>2.8739999999999998E-2</v>
      </c>
      <c r="AO71" s="126">
        <v>1.4120000000000001E-2</v>
      </c>
      <c r="AP71" s="126">
        <v>5.9820000000000005E-2</v>
      </c>
      <c r="AQ71" s="126">
        <v>3.4079999999999999E-2</v>
      </c>
      <c r="AR71" s="125">
        <v>1.53</v>
      </c>
      <c r="AS71" s="126">
        <v>2.068E-2</v>
      </c>
      <c r="AT71" s="126">
        <v>8.879999999999999E-3</v>
      </c>
      <c r="AU71" s="126">
        <v>4.6100000000000002E-2</v>
      </c>
      <c r="AV71" s="126">
        <v>1.9699999999999999E-2</v>
      </c>
      <c r="AW71" s="125"/>
      <c r="AX71" s="126"/>
      <c r="AY71" s="126"/>
      <c r="AZ71" s="126"/>
      <c r="BA71" s="126"/>
      <c r="BB71" s="125"/>
      <c r="BC71" s="126"/>
      <c r="BD71" s="126"/>
      <c r="BE71" s="126"/>
      <c r="BF71" s="126"/>
    </row>
    <row r="72" spans="4:58" ht="15.5">
      <c r="D72" s="125">
        <v>1.54</v>
      </c>
      <c r="E72" s="126">
        <v>4.8320000000000002E-2</v>
      </c>
      <c r="F72" s="126">
        <v>2.036E-2</v>
      </c>
      <c r="G72" s="126">
        <v>0</v>
      </c>
      <c r="H72" s="126">
        <v>0</v>
      </c>
      <c r="I72" s="125">
        <v>1.54</v>
      </c>
      <c r="J72" s="126">
        <v>3.4680000000000002E-2</v>
      </c>
      <c r="K72" s="126">
        <v>1.11E-2</v>
      </c>
      <c r="L72" s="126">
        <v>7.5759999999999994E-2</v>
      </c>
      <c r="M72" s="126">
        <v>0</v>
      </c>
      <c r="N72" s="125">
        <v>1.54</v>
      </c>
      <c r="O72" s="126">
        <v>4.2560000000000001E-2</v>
      </c>
      <c r="P72" s="126">
        <v>2.2079999999999999E-2</v>
      </c>
      <c r="Q72" s="126">
        <v>0</v>
      </c>
      <c r="R72" s="126">
        <v>5.9200000000000003E-2</v>
      </c>
      <c r="S72" s="125">
        <v>1.54</v>
      </c>
      <c r="T72" s="126">
        <v>2.3099999999999999E-2</v>
      </c>
      <c r="U72" s="126">
        <v>6.1200000000000004E-3</v>
      </c>
      <c r="V72" s="126">
        <v>5.2180000000000004E-2</v>
      </c>
      <c r="W72" s="126">
        <v>0</v>
      </c>
      <c r="X72" s="125">
        <v>1.54</v>
      </c>
      <c r="Y72" s="126">
        <v>3.4980000000000004E-2</v>
      </c>
      <c r="Z72" s="126">
        <v>2.0840000000000001E-2</v>
      </c>
      <c r="AA72" s="126">
        <v>0</v>
      </c>
      <c r="AB72" s="126">
        <v>6.0340000000000005E-2</v>
      </c>
      <c r="AC72" s="125">
        <v>1.54</v>
      </c>
      <c r="AD72" s="126">
        <v>3.2320000000000002E-2</v>
      </c>
      <c r="AE72" s="126">
        <v>1.3600000000000001E-2</v>
      </c>
      <c r="AF72" s="126">
        <v>6.8779999999999994E-2</v>
      </c>
      <c r="AG72" s="126">
        <v>2.9080000000000002E-2</v>
      </c>
      <c r="AH72" s="125">
        <v>1.54</v>
      </c>
      <c r="AI72" s="126">
        <v>2.2180000000000002E-2</v>
      </c>
      <c r="AJ72" s="126">
        <v>8.0400000000000003E-3</v>
      </c>
      <c r="AK72" s="126">
        <v>4.972E-2</v>
      </c>
      <c r="AL72" s="126">
        <v>1.5779999999999999E-2</v>
      </c>
      <c r="AM72" s="125">
        <v>1.54</v>
      </c>
      <c r="AN72" s="126">
        <v>2.8819999999999998E-2</v>
      </c>
      <c r="AO72" s="126">
        <v>1.396E-2</v>
      </c>
      <c r="AP72" s="126">
        <v>5.9860000000000003E-2</v>
      </c>
      <c r="AQ72" s="126">
        <v>3.3640000000000003E-2</v>
      </c>
      <c r="AR72" s="125">
        <v>1.54</v>
      </c>
      <c r="AS72" s="126">
        <v>2.0639999999999999E-2</v>
      </c>
      <c r="AT72" s="126">
        <v>8.7399999999999995E-3</v>
      </c>
      <c r="AU72" s="126">
        <v>4.5999999999999999E-2</v>
      </c>
      <c r="AV72" s="126">
        <v>1.9400000000000001E-2</v>
      </c>
      <c r="AW72" s="125"/>
      <c r="AX72" s="126"/>
      <c r="AY72" s="126"/>
      <c r="AZ72" s="126"/>
      <c r="BA72" s="126"/>
      <c r="BB72" s="125"/>
      <c r="BC72" s="126"/>
      <c r="BD72" s="126"/>
      <c r="BE72" s="126"/>
      <c r="BF72" s="126"/>
    </row>
    <row r="73" spans="4:58" ht="15.5">
      <c r="D73" s="123">
        <v>1.55</v>
      </c>
      <c r="E73" s="124">
        <v>4.8399999999999999E-2</v>
      </c>
      <c r="F73" s="124">
        <v>2.01E-2</v>
      </c>
      <c r="G73" s="126">
        <v>0</v>
      </c>
      <c r="H73" s="126">
        <v>0</v>
      </c>
      <c r="I73" s="123">
        <v>1.55</v>
      </c>
      <c r="J73" s="124">
        <v>3.4599999999999999E-2</v>
      </c>
      <c r="K73" s="124">
        <v>1.09E-2</v>
      </c>
      <c r="L73" s="124">
        <v>7.5399999999999995E-2</v>
      </c>
      <c r="M73" s="126">
        <v>0</v>
      </c>
      <c r="N73" s="123">
        <v>1.55</v>
      </c>
      <c r="O73" s="124">
        <v>4.2700000000000002E-2</v>
      </c>
      <c r="P73" s="124">
        <v>2.1899999999999999E-2</v>
      </c>
      <c r="Q73" s="126">
        <v>0</v>
      </c>
      <c r="R73" s="124">
        <v>5.8500000000000003E-2</v>
      </c>
      <c r="S73" s="123">
        <v>1.55</v>
      </c>
      <c r="T73" s="124">
        <v>2.3E-2</v>
      </c>
      <c r="U73" s="124">
        <v>6.0000000000000001E-3</v>
      </c>
      <c r="V73" s="124">
        <v>5.1900000000000002E-2</v>
      </c>
      <c r="W73" s="126">
        <v>0</v>
      </c>
      <c r="X73" s="123">
        <v>1.55</v>
      </c>
      <c r="Y73" s="124">
        <v>3.5200000000000002E-2</v>
      </c>
      <c r="Z73" s="124">
        <v>2.07E-2</v>
      </c>
      <c r="AA73" s="126">
        <v>0</v>
      </c>
      <c r="AB73" s="124">
        <v>5.9900000000000002E-2</v>
      </c>
      <c r="AC73" s="123">
        <v>1.55</v>
      </c>
      <c r="AD73" s="124">
        <v>3.2300000000000002E-2</v>
      </c>
      <c r="AE73" s="124">
        <v>1.34E-2</v>
      </c>
      <c r="AF73" s="124">
        <v>6.8599999999999994E-2</v>
      </c>
      <c r="AG73" s="124">
        <v>2.86E-2</v>
      </c>
      <c r="AH73" s="123">
        <v>1.55</v>
      </c>
      <c r="AI73" s="124">
        <v>2.2100000000000002E-2</v>
      </c>
      <c r="AJ73" s="124">
        <v>7.9000000000000008E-3</v>
      </c>
      <c r="AK73" s="124">
        <v>4.9500000000000002E-2</v>
      </c>
      <c r="AL73" s="124">
        <v>1.55E-2</v>
      </c>
      <c r="AM73" s="123">
        <v>1.55</v>
      </c>
      <c r="AN73" s="124">
        <v>2.8899999999999999E-2</v>
      </c>
      <c r="AO73" s="124">
        <v>1.38E-2</v>
      </c>
      <c r="AP73" s="124">
        <v>5.9900000000000002E-2</v>
      </c>
      <c r="AQ73" s="124">
        <v>3.32E-2</v>
      </c>
      <c r="AR73" s="123">
        <v>1.55</v>
      </c>
      <c r="AS73" s="124">
        <v>2.06E-2</v>
      </c>
      <c r="AT73" s="124">
        <v>8.6E-3</v>
      </c>
      <c r="AU73" s="124">
        <v>4.5900000000000003E-2</v>
      </c>
      <c r="AV73" s="124">
        <v>1.9099999999999999E-2</v>
      </c>
      <c r="AW73" s="123"/>
      <c r="AX73" s="124"/>
      <c r="AY73" s="124"/>
      <c r="AZ73" s="124"/>
      <c r="BA73" s="124"/>
      <c r="BB73" s="123"/>
      <c r="BC73" s="124"/>
      <c r="BD73" s="124"/>
      <c r="BE73" s="124"/>
      <c r="BF73" s="124"/>
    </row>
    <row r="74" spans="4:58" ht="15.5">
      <c r="D74" s="125">
        <v>1.56</v>
      </c>
      <c r="E74" s="126">
        <v>4.8419999999999998E-2</v>
      </c>
      <c r="F74" s="126">
        <v>1.9859999999999999E-2</v>
      </c>
      <c r="G74" s="126">
        <v>0</v>
      </c>
      <c r="H74" s="126">
        <v>0</v>
      </c>
      <c r="I74" s="125">
        <v>1.56</v>
      </c>
      <c r="J74" s="126">
        <v>3.4499999999999996E-2</v>
      </c>
      <c r="K74" s="126">
        <v>1.074E-2</v>
      </c>
      <c r="L74" s="126">
        <v>7.5019999999999989E-2</v>
      </c>
      <c r="M74" s="126">
        <v>0</v>
      </c>
      <c r="N74" s="125">
        <v>1.56</v>
      </c>
      <c r="O74" s="126">
        <v>4.2820000000000004E-2</v>
      </c>
      <c r="P74" s="126">
        <v>2.1679999999999998E-2</v>
      </c>
      <c r="Q74" s="126">
        <v>0</v>
      </c>
      <c r="R74" s="126">
        <v>5.7860000000000002E-2</v>
      </c>
      <c r="S74" s="125">
        <v>1.56</v>
      </c>
      <c r="T74" s="126">
        <v>2.2919999999999999E-2</v>
      </c>
      <c r="U74" s="126">
        <v>5.9199999999999999E-3</v>
      </c>
      <c r="V74" s="126">
        <v>5.1639999999999998E-2</v>
      </c>
      <c r="W74" s="126">
        <v>0</v>
      </c>
      <c r="X74" s="125">
        <v>1.56</v>
      </c>
      <c r="Y74" s="126">
        <v>3.5400000000000001E-2</v>
      </c>
      <c r="Z74" s="126">
        <v>2.0559999999999998E-2</v>
      </c>
      <c r="AA74" s="126">
        <v>0</v>
      </c>
      <c r="AB74" s="126">
        <v>5.9459999999999999E-2</v>
      </c>
      <c r="AC74" s="125">
        <v>1.56</v>
      </c>
      <c r="AD74" s="126">
        <v>3.2260000000000004E-2</v>
      </c>
      <c r="AE74" s="126">
        <v>1.3220000000000001E-2</v>
      </c>
      <c r="AF74" s="126">
        <v>6.8440000000000001E-2</v>
      </c>
      <c r="AG74" s="126">
        <v>2.818E-2</v>
      </c>
      <c r="AH74" s="125">
        <v>1.56</v>
      </c>
      <c r="AI74" s="126">
        <v>2.2040000000000001E-2</v>
      </c>
      <c r="AJ74" s="126">
        <v>7.7800000000000005E-3</v>
      </c>
      <c r="AK74" s="126">
        <v>4.9280000000000004E-2</v>
      </c>
      <c r="AL74" s="126">
        <v>1.524E-2</v>
      </c>
      <c r="AM74" s="125">
        <v>1.56</v>
      </c>
      <c r="AN74" s="126">
        <v>2.8899999999999999E-2</v>
      </c>
      <c r="AO74" s="126">
        <v>1.3639999999999999E-2</v>
      </c>
      <c r="AP74" s="126">
        <v>5.9900000000000002E-2</v>
      </c>
      <c r="AQ74" s="126">
        <v>3.2800000000000003E-2</v>
      </c>
      <c r="AR74" s="125">
        <v>1.56</v>
      </c>
      <c r="AS74" s="126">
        <v>2.0580000000000001E-2</v>
      </c>
      <c r="AT74" s="126">
        <v>8.4799999999999997E-3</v>
      </c>
      <c r="AU74" s="126">
        <v>4.5760000000000002E-2</v>
      </c>
      <c r="AV74" s="126">
        <v>1.882E-2</v>
      </c>
      <c r="AW74" s="125"/>
      <c r="AX74" s="126"/>
      <c r="AY74" s="126"/>
      <c r="AZ74" s="126"/>
      <c r="BA74" s="126"/>
      <c r="BB74" s="125"/>
      <c r="BC74" s="126"/>
      <c r="BD74" s="126"/>
      <c r="BE74" s="126"/>
      <c r="BF74" s="126"/>
    </row>
    <row r="75" spans="4:58" ht="15.5">
      <c r="D75" s="125">
        <v>1.57</v>
      </c>
      <c r="E75" s="126">
        <v>4.8439999999999997E-2</v>
      </c>
      <c r="F75" s="126">
        <v>1.9619999999999999E-2</v>
      </c>
      <c r="G75" s="126">
        <v>0</v>
      </c>
      <c r="H75" s="126">
        <v>0</v>
      </c>
      <c r="I75" s="125">
        <v>1.57</v>
      </c>
      <c r="J75" s="126">
        <v>3.44E-2</v>
      </c>
      <c r="K75" s="126">
        <v>1.0579999999999999E-2</v>
      </c>
      <c r="L75" s="126">
        <v>7.4639999999999998E-2</v>
      </c>
      <c r="M75" s="126">
        <v>0</v>
      </c>
      <c r="N75" s="125">
        <v>1.57</v>
      </c>
      <c r="O75" s="126">
        <v>4.2939999999999999E-2</v>
      </c>
      <c r="P75" s="126">
        <v>2.146E-2</v>
      </c>
      <c r="Q75" s="126">
        <v>0</v>
      </c>
      <c r="R75" s="126">
        <v>5.722E-2</v>
      </c>
      <c r="S75" s="125">
        <v>1.57</v>
      </c>
      <c r="T75" s="126">
        <v>2.2839999999999999E-2</v>
      </c>
      <c r="U75" s="126">
        <v>5.8399999999999997E-3</v>
      </c>
      <c r="V75" s="126">
        <v>5.1380000000000002E-2</v>
      </c>
      <c r="W75" s="126">
        <v>0</v>
      </c>
      <c r="X75" s="125">
        <v>1.57</v>
      </c>
      <c r="Y75" s="126">
        <v>3.56E-2</v>
      </c>
      <c r="Z75" s="126">
        <v>2.0420000000000001E-2</v>
      </c>
      <c r="AA75" s="126">
        <v>0</v>
      </c>
      <c r="AB75" s="126">
        <v>5.9020000000000003E-2</v>
      </c>
      <c r="AC75" s="125">
        <v>1.57</v>
      </c>
      <c r="AD75" s="126">
        <v>3.2219999999999999E-2</v>
      </c>
      <c r="AE75" s="126">
        <v>1.3040000000000001E-2</v>
      </c>
      <c r="AF75" s="126">
        <v>6.8279999999999993E-2</v>
      </c>
      <c r="AG75" s="126">
        <v>2.776E-2</v>
      </c>
      <c r="AH75" s="125">
        <v>1.57</v>
      </c>
      <c r="AI75" s="126">
        <v>2.198E-2</v>
      </c>
      <c r="AJ75" s="126">
        <v>7.6600000000000001E-3</v>
      </c>
      <c r="AK75" s="126">
        <v>4.9059999999999999E-2</v>
      </c>
      <c r="AL75" s="126">
        <v>1.498E-2</v>
      </c>
      <c r="AM75" s="125">
        <v>1.57</v>
      </c>
      <c r="AN75" s="126">
        <v>2.8899999999999999E-2</v>
      </c>
      <c r="AO75" s="126">
        <v>1.3479999999999999E-2</v>
      </c>
      <c r="AP75" s="126">
        <v>5.9900000000000002E-2</v>
      </c>
      <c r="AQ75" s="126">
        <v>3.2399999999999998E-2</v>
      </c>
      <c r="AR75" s="125">
        <v>1.57</v>
      </c>
      <c r="AS75" s="126">
        <v>2.0560000000000002E-2</v>
      </c>
      <c r="AT75" s="126">
        <v>8.3599999999999994E-3</v>
      </c>
      <c r="AU75" s="126">
        <v>4.5620000000000001E-2</v>
      </c>
      <c r="AV75" s="126">
        <v>1.8540000000000001E-2</v>
      </c>
      <c r="AW75" s="125"/>
      <c r="AX75" s="126"/>
      <c r="AY75" s="126"/>
      <c r="AZ75" s="126"/>
      <c r="BA75" s="126"/>
      <c r="BB75" s="125"/>
      <c r="BC75" s="126"/>
      <c r="BD75" s="126"/>
      <c r="BE75" s="126"/>
      <c r="BF75" s="126"/>
    </row>
    <row r="76" spans="4:58" ht="15.5">
      <c r="D76" s="125">
        <v>1.58</v>
      </c>
      <c r="E76" s="126">
        <v>4.8460000000000003E-2</v>
      </c>
      <c r="F76" s="126">
        <v>1.9380000000000001E-2</v>
      </c>
      <c r="G76" s="126">
        <v>0</v>
      </c>
      <c r="H76" s="126">
        <v>0</v>
      </c>
      <c r="I76" s="125">
        <v>1.58</v>
      </c>
      <c r="J76" s="126">
        <v>3.4299999999999997E-2</v>
      </c>
      <c r="K76" s="126">
        <v>1.042E-2</v>
      </c>
      <c r="L76" s="126">
        <v>7.4259999999999993E-2</v>
      </c>
      <c r="M76" s="126">
        <v>0</v>
      </c>
      <c r="N76" s="125">
        <v>1.58</v>
      </c>
      <c r="O76" s="126">
        <v>4.3060000000000001E-2</v>
      </c>
      <c r="P76" s="126">
        <v>2.1239999999999998E-2</v>
      </c>
      <c r="Q76" s="126">
        <v>0</v>
      </c>
      <c r="R76" s="126">
        <v>5.6580000000000005E-2</v>
      </c>
      <c r="S76" s="125">
        <v>1.58</v>
      </c>
      <c r="T76" s="126">
        <v>2.2759999999999999E-2</v>
      </c>
      <c r="U76" s="126">
        <v>5.7600000000000004E-3</v>
      </c>
      <c r="V76" s="126">
        <v>5.1119999999999999E-2</v>
      </c>
      <c r="W76" s="126">
        <v>0</v>
      </c>
      <c r="X76" s="125">
        <v>1.58</v>
      </c>
      <c r="Y76" s="126">
        <v>3.5800000000000005E-2</v>
      </c>
      <c r="Z76" s="126">
        <v>2.0279999999999999E-2</v>
      </c>
      <c r="AA76" s="126">
        <v>0</v>
      </c>
      <c r="AB76" s="126">
        <v>5.858E-2</v>
      </c>
      <c r="AC76" s="125">
        <v>1.58</v>
      </c>
      <c r="AD76" s="126">
        <v>3.218E-2</v>
      </c>
      <c r="AE76" s="126">
        <v>1.286E-2</v>
      </c>
      <c r="AF76" s="126">
        <v>6.812E-2</v>
      </c>
      <c r="AG76" s="126">
        <v>2.734E-2</v>
      </c>
      <c r="AH76" s="125">
        <v>1.58</v>
      </c>
      <c r="AI76" s="126">
        <v>2.1920000000000002E-2</v>
      </c>
      <c r="AJ76" s="126">
        <v>7.5400000000000007E-3</v>
      </c>
      <c r="AK76" s="126">
        <v>4.8840000000000001E-2</v>
      </c>
      <c r="AL76" s="126">
        <v>1.472E-2</v>
      </c>
      <c r="AM76" s="125">
        <v>1.58</v>
      </c>
      <c r="AN76" s="126">
        <v>2.8899999999999999E-2</v>
      </c>
      <c r="AO76" s="126">
        <v>1.332E-2</v>
      </c>
      <c r="AP76" s="126">
        <v>5.9900000000000002E-2</v>
      </c>
      <c r="AQ76" s="126">
        <v>3.2000000000000001E-2</v>
      </c>
      <c r="AR76" s="125">
        <v>1.58</v>
      </c>
      <c r="AS76" s="126">
        <v>2.0539999999999999E-2</v>
      </c>
      <c r="AT76" s="126">
        <v>8.2400000000000008E-3</v>
      </c>
      <c r="AU76" s="126">
        <v>4.548E-2</v>
      </c>
      <c r="AV76" s="126">
        <v>1.8259999999999998E-2</v>
      </c>
      <c r="AW76" s="125"/>
      <c r="AX76" s="126"/>
      <c r="AY76" s="126"/>
      <c r="AZ76" s="126"/>
      <c r="BA76" s="126"/>
      <c r="BB76" s="125"/>
      <c r="BC76" s="126"/>
      <c r="BD76" s="126"/>
      <c r="BE76" s="126"/>
      <c r="BF76" s="126"/>
    </row>
    <row r="77" spans="4:58" ht="15.5">
      <c r="D77" s="125">
        <v>1.59</v>
      </c>
      <c r="E77" s="126">
        <v>4.8480000000000002E-2</v>
      </c>
      <c r="F77" s="126">
        <v>1.9140000000000001E-2</v>
      </c>
      <c r="G77" s="126">
        <v>0</v>
      </c>
      <c r="H77" s="126">
        <v>0</v>
      </c>
      <c r="I77" s="125">
        <v>1.59</v>
      </c>
      <c r="J77" s="126">
        <v>3.4200000000000001E-2</v>
      </c>
      <c r="K77" s="126">
        <v>1.026E-2</v>
      </c>
      <c r="L77" s="126">
        <v>7.3880000000000001E-2</v>
      </c>
      <c r="M77" s="126">
        <v>0</v>
      </c>
      <c r="N77" s="125">
        <v>1.59</v>
      </c>
      <c r="O77" s="126">
        <v>4.3179999999999996E-2</v>
      </c>
      <c r="P77" s="126">
        <v>2.102E-2</v>
      </c>
      <c r="Q77" s="126">
        <v>0</v>
      </c>
      <c r="R77" s="126">
        <v>5.5940000000000004E-2</v>
      </c>
      <c r="S77" s="125">
        <v>1.59</v>
      </c>
      <c r="T77" s="126">
        <v>2.2679999999999999E-2</v>
      </c>
      <c r="U77" s="126">
        <v>5.6800000000000002E-3</v>
      </c>
      <c r="V77" s="126">
        <v>5.0860000000000002E-2</v>
      </c>
      <c r="W77" s="126">
        <v>0</v>
      </c>
      <c r="X77" s="125">
        <v>1.59</v>
      </c>
      <c r="Y77" s="126">
        <v>3.6000000000000004E-2</v>
      </c>
      <c r="Z77" s="126">
        <v>2.0140000000000002E-2</v>
      </c>
      <c r="AA77" s="126">
        <v>0</v>
      </c>
      <c r="AB77" s="126">
        <v>5.8140000000000004E-2</v>
      </c>
      <c r="AC77" s="125">
        <v>1.59</v>
      </c>
      <c r="AD77" s="126">
        <v>3.2139999999999995E-2</v>
      </c>
      <c r="AE77" s="126">
        <v>1.268E-2</v>
      </c>
      <c r="AF77" s="126">
        <v>6.7959999999999993E-2</v>
      </c>
      <c r="AG77" s="126">
        <v>2.6919999999999999E-2</v>
      </c>
      <c r="AH77" s="125">
        <v>1.59</v>
      </c>
      <c r="AI77" s="126">
        <v>2.1860000000000001E-2</v>
      </c>
      <c r="AJ77" s="126">
        <v>7.4200000000000004E-3</v>
      </c>
      <c r="AK77" s="126">
        <v>4.8619999999999997E-2</v>
      </c>
      <c r="AL77" s="126">
        <v>1.4460000000000001E-2</v>
      </c>
      <c r="AM77" s="125">
        <v>1.59</v>
      </c>
      <c r="AN77" s="126">
        <v>2.8899999999999999E-2</v>
      </c>
      <c r="AO77" s="126">
        <v>1.316E-2</v>
      </c>
      <c r="AP77" s="126">
        <v>5.9900000000000002E-2</v>
      </c>
      <c r="AQ77" s="126">
        <v>3.1599999999999996E-2</v>
      </c>
      <c r="AR77" s="125">
        <v>1.59</v>
      </c>
      <c r="AS77" s="126">
        <v>2.052E-2</v>
      </c>
      <c r="AT77" s="126">
        <v>8.1200000000000005E-3</v>
      </c>
      <c r="AU77" s="126">
        <v>4.5339999999999998E-2</v>
      </c>
      <c r="AV77" s="126">
        <v>1.7979999999999999E-2</v>
      </c>
      <c r="AW77" s="125"/>
      <c r="AX77" s="126"/>
      <c r="AY77" s="126"/>
      <c r="AZ77" s="126"/>
      <c r="BA77" s="126"/>
      <c r="BB77" s="125"/>
      <c r="BC77" s="126"/>
      <c r="BD77" s="126"/>
      <c r="BE77" s="126"/>
      <c r="BF77" s="126"/>
    </row>
    <row r="78" spans="4:58" ht="15.5">
      <c r="D78" s="123">
        <v>1.6</v>
      </c>
      <c r="E78" s="124">
        <v>4.8500000000000001E-2</v>
      </c>
      <c r="F78" s="124">
        <v>1.89E-2</v>
      </c>
      <c r="G78" s="126">
        <v>0</v>
      </c>
      <c r="H78" s="126">
        <v>0</v>
      </c>
      <c r="I78" s="123">
        <v>1.6</v>
      </c>
      <c r="J78" s="124">
        <v>3.4099999999999998E-2</v>
      </c>
      <c r="K78" s="124">
        <v>1.01E-2</v>
      </c>
      <c r="L78" s="124">
        <v>7.3499999999999996E-2</v>
      </c>
      <c r="M78" s="126">
        <v>0</v>
      </c>
      <c r="N78" s="123">
        <v>1.6</v>
      </c>
      <c r="O78" s="124">
        <v>4.3299999999999998E-2</v>
      </c>
      <c r="P78" s="124">
        <v>2.0799999999999999E-2</v>
      </c>
      <c r="Q78" s="126">
        <v>0</v>
      </c>
      <c r="R78" s="124">
        <v>5.5300000000000002E-2</v>
      </c>
      <c r="S78" s="123">
        <v>1.6</v>
      </c>
      <c r="T78" s="124">
        <v>2.2599999999999999E-2</v>
      </c>
      <c r="U78" s="124">
        <v>5.5999999999999999E-3</v>
      </c>
      <c r="V78" s="124">
        <v>5.0599999999999999E-2</v>
      </c>
      <c r="W78" s="126">
        <v>0</v>
      </c>
      <c r="X78" s="123">
        <v>1.6</v>
      </c>
      <c r="Y78" s="124">
        <v>3.6200000000000003E-2</v>
      </c>
      <c r="Z78" s="124">
        <v>0.02</v>
      </c>
      <c r="AA78" s="126">
        <v>0</v>
      </c>
      <c r="AB78" s="124">
        <v>5.7700000000000001E-2</v>
      </c>
      <c r="AC78" s="123">
        <v>1.6</v>
      </c>
      <c r="AD78" s="124">
        <v>3.2099999999999997E-2</v>
      </c>
      <c r="AE78" s="124">
        <v>1.2500000000000001E-2</v>
      </c>
      <c r="AF78" s="124">
        <v>6.7799999999999999E-2</v>
      </c>
      <c r="AG78" s="124">
        <v>2.6499999999999999E-2</v>
      </c>
      <c r="AH78" s="123">
        <v>1.6</v>
      </c>
      <c r="AI78" s="124">
        <v>2.18E-2</v>
      </c>
      <c r="AJ78" s="124">
        <v>7.3000000000000001E-3</v>
      </c>
      <c r="AK78" s="124">
        <v>4.8399999999999999E-2</v>
      </c>
      <c r="AL78" s="124">
        <v>1.4200000000000001E-2</v>
      </c>
      <c r="AM78" s="123">
        <v>1.6</v>
      </c>
      <c r="AN78" s="124">
        <v>2.8899999999999999E-2</v>
      </c>
      <c r="AO78" s="124">
        <v>1.2999999999999999E-2</v>
      </c>
      <c r="AP78" s="124">
        <v>5.9900000000000002E-2</v>
      </c>
      <c r="AQ78" s="124">
        <v>3.1199999999999999E-2</v>
      </c>
      <c r="AR78" s="123">
        <v>1.6</v>
      </c>
      <c r="AS78" s="124">
        <v>2.0500000000000001E-2</v>
      </c>
      <c r="AT78" s="124">
        <v>8.0000000000000002E-3</v>
      </c>
      <c r="AU78" s="124">
        <v>4.5199999999999997E-2</v>
      </c>
      <c r="AV78" s="124">
        <v>1.77E-2</v>
      </c>
      <c r="AW78" s="123"/>
      <c r="AX78" s="124"/>
      <c r="AY78" s="124"/>
      <c r="AZ78" s="124"/>
      <c r="BA78" s="124"/>
      <c r="BB78" s="123"/>
      <c r="BC78" s="124"/>
      <c r="BD78" s="124"/>
      <c r="BE78" s="124"/>
      <c r="BF78" s="124"/>
    </row>
    <row r="79" spans="4:58" ht="15.5">
      <c r="D79" s="125">
        <v>1.61</v>
      </c>
      <c r="E79" s="126">
        <v>4.8520000000000001E-2</v>
      </c>
      <c r="F79" s="126">
        <v>1.8699999999999998E-2</v>
      </c>
      <c r="G79" s="126">
        <v>0</v>
      </c>
      <c r="H79" s="126">
        <v>0</v>
      </c>
      <c r="I79" s="125">
        <v>1.61</v>
      </c>
      <c r="J79" s="126">
        <v>3.4040000000000001E-2</v>
      </c>
      <c r="K79" s="126">
        <v>9.9399999999999992E-3</v>
      </c>
      <c r="L79" s="126">
        <v>7.3159999999999989E-2</v>
      </c>
      <c r="M79" s="126">
        <v>0</v>
      </c>
      <c r="N79" s="125">
        <v>1.61</v>
      </c>
      <c r="O79" s="126">
        <v>4.3380000000000002E-2</v>
      </c>
      <c r="P79" s="126">
        <v>2.06E-2</v>
      </c>
      <c r="Q79" s="126">
        <v>0</v>
      </c>
      <c r="R79" s="126">
        <v>5.4620000000000002E-2</v>
      </c>
      <c r="S79" s="125">
        <v>1.61</v>
      </c>
      <c r="T79" s="126">
        <v>2.2499999999999999E-2</v>
      </c>
      <c r="U79" s="126">
        <v>5.4999999999999997E-3</v>
      </c>
      <c r="V79" s="126">
        <v>5.0339999999999996E-2</v>
      </c>
      <c r="W79" s="126">
        <v>0</v>
      </c>
      <c r="X79" s="125">
        <v>1.61</v>
      </c>
      <c r="Y79" s="126">
        <v>3.6340000000000004E-2</v>
      </c>
      <c r="Z79" s="126">
        <v>1.9859999999999999E-2</v>
      </c>
      <c r="AA79" s="126">
        <v>0</v>
      </c>
      <c r="AB79" s="126">
        <v>5.7259999999999998E-2</v>
      </c>
      <c r="AC79" s="125">
        <v>1.61</v>
      </c>
      <c r="AD79" s="126">
        <v>3.2059999999999998E-2</v>
      </c>
      <c r="AE79" s="126">
        <v>1.234E-2</v>
      </c>
      <c r="AF79" s="126">
        <v>6.7599999999999993E-2</v>
      </c>
      <c r="AG79" s="126">
        <v>2.6099999999999998E-2</v>
      </c>
      <c r="AH79" s="125">
        <v>1.61</v>
      </c>
      <c r="AI79" s="126">
        <v>2.172E-2</v>
      </c>
      <c r="AJ79" s="126">
        <v>7.1799999999999998E-3</v>
      </c>
      <c r="AK79" s="126">
        <v>4.8180000000000001E-2</v>
      </c>
      <c r="AL79" s="126">
        <v>1.3979999999999999E-2</v>
      </c>
      <c r="AM79" s="125">
        <v>1.61</v>
      </c>
      <c r="AN79" s="126">
        <v>2.8919999999999998E-2</v>
      </c>
      <c r="AO79" s="126">
        <v>1.2859999999999998E-2</v>
      </c>
      <c r="AP79" s="126">
        <v>5.9860000000000003E-2</v>
      </c>
      <c r="AQ79" s="126">
        <v>3.0819999999999997E-2</v>
      </c>
      <c r="AR79" s="125">
        <v>1.61</v>
      </c>
      <c r="AS79" s="126">
        <v>2.044E-2</v>
      </c>
      <c r="AT79" s="126">
        <v>7.8799999999999999E-3</v>
      </c>
      <c r="AU79" s="126">
        <v>4.5079999999999995E-2</v>
      </c>
      <c r="AV79" s="126">
        <v>1.7440000000000001E-2</v>
      </c>
      <c r="AW79" s="125"/>
      <c r="AX79" s="126"/>
      <c r="AY79" s="126"/>
      <c r="AZ79" s="126"/>
      <c r="BA79" s="126"/>
      <c r="BB79" s="125"/>
      <c r="BC79" s="126"/>
      <c r="BD79" s="126"/>
      <c r="BE79" s="126"/>
      <c r="BF79" s="126"/>
    </row>
    <row r="80" spans="4:58" ht="15.5">
      <c r="D80" s="125">
        <v>1.62</v>
      </c>
      <c r="E80" s="126">
        <v>4.854E-2</v>
      </c>
      <c r="F80" s="126">
        <v>1.8499999999999999E-2</v>
      </c>
      <c r="G80" s="126">
        <v>0</v>
      </c>
      <c r="H80" s="126">
        <v>0</v>
      </c>
      <c r="I80" s="125">
        <v>1.62</v>
      </c>
      <c r="J80" s="126">
        <v>3.3979999999999996E-2</v>
      </c>
      <c r="K80" s="126">
        <v>9.7799999999999988E-3</v>
      </c>
      <c r="L80" s="126">
        <v>7.2819999999999996E-2</v>
      </c>
      <c r="M80" s="126">
        <v>0</v>
      </c>
      <c r="N80" s="125">
        <v>1.62</v>
      </c>
      <c r="O80" s="126">
        <v>4.3459999999999999E-2</v>
      </c>
      <c r="P80" s="126">
        <v>2.0399999999999998E-2</v>
      </c>
      <c r="Q80" s="126">
        <v>0</v>
      </c>
      <c r="R80" s="126">
        <v>5.3939999999999995E-2</v>
      </c>
      <c r="S80" s="125">
        <v>1.62</v>
      </c>
      <c r="T80" s="126">
        <v>2.24E-2</v>
      </c>
      <c r="U80" s="126">
        <v>5.3999999999999994E-3</v>
      </c>
      <c r="V80" s="126">
        <v>5.0079999999999993E-2</v>
      </c>
      <c r="W80" s="126">
        <v>0</v>
      </c>
      <c r="X80" s="125">
        <v>1.62</v>
      </c>
      <c r="Y80" s="126">
        <v>3.6480000000000005E-2</v>
      </c>
      <c r="Z80" s="126">
        <v>1.9719999999999998E-2</v>
      </c>
      <c r="AA80" s="126">
        <v>0</v>
      </c>
      <c r="AB80" s="126">
        <v>5.6819999999999996E-2</v>
      </c>
      <c r="AC80" s="125">
        <v>1.62</v>
      </c>
      <c r="AD80" s="126">
        <v>3.202E-2</v>
      </c>
      <c r="AE80" s="126">
        <v>1.218E-2</v>
      </c>
      <c r="AF80" s="126">
        <v>6.7400000000000002E-2</v>
      </c>
      <c r="AG80" s="126">
        <v>2.5699999999999997E-2</v>
      </c>
      <c r="AH80" s="125">
        <v>1.62</v>
      </c>
      <c r="AI80" s="126">
        <v>2.164E-2</v>
      </c>
      <c r="AJ80" s="126">
        <v>7.0599999999999994E-3</v>
      </c>
      <c r="AK80" s="126">
        <v>4.7959999999999996E-2</v>
      </c>
      <c r="AL80" s="126">
        <v>1.3759999999999998E-2</v>
      </c>
      <c r="AM80" s="125">
        <v>1.62</v>
      </c>
      <c r="AN80" s="126">
        <v>2.894E-2</v>
      </c>
      <c r="AO80" s="126">
        <v>1.2719999999999999E-2</v>
      </c>
      <c r="AP80" s="126">
        <v>5.9820000000000005E-2</v>
      </c>
      <c r="AQ80" s="126">
        <v>3.0439999999999995E-2</v>
      </c>
      <c r="AR80" s="125">
        <v>1.62</v>
      </c>
      <c r="AS80" s="126">
        <v>2.0379999999999999E-2</v>
      </c>
      <c r="AT80" s="126">
        <v>7.7599999999999995E-3</v>
      </c>
      <c r="AU80" s="126">
        <v>4.496E-2</v>
      </c>
      <c r="AV80" s="126">
        <v>1.7179999999999997E-2</v>
      </c>
      <c r="AW80" s="125"/>
      <c r="AX80" s="126"/>
      <c r="AY80" s="126"/>
      <c r="AZ80" s="126"/>
      <c r="BA80" s="126"/>
      <c r="BB80" s="125"/>
      <c r="BC80" s="126"/>
      <c r="BD80" s="126"/>
      <c r="BE80" s="126"/>
      <c r="BF80" s="126"/>
    </row>
    <row r="81" spans="4:58" ht="15.5">
      <c r="D81" s="125">
        <v>1.63</v>
      </c>
      <c r="E81" s="126">
        <v>4.8559999999999999E-2</v>
      </c>
      <c r="F81" s="126">
        <v>1.83E-2</v>
      </c>
      <c r="G81" s="126">
        <v>0</v>
      </c>
      <c r="H81" s="126">
        <v>0</v>
      </c>
      <c r="I81" s="125">
        <v>1.63</v>
      </c>
      <c r="J81" s="126">
        <v>3.3919999999999999E-2</v>
      </c>
      <c r="K81" s="126">
        <v>9.6200000000000001E-3</v>
      </c>
      <c r="L81" s="126">
        <v>7.2480000000000003E-2</v>
      </c>
      <c r="M81" s="126">
        <v>0</v>
      </c>
      <c r="N81" s="125">
        <v>1.63</v>
      </c>
      <c r="O81" s="126">
        <v>4.3540000000000002E-2</v>
      </c>
      <c r="P81" s="126">
        <v>2.0200000000000003E-2</v>
      </c>
      <c r="Q81" s="126">
        <v>0</v>
      </c>
      <c r="R81" s="126">
        <v>5.3260000000000009E-2</v>
      </c>
      <c r="S81" s="125">
        <v>1.63</v>
      </c>
      <c r="T81" s="126">
        <v>2.23E-2</v>
      </c>
      <c r="U81" s="126">
        <v>5.3000000000000009E-3</v>
      </c>
      <c r="V81" s="126">
        <v>4.9820000000000003E-2</v>
      </c>
      <c r="W81" s="126">
        <v>0</v>
      </c>
      <c r="X81" s="125">
        <v>1.63</v>
      </c>
      <c r="Y81" s="126">
        <v>3.662E-2</v>
      </c>
      <c r="Z81" s="126">
        <v>1.9580000000000004E-2</v>
      </c>
      <c r="AA81" s="126">
        <v>0</v>
      </c>
      <c r="AB81" s="126">
        <v>5.6380000000000006E-2</v>
      </c>
      <c r="AC81" s="125">
        <v>1.63</v>
      </c>
      <c r="AD81" s="126">
        <v>3.1979999999999995E-2</v>
      </c>
      <c r="AE81" s="126">
        <v>1.2020000000000001E-2</v>
      </c>
      <c r="AF81" s="126">
        <v>6.7199999999999996E-2</v>
      </c>
      <c r="AG81" s="126">
        <v>2.5300000000000003E-2</v>
      </c>
      <c r="AH81" s="125">
        <v>1.63</v>
      </c>
      <c r="AI81" s="126">
        <v>2.1559999999999999E-2</v>
      </c>
      <c r="AJ81" s="126">
        <v>6.9400000000000009E-3</v>
      </c>
      <c r="AK81" s="126">
        <v>4.7740000000000005E-2</v>
      </c>
      <c r="AL81" s="126">
        <v>1.3540000000000003E-2</v>
      </c>
      <c r="AM81" s="125">
        <v>1.63</v>
      </c>
      <c r="AN81" s="126">
        <v>2.896E-2</v>
      </c>
      <c r="AO81" s="126">
        <v>1.2580000000000001E-2</v>
      </c>
      <c r="AP81" s="126">
        <v>5.978E-2</v>
      </c>
      <c r="AQ81" s="126">
        <v>3.0060000000000003E-2</v>
      </c>
      <c r="AR81" s="125">
        <v>1.63</v>
      </c>
      <c r="AS81" s="126">
        <v>2.0320000000000001E-2</v>
      </c>
      <c r="AT81" s="126">
        <v>7.640000000000001E-3</v>
      </c>
      <c r="AU81" s="126">
        <v>4.4839999999999998E-2</v>
      </c>
      <c r="AV81" s="126">
        <v>1.6920000000000004E-2</v>
      </c>
      <c r="AW81" s="125"/>
      <c r="AX81" s="126"/>
      <c r="AY81" s="126"/>
      <c r="AZ81" s="126"/>
      <c r="BA81" s="126"/>
      <c r="BB81" s="125"/>
      <c r="BC81" s="126"/>
      <c r="BD81" s="126"/>
      <c r="BE81" s="126"/>
      <c r="BF81" s="126"/>
    </row>
    <row r="82" spans="4:58" ht="15.5">
      <c r="D82" s="125">
        <v>1.64</v>
      </c>
      <c r="E82" s="126">
        <v>4.8579999999999998E-2</v>
      </c>
      <c r="F82" s="126">
        <v>1.8100000000000002E-2</v>
      </c>
      <c r="G82" s="126">
        <v>0</v>
      </c>
      <c r="H82" s="126">
        <v>0</v>
      </c>
      <c r="I82" s="125">
        <v>1.64</v>
      </c>
      <c r="J82" s="126">
        <v>3.3859999999999994E-2</v>
      </c>
      <c r="K82" s="126">
        <v>9.4599999999999997E-3</v>
      </c>
      <c r="L82" s="126">
        <v>7.214000000000001E-2</v>
      </c>
      <c r="M82" s="126">
        <v>0</v>
      </c>
      <c r="N82" s="125">
        <v>1.64</v>
      </c>
      <c r="O82" s="126">
        <v>4.3619999999999999E-2</v>
      </c>
      <c r="P82" s="126">
        <v>0.02</v>
      </c>
      <c r="Q82" s="126">
        <v>0</v>
      </c>
      <c r="R82" s="126">
        <v>5.2580000000000002E-2</v>
      </c>
      <c r="S82" s="125">
        <v>1.64</v>
      </c>
      <c r="T82" s="126">
        <v>2.2200000000000001E-2</v>
      </c>
      <c r="U82" s="126">
        <v>5.2000000000000006E-3</v>
      </c>
      <c r="V82" s="126">
        <v>4.956E-2</v>
      </c>
      <c r="W82" s="126">
        <v>0</v>
      </c>
      <c r="X82" s="125">
        <v>1.64</v>
      </c>
      <c r="Y82" s="126">
        <v>3.6760000000000001E-2</v>
      </c>
      <c r="Z82" s="126">
        <v>1.9440000000000002E-2</v>
      </c>
      <c r="AA82" s="126">
        <v>0</v>
      </c>
      <c r="AB82" s="126">
        <v>5.5940000000000004E-2</v>
      </c>
      <c r="AC82" s="125">
        <v>1.64</v>
      </c>
      <c r="AD82" s="126">
        <v>3.1939999999999996E-2</v>
      </c>
      <c r="AE82" s="126">
        <v>1.1860000000000001E-2</v>
      </c>
      <c r="AF82" s="126">
        <v>6.7000000000000004E-2</v>
      </c>
      <c r="AG82" s="126">
        <v>2.4900000000000002E-2</v>
      </c>
      <c r="AH82" s="125">
        <v>1.64</v>
      </c>
      <c r="AI82" s="126">
        <v>2.1479999999999999E-2</v>
      </c>
      <c r="AJ82" s="126">
        <v>6.8200000000000005E-3</v>
      </c>
      <c r="AK82" s="126">
        <v>4.752E-2</v>
      </c>
      <c r="AL82" s="126">
        <v>1.3320000000000002E-2</v>
      </c>
      <c r="AM82" s="125">
        <v>1.64</v>
      </c>
      <c r="AN82" s="126">
        <v>2.8980000000000002E-2</v>
      </c>
      <c r="AO82" s="126">
        <v>1.2440000000000001E-2</v>
      </c>
      <c r="AP82" s="126">
        <v>5.9740000000000001E-2</v>
      </c>
      <c r="AQ82" s="126">
        <v>2.9680000000000002E-2</v>
      </c>
      <c r="AR82" s="125">
        <v>1.64</v>
      </c>
      <c r="AS82" s="126">
        <v>2.026E-2</v>
      </c>
      <c r="AT82" s="126">
        <v>7.5200000000000006E-3</v>
      </c>
      <c r="AU82" s="126">
        <v>4.4720000000000003E-2</v>
      </c>
      <c r="AV82" s="126">
        <v>1.6660000000000001E-2</v>
      </c>
      <c r="AW82" s="125"/>
      <c r="AX82" s="126"/>
      <c r="AY82" s="126"/>
      <c r="AZ82" s="126"/>
      <c r="BA82" s="126"/>
      <c r="BB82" s="125"/>
      <c r="BC82" s="126"/>
      <c r="BD82" s="126"/>
      <c r="BE82" s="126"/>
      <c r="BF82" s="126"/>
    </row>
    <row r="83" spans="4:58" ht="15.5">
      <c r="D83" s="123">
        <v>1.65</v>
      </c>
      <c r="E83" s="124">
        <v>4.8599999999999997E-2</v>
      </c>
      <c r="F83" s="124">
        <v>1.7899999999999999E-2</v>
      </c>
      <c r="G83" s="126">
        <v>0</v>
      </c>
      <c r="H83" s="126">
        <v>0</v>
      </c>
      <c r="I83" s="123">
        <v>1.65</v>
      </c>
      <c r="J83" s="124">
        <v>3.3799999999999997E-2</v>
      </c>
      <c r="K83" s="124">
        <v>9.2999999999999992E-3</v>
      </c>
      <c r="L83" s="124">
        <v>7.1800000000000003E-2</v>
      </c>
      <c r="M83" s="126">
        <v>0</v>
      </c>
      <c r="N83" s="123">
        <v>1.65</v>
      </c>
      <c r="O83" s="124">
        <v>4.3700000000000003E-2</v>
      </c>
      <c r="P83" s="124">
        <v>1.9800000000000002E-2</v>
      </c>
      <c r="Q83" s="126">
        <v>0</v>
      </c>
      <c r="R83" s="124">
        <v>5.1900000000000002E-2</v>
      </c>
      <c r="S83" s="123">
        <v>1.65</v>
      </c>
      <c r="T83" s="124">
        <v>2.2100000000000002E-2</v>
      </c>
      <c r="U83" s="124">
        <v>5.1000000000000004E-3</v>
      </c>
      <c r="V83" s="124">
        <v>4.9299999999999997E-2</v>
      </c>
      <c r="W83" s="126">
        <v>0</v>
      </c>
      <c r="X83" s="123">
        <v>1.65</v>
      </c>
      <c r="Y83" s="124">
        <v>3.6900000000000002E-2</v>
      </c>
      <c r="Z83" s="124">
        <v>1.9300000000000001E-2</v>
      </c>
      <c r="AA83" s="126">
        <v>0</v>
      </c>
      <c r="AB83" s="124">
        <v>5.5500000000000001E-2</v>
      </c>
      <c r="AC83" s="123">
        <v>1.65</v>
      </c>
      <c r="AD83" s="124">
        <v>3.1899999999999998E-2</v>
      </c>
      <c r="AE83" s="124">
        <v>1.17E-2</v>
      </c>
      <c r="AF83" s="124">
        <v>6.6799999999999998E-2</v>
      </c>
      <c r="AG83" s="124">
        <v>2.4500000000000001E-2</v>
      </c>
      <c r="AH83" s="123">
        <v>1.65</v>
      </c>
      <c r="AI83" s="124">
        <v>2.1399999999999999E-2</v>
      </c>
      <c r="AJ83" s="124">
        <v>6.7000000000000002E-3</v>
      </c>
      <c r="AK83" s="124">
        <v>4.7300000000000002E-2</v>
      </c>
      <c r="AL83" s="124">
        <v>1.3100000000000001E-2</v>
      </c>
      <c r="AM83" s="123">
        <v>1.65</v>
      </c>
      <c r="AN83" s="124">
        <v>2.9000000000000001E-2</v>
      </c>
      <c r="AO83" s="124">
        <v>1.23E-2</v>
      </c>
      <c r="AP83" s="124">
        <v>5.9700000000000003E-2</v>
      </c>
      <c r="AQ83" s="124">
        <v>2.93E-2</v>
      </c>
      <c r="AR83" s="123">
        <v>1.65</v>
      </c>
      <c r="AS83" s="124">
        <v>2.0199999999999999E-2</v>
      </c>
      <c r="AT83" s="124">
        <v>7.4000000000000003E-3</v>
      </c>
      <c r="AU83" s="124">
        <v>4.4600000000000001E-2</v>
      </c>
      <c r="AV83" s="124">
        <v>1.6400000000000001E-2</v>
      </c>
      <c r="AW83" s="123"/>
      <c r="AX83" s="124"/>
      <c r="AY83" s="124"/>
      <c r="AZ83" s="124"/>
      <c r="BA83" s="124"/>
      <c r="BB83" s="123"/>
      <c r="BC83" s="124"/>
      <c r="BD83" s="124"/>
      <c r="BE83" s="124"/>
      <c r="BF83" s="124"/>
    </row>
    <row r="84" spans="4:58" ht="15.5">
      <c r="D84" s="125">
        <v>1.66</v>
      </c>
      <c r="E84" s="126">
        <v>4.8639999999999996E-2</v>
      </c>
      <c r="F84" s="126">
        <v>1.77E-2</v>
      </c>
      <c r="G84" s="126">
        <v>0</v>
      </c>
      <c r="H84" s="126">
        <v>0</v>
      </c>
      <c r="I84" s="125">
        <v>1.66</v>
      </c>
      <c r="J84" s="126">
        <v>3.3700000000000001E-2</v>
      </c>
      <c r="K84" s="126">
        <v>9.1599999999999997E-3</v>
      </c>
      <c r="L84" s="126">
        <v>7.1459999999999996E-2</v>
      </c>
      <c r="M84" s="126">
        <v>0</v>
      </c>
      <c r="N84" s="125">
        <v>1.66</v>
      </c>
      <c r="O84" s="126">
        <v>4.3779999999999999E-2</v>
      </c>
      <c r="P84" s="126">
        <v>1.9640000000000001E-2</v>
      </c>
      <c r="Q84" s="126">
        <v>0</v>
      </c>
      <c r="R84" s="126">
        <v>5.1299999999999998E-2</v>
      </c>
      <c r="S84" s="125">
        <v>1.66</v>
      </c>
      <c r="T84" s="126">
        <v>2.2020000000000001E-2</v>
      </c>
      <c r="U84" s="126">
        <v>5.0200000000000002E-3</v>
      </c>
      <c r="V84" s="126">
        <v>4.8959999999999997E-2</v>
      </c>
      <c r="W84" s="126">
        <v>0</v>
      </c>
      <c r="X84" s="125">
        <v>1.66</v>
      </c>
      <c r="Y84" s="126">
        <v>3.7040000000000003E-2</v>
      </c>
      <c r="Z84" s="126">
        <v>1.916E-2</v>
      </c>
      <c r="AA84" s="126">
        <v>0</v>
      </c>
      <c r="AB84" s="126">
        <v>5.5019999999999999E-2</v>
      </c>
      <c r="AC84" s="125">
        <v>1.66</v>
      </c>
      <c r="AD84" s="126">
        <v>3.184E-2</v>
      </c>
      <c r="AE84" s="126">
        <v>1.154E-2</v>
      </c>
      <c r="AF84" s="126">
        <v>6.658E-2</v>
      </c>
      <c r="AG84" s="126">
        <v>2.4160000000000001E-2</v>
      </c>
      <c r="AH84" s="125">
        <v>1.66</v>
      </c>
      <c r="AI84" s="126">
        <v>2.1319999999999999E-2</v>
      </c>
      <c r="AJ84" s="126">
        <v>6.6E-3</v>
      </c>
      <c r="AK84" s="126">
        <v>4.7080000000000004E-2</v>
      </c>
      <c r="AL84" s="126">
        <v>1.2880000000000001E-2</v>
      </c>
      <c r="AM84" s="125">
        <v>1.66</v>
      </c>
      <c r="AN84" s="126">
        <v>2.9000000000000001E-2</v>
      </c>
      <c r="AO84" s="126">
        <v>1.2160000000000001E-2</v>
      </c>
      <c r="AP84" s="126">
        <v>5.9640000000000006E-2</v>
      </c>
      <c r="AQ84" s="126">
        <v>2.8920000000000001E-2</v>
      </c>
      <c r="AR84" s="125">
        <v>1.66</v>
      </c>
      <c r="AS84" s="126">
        <v>2.0160000000000001E-2</v>
      </c>
      <c r="AT84" s="126">
        <v>7.3000000000000001E-3</v>
      </c>
      <c r="AU84" s="126">
        <v>4.444E-2</v>
      </c>
      <c r="AV84" s="126">
        <v>1.6160000000000001E-2</v>
      </c>
      <c r="AW84" s="125"/>
      <c r="AX84" s="126"/>
      <c r="AY84" s="126"/>
      <c r="AZ84" s="126"/>
      <c r="BA84" s="126"/>
      <c r="BB84" s="125"/>
      <c r="BC84" s="126"/>
      <c r="BD84" s="126"/>
      <c r="BE84" s="126"/>
      <c r="BF84" s="126"/>
    </row>
    <row r="85" spans="4:58" ht="15.5">
      <c r="D85" s="125">
        <v>1.67</v>
      </c>
      <c r="E85" s="126">
        <v>4.8680000000000001E-2</v>
      </c>
      <c r="F85" s="126">
        <v>1.7499999999999998E-2</v>
      </c>
      <c r="G85" s="126">
        <v>0</v>
      </c>
      <c r="H85" s="126">
        <v>0</v>
      </c>
      <c r="I85" s="125">
        <v>1.67</v>
      </c>
      <c r="J85" s="126">
        <v>3.3599999999999998E-2</v>
      </c>
      <c r="K85" s="126">
        <v>9.0200000000000002E-3</v>
      </c>
      <c r="L85" s="126">
        <v>7.1120000000000003E-2</v>
      </c>
      <c r="M85" s="126">
        <v>0</v>
      </c>
      <c r="N85" s="125">
        <v>1.67</v>
      </c>
      <c r="O85" s="126">
        <v>4.3860000000000003E-2</v>
      </c>
      <c r="P85" s="126">
        <v>1.9480000000000001E-2</v>
      </c>
      <c r="Q85" s="126">
        <v>0</v>
      </c>
      <c r="R85" s="126">
        <v>5.0700000000000002E-2</v>
      </c>
      <c r="S85" s="125">
        <v>1.67</v>
      </c>
      <c r="T85" s="126">
        <v>2.1940000000000001E-2</v>
      </c>
      <c r="U85" s="126">
        <v>4.9399999999999999E-3</v>
      </c>
      <c r="V85" s="126">
        <v>4.8619999999999997E-2</v>
      </c>
      <c r="W85" s="126">
        <v>0</v>
      </c>
      <c r="X85" s="125">
        <v>1.67</v>
      </c>
      <c r="Y85" s="126">
        <v>3.7180000000000005E-2</v>
      </c>
      <c r="Z85" s="126">
        <v>1.9019999999999999E-2</v>
      </c>
      <c r="AA85" s="126">
        <v>0</v>
      </c>
      <c r="AB85" s="126">
        <v>5.4539999999999998E-2</v>
      </c>
      <c r="AC85" s="125">
        <v>1.67</v>
      </c>
      <c r="AD85" s="126">
        <v>3.1780000000000003E-2</v>
      </c>
      <c r="AE85" s="126">
        <v>1.1379999999999999E-2</v>
      </c>
      <c r="AF85" s="126">
        <v>6.6360000000000002E-2</v>
      </c>
      <c r="AG85" s="126">
        <v>2.3820000000000001E-2</v>
      </c>
      <c r="AH85" s="125">
        <v>1.67</v>
      </c>
      <c r="AI85" s="126">
        <v>2.1239999999999998E-2</v>
      </c>
      <c r="AJ85" s="126">
        <v>6.4999999999999997E-3</v>
      </c>
      <c r="AK85" s="126">
        <v>4.6859999999999999E-2</v>
      </c>
      <c r="AL85" s="126">
        <v>1.2660000000000001E-2</v>
      </c>
      <c r="AM85" s="125">
        <v>1.67</v>
      </c>
      <c r="AN85" s="126">
        <v>2.9000000000000001E-2</v>
      </c>
      <c r="AO85" s="126">
        <v>1.2019999999999999E-2</v>
      </c>
      <c r="AP85" s="126">
        <v>5.9580000000000001E-2</v>
      </c>
      <c r="AQ85" s="126">
        <v>2.8539999999999999E-2</v>
      </c>
      <c r="AR85" s="125">
        <v>1.67</v>
      </c>
      <c r="AS85" s="126">
        <v>2.0119999999999999E-2</v>
      </c>
      <c r="AT85" s="126">
        <v>7.1999999999999998E-3</v>
      </c>
      <c r="AU85" s="126">
        <v>4.428E-2</v>
      </c>
      <c r="AV85" s="126">
        <v>1.592E-2</v>
      </c>
      <c r="AW85" s="125"/>
      <c r="AX85" s="126"/>
      <c r="AY85" s="126"/>
      <c r="AZ85" s="126"/>
      <c r="BA85" s="126"/>
      <c r="BB85" s="125"/>
      <c r="BC85" s="126"/>
      <c r="BD85" s="126"/>
      <c r="BE85" s="126"/>
      <c r="BF85" s="126"/>
    </row>
    <row r="86" spans="4:58" ht="15.5">
      <c r="D86" s="125">
        <v>1.68</v>
      </c>
      <c r="E86" s="126">
        <v>4.8719999999999999E-2</v>
      </c>
      <c r="F86" s="126">
        <v>1.7299999999999999E-2</v>
      </c>
      <c r="G86" s="126">
        <v>0</v>
      </c>
      <c r="H86" s="126">
        <v>0</v>
      </c>
      <c r="I86" s="125">
        <v>1.68</v>
      </c>
      <c r="J86" s="126">
        <v>3.3500000000000002E-2</v>
      </c>
      <c r="K86" s="126">
        <v>8.879999999999999E-3</v>
      </c>
      <c r="L86" s="126">
        <v>7.0779999999999996E-2</v>
      </c>
      <c r="M86" s="126">
        <v>0</v>
      </c>
      <c r="N86" s="125">
        <v>1.68</v>
      </c>
      <c r="O86" s="126">
        <v>4.394E-2</v>
      </c>
      <c r="P86" s="126">
        <v>1.932E-2</v>
      </c>
      <c r="Q86" s="126">
        <v>0</v>
      </c>
      <c r="R86" s="126">
        <v>5.0099999999999999E-2</v>
      </c>
      <c r="S86" s="125">
        <v>1.68</v>
      </c>
      <c r="T86" s="126">
        <v>2.1860000000000001E-2</v>
      </c>
      <c r="U86" s="126">
        <v>4.8600000000000006E-3</v>
      </c>
      <c r="V86" s="126">
        <v>4.8280000000000003E-2</v>
      </c>
      <c r="W86" s="126">
        <v>0</v>
      </c>
      <c r="X86" s="125">
        <v>1.68</v>
      </c>
      <c r="Y86" s="126">
        <v>3.7319999999999999E-2</v>
      </c>
      <c r="Z86" s="126">
        <v>1.8880000000000001E-2</v>
      </c>
      <c r="AA86" s="126">
        <v>0</v>
      </c>
      <c r="AB86" s="126">
        <v>5.4060000000000004E-2</v>
      </c>
      <c r="AC86" s="125">
        <v>1.68</v>
      </c>
      <c r="AD86" s="126">
        <v>3.1719999999999998E-2</v>
      </c>
      <c r="AE86" s="126">
        <v>1.1220000000000001E-2</v>
      </c>
      <c r="AF86" s="126">
        <v>6.613999999999999E-2</v>
      </c>
      <c r="AG86" s="126">
        <v>2.3480000000000001E-2</v>
      </c>
      <c r="AH86" s="125">
        <v>1.68</v>
      </c>
      <c r="AI86" s="126">
        <v>2.1160000000000002E-2</v>
      </c>
      <c r="AJ86" s="126">
        <v>6.4000000000000003E-3</v>
      </c>
      <c r="AK86" s="126">
        <v>4.6640000000000001E-2</v>
      </c>
      <c r="AL86" s="126">
        <v>1.244E-2</v>
      </c>
      <c r="AM86" s="125">
        <v>1.68</v>
      </c>
      <c r="AN86" s="126">
        <v>2.9000000000000001E-2</v>
      </c>
      <c r="AO86" s="126">
        <v>1.188E-2</v>
      </c>
      <c r="AP86" s="126">
        <v>5.9520000000000003E-2</v>
      </c>
      <c r="AQ86" s="126">
        <v>2.8160000000000001E-2</v>
      </c>
      <c r="AR86" s="125">
        <v>1.68</v>
      </c>
      <c r="AS86" s="126">
        <v>2.0080000000000001E-2</v>
      </c>
      <c r="AT86" s="126">
        <v>7.1000000000000004E-3</v>
      </c>
      <c r="AU86" s="126">
        <v>4.4119999999999999E-2</v>
      </c>
      <c r="AV86" s="126">
        <v>1.5679999999999999E-2</v>
      </c>
      <c r="AW86" s="125"/>
      <c r="AX86" s="126"/>
      <c r="AY86" s="126"/>
      <c r="AZ86" s="126"/>
      <c r="BA86" s="126"/>
      <c r="BB86" s="125"/>
      <c r="BC86" s="126"/>
      <c r="BD86" s="126"/>
      <c r="BE86" s="126"/>
      <c r="BF86" s="126"/>
    </row>
    <row r="87" spans="4:58" ht="15.5">
      <c r="D87" s="125">
        <v>1.69</v>
      </c>
      <c r="E87" s="126">
        <v>4.8760000000000005E-2</v>
      </c>
      <c r="F87" s="126">
        <v>1.7099999999999997E-2</v>
      </c>
      <c r="G87" s="126">
        <v>0</v>
      </c>
      <c r="H87" s="126">
        <v>0</v>
      </c>
      <c r="I87" s="125">
        <v>1.69</v>
      </c>
      <c r="J87" s="126">
        <v>3.3399999999999999E-2</v>
      </c>
      <c r="K87" s="126">
        <v>8.7399999999999995E-3</v>
      </c>
      <c r="L87" s="126">
        <v>7.0440000000000003E-2</v>
      </c>
      <c r="M87" s="126">
        <v>0</v>
      </c>
      <c r="N87" s="125">
        <v>1.69</v>
      </c>
      <c r="O87" s="126">
        <v>4.4020000000000004E-2</v>
      </c>
      <c r="P87" s="126">
        <v>1.916E-2</v>
      </c>
      <c r="Q87" s="126">
        <v>0</v>
      </c>
      <c r="R87" s="126">
        <v>4.9500000000000002E-2</v>
      </c>
      <c r="S87" s="125">
        <v>1.69</v>
      </c>
      <c r="T87" s="126">
        <v>2.1780000000000001E-2</v>
      </c>
      <c r="U87" s="126">
        <v>4.7800000000000004E-3</v>
      </c>
      <c r="V87" s="126">
        <v>4.7940000000000003E-2</v>
      </c>
      <c r="W87" s="126">
        <v>0</v>
      </c>
      <c r="X87" s="125">
        <v>1.69</v>
      </c>
      <c r="Y87" s="126">
        <v>3.746E-2</v>
      </c>
      <c r="Z87" s="126">
        <v>1.874E-2</v>
      </c>
      <c r="AA87" s="126">
        <v>0</v>
      </c>
      <c r="AB87" s="126">
        <v>5.3580000000000003E-2</v>
      </c>
      <c r="AC87" s="125">
        <v>1.69</v>
      </c>
      <c r="AD87" s="126">
        <v>3.1660000000000001E-2</v>
      </c>
      <c r="AE87" s="126">
        <v>1.106E-2</v>
      </c>
      <c r="AF87" s="126">
        <v>6.5919999999999992E-2</v>
      </c>
      <c r="AG87" s="126">
        <v>2.3140000000000001E-2</v>
      </c>
      <c r="AH87" s="125">
        <v>1.69</v>
      </c>
      <c r="AI87" s="126">
        <v>2.1080000000000002E-2</v>
      </c>
      <c r="AJ87" s="126">
        <v>6.3E-3</v>
      </c>
      <c r="AK87" s="126">
        <v>4.6419999999999996E-2</v>
      </c>
      <c r="AL87" s="126">
        <v>1.222E-2</v>
      </c>
      <c r="AM87" s="125">
        <v>1.69</v>
      </c>
      <c r="AN87" s="126">
        <v>2.9000000000000001E-2</v>
      </c>
      <c r="AO87" s="126">
        <v>1.1739999999999999E-2</v>
      </c>
      <c r="AP87" s="126">
        <v>5.9459999999999999E-2</v>
      </c>
      <c r="AQ87" s="126">
        <v>2.7779999999999999E-2</v>
      </c>
      <c r="AR87" s="125">
        <v>1.69</v>
      </c>
      <c r="AS87" s="126">
        <v>2.0039999999999999E-2</v>
      </c>
      <c r="AT87" s="126">
        <v>7.0000000000000001E-3</v>
      </c>
      <c r="AU87" s="126">
        <v>4.3959999999999999E-2</v>
      </c>
      <c r="AV87" s="126">
        <v>1.5440000000000001E-2</v>
      </c>
      <c r="AW87" s="125"/>
      <c r="AX87" s="126"/>
      <c r="AY87" s="126"/>
      <c r="AZ87" s="126"/>
      <c r="BA87" s="126"/>
      <c r="BB87" s="125"/>
      <c r="BC87" s="126"/>
      <c r="BD87" s="126"/>
      <c r="BE87" s="126"/>
      <c r="BF87" s="126"/>
    </row>
    <row r="88" spans="4:58" ht="15.5">
      <c r="D88" s="123">
        <v>1.7</v>
      </c>
      <c r="E88" s="124">
        <v>4.8800000000000003E-2</v>
      </c>
      <c r="F88" s="124">
        <v>1.6899999999999998E-2</v>
      </c>
      <c r="G88" s="126">
        <v>0</v>
      </c>
      <c r="H88" s="126">
        <v>0</v>
      </c>
      <c r="I88" s="123">
        <v>1.7</v>
      </c>
      <c r="J88" s="124">
        <v>3.3300000000000003E-2</v>
      </c>
      <c r="K88" s="124">
        <v>8.6E-3</v>
      </c>
      <c r="L88" s="124">
        <v>7.0099999999999996E-2</v>
      </c>
      <c r="M88" s="126">
        <v>0</v>
      </c>
      <c r="N88" s="123">
        <v>1.7</v>
      </c>
      <c r="O88" s="124">
        <v>4.41E-2</v>
      </c>
      <c r="P88" s="124">
        <v>1.9E-2</v>
      </c>
      <c r="Q88" s="126">
        <v>0</v>
      </c>
      <c r="R88" s="124">
        <v>4.8899999999999999E-2</v>
      </c>
      <c r="S88" s="123">
        <v>1.7</v>
      </c>
      <c r="T88" s="124">
        <v>2.1700000000000001E-2</v>
      </c>
      <c r="U88" s="124">
        <v>4.7000000000000002E-3</v>
      </c>
      <c r="V88" s="124">
        <v>4.7600000000000003E-2</v>
      </c>
      <c r="W88" s="126">
        <v>0</v>
      </c>
      <c r="X88" s="123">
        <v>1.7</v>
      </c>
      <c r="Y88" s="124">
        <v>3.7600000000000001E-2</v>
      </c>
      <c r="Z88" s="124">
        <v>1.8599999999999998E-2</v>
      </c>
      <c r="AA88" s="126">
        <v>0</v>
      </c>
      <c r="AB88" s="124">
        <v>5.3100000000000001E-2</v>
      </c>
      <c r="AC88" s="123">
        <v>1.7</v>
      </c>
      <c r="AD88" s="124">
        <v>3.1600000000000003E-2</v>
      </c>
      <c r="AE88" s="124">
        <v>1.09E-2</v>
      </c>
      <c r="AF88" s="124">
        <v>6.5699999999999995E-2</v>
      </c>
      <c r="AG88" s="124">
        <v>2.2800000000000001E-2</v>
      </c>
      <c r="AH88" s="123">
        <v>1.7</v>
      </c>
      <c r="AI88" s="124">
        <v>2.1000000000000001E-2</v>
      </c>
      <c r="AJ88" s="124">
        <v>6.1999999999999998E-3</v>
      </c>
      <c r="AK88" s="124">
        <v>4.6199999999999998E-2</v>
      </c>
      <c r="AL88" s="124">
        <v>1.2E-2</v>
      </c>
      <c r="AM88" s="123">
        <v>1.7</v>
      </c>
      <c r="AN88" s="124">
        <v>2.9000000000000001E-2</v>
      </c>
      <c r="AO88" s="124">
        <v>1.1599999999999999E-2</v>
      </c>
      <c r="AP88" s="124">
        <v>5.9400000000000001E-2</v>
      </c>
      <c r="AQ88" s="124">
        <v>2.7400000000000001E-2</v>
      </c>
      <c r="AR88" s="123">
        <v>1.7</v>
      </c>
      <c r="AS88" s="124">
        <v>0.02</v>
      </c>
      <c r="AT88" s="124">
        <v>6.8999999999999999E-3</v>
      </c>
      <c r="AU88" s="124">
        <v>4.3799999999999999E-2</v>
      </c>
      <c r="AV88" s="124">
        <v>1.52E-2</v>
      </c>
      <c r="AW88" s="123"/>
      <c r="AX88" s="124"/>
      <c r="AY88" s="124"/>
      <c r="AZ88" s="124"/>
      <c r="BA88" s="124"/>
      <c r="BB88" s="123"/>
      <c r="BC88" s="124"/>
      <c r="BD88" s="124"/>
      <c r="BE88" s="124"/>
      <c r="BF88" s="124"/>
    </row>
    <row r="89" spans="4:58" ht="15.5">
      <c r="D89" s="125">
        <v>1.71</v>
      </c>
      <c r="E89" s="126">
        <v>4.8760000000000005E-2</v>
      </c>
      <c r="F89" s="126">
        <v>1.668E-2</v>
      </c>
      <c r="G89" s="126">
        <v>0</v>
      </c>
      <c r="H89" s="126">
        <v>0</v>
      </c>
      <c r="I89" s="125">
        <v>1.71</v>
      </c>
      <c r="J89" s="126">
        <v>3.322E-2</v>
      </c>
      <c r="K89" s="126">
        <v>8.4799999999999997E-3</v>
      </c>
      <c r="L89" s="126">
        <v>6.9779999999999995E-2</v>
      </c>
      <c r="M89" s="126">
        <v>0</v>
      </c>
      <c r="N89" s="125">
        <v>1.71</v>
      </c>
      <c r="O89" s="126">
        <v>4.4139999999999999E-2</v>
      </c>
      <c r="P89" s="126">
        <v>1.882E-2</v>
      </c>
      <c r="Q89" s="126">
        <v>0</v>
      </c>
      <c r="R89" s="126">
        <v>4.8320000000000002E-2</v>
      </c>
      <c r="S89" s="125">
        <v>1.71</v>
      </c>
      <c r="T89" s="126">
        <v>2.1600000000000001E-2</v>
      </c>
      <c r="U89" s="126">
        <v>4.62E-3</v>
      </c>
      <c r="V89" s="126">
        <v>4.7400000000000005E-2</v>
      </c>
      <c r="W89" s="126">
        <v>0</v>
      </c>
      <c r="X89" s="125">
        <v>1.71</v>
      </c>
      <c r="Y89" s="126">
        <v>3.7740000000000003E-2</v>
      </c>
      <c r="Z89" s="126">
        <v>1.8459999999999997E-2</v>
      </c>
      <c r="AA89" s="126">
        <v>0</v>
      </c>
      <c r="AB89" s="126">
        <v>5.262E-2</v>
      </c>
      <c r="AC89" s="125">
        <v>1.71</v>
      </c>
      <c r="AD89" s="126">
        <v>3.1540000000000006E-2</v>
      </c>
      <c r="AE89" s="126">
        <v>1.0659999999999999E-2</v>
      </c>
      <c r="AF89" s="126">
        <v>6.545999999999999E-2</v>
      </c>
      <c r="AG89" s="126">
        <v>2.2460000000000001E-2</v>
      </c>
      <c r="AH89" s="125">
        <v>1.71</v>
      </c>
      <c r="AI89" s="126">
        <v>2.0920000000000001E-2</v>
      </c>
      <c r="AJ89" s="126">
        <v>6.1199999999999996E-3</v>
      </c>
      <c r="AK89" s="126">
        <v>4.5999999999999999E-2</v>
      </c>
      <c r="AL89" s="126">
        <v>1.184E-2</v>
      </c>
      <c r="AM89" s="125">
        <v>1.71</v>
      </c>
      <c r="AN89" s="126">
        <v>2.9000000000000001E-2</v>
      </c>
      <c r="AO89" s="126">
        <v>1.146E-2</v>
      </c>
      <c r="AP89" s="126">
        <v>5.9299999999999999E-2</v>
      </c>
      <c r="AQ89" s="126">
        <v>2.7040000000000002E-2</v>
      </c>
      <c r="AR89" s="125">
        <v>1.71</v>
      </c>
      <c r="AS89" s="126">
        <v>1.9939999999999999E-2</v>
      </c>
      <c r="AT89" s="126">
        <v>6.7999999999999996E-3</v>
      </c>
      <c r="AU89" s="126">
        <v>4.3659999999999997E-2</v>
      </c>
      <c r="AV89" s="126">
        <v>1.498E-2</v>
      </c>
      <c r="AW89" s="125"/>
      <c r="AX89" s="126"/>
      <c r="AY89" s="126"/>
      <c r="AZ89" s="126"/>
      <c r="BA89" s="126"/>
      <c r="BB89" s="125"/>
      <c r="BC89" s="126"/>
      <c r="BD89" s="126"/>
      <c r="BE89" s="126"/>
      <c r="BF89" s="126"/>
    </row>
    <row r="90" spans="4:58" ht="15.5">
      <c r="D90" s="125">
        <v>1.72</v>
      </c>
      <c r="E90" s="126">
        <v>4.8719999999999999E-2</v>
      </c>
      <c r="F90" s="126">
        <v>1.6459999999999999E-2</v>
      </c>
      <c r="G90" s="126">
        <v>0</v>
      </c>
      <c r="H90" s="126">
        <v>0</v>
      </c>
      <c r="I90" s="125">
        <v>1.72</v>
      </c>
      <c r="J90" s="126">
        <v>3.3140000000000003E-2</v>
      </c>
      <c r="K90" s="126">
        <v>8.3599999999999994E-3</v>
      </c>
      <c r="L90" s="126">
        <v>6.9459999999999994E-2</v>
      </c>
      <c r="M90" s="126">
        <v>0</v>
      </c>
      <c r="N90" s="125">
        <v>1.72</v>
      </c>
      <c r="O90" s="126">
        <v>4.4179999999999997E-2</v>
      </c>
      <c r="P90" s="126">
        <v>1.864E-2</v>
      </c>
      <c r="Q90" s="126">
        <v>0</v>
      </c>
      <c r="R90" s="126">
        <v>4.7739999999999998E-2</v>
      </c>
      <c r="S90" s="125">
        <v>1.72</v>
      </c>
      <c r="T90" s="126">
        <v>2.1500000000000002E-2</v>
      </c>
      <c r="U90" s="126">
        <v>4.5399999999999998E-3</v>
      </c>
      <c r="V90" s="126">
        <v>4.7200000000000006E-2</v>
      </c>
      <c r="W90" s="126">
        <v>0</v>
      </c>
      <c r="X90" s="125">
        <v>1.72</v>
      </c>
      <c r="Y90" s="126">
        <v>3.7880000000000004E-2</v>
      </c>
      <c r="Z90" s="126">
        <v>1.8319999999999999E-2</v>
      </c>
      <c r="AA90" s="126">
        <v>0</v>
      </c>
      <c r="AB90" s="126">
        <v>5.2139999999999999E-2</v>
      </c>
      <c r="AC90" s="125">
        <v>1.72</v>
      </c>
      <c r="AD90" s="126">
        <v>3.1480000000000001E-2</v>
      </c>
      <c r="AE90" s="126">
        <v>1.042E-2</v>
      </c>
      <c r="AF90" s="126">
        <v>6.522E-2</v>
      </c>
      <c r="AG90" s="126">
        <v>2.2120000000000001E-2</v>
      </c>
      <c r="AH90" s="125">
        <v>1.72</v>
      </c>
      <c r="AI90" s="126">
        <v>2.0840000000000001E-2</v>
      </c>
      <c r="AJ90" s="126">
        <v>6.0399999999999994E-3</v>
      </c>
      <c r="AK90" s="126">
        <v>4.58E-2</v>
      </c>
      <c r="AL90" s="126">
        <v>1.1679999999999999E-2</v>
      </c>
      <c r="AM90" s="125">
        <v>1.72</v>
      </c>
      <c r="AN90" s="126">
        <v>2.9000000000000001E-2</v>
      </c>
      <c r="AO90" s="126">
        <v>1.132E-2</v>
      </c>
      <c r="AP90" s="126">
        <v>5.9200000000000003E-2</v>
      </c>
      <c r="AQ90" s="126">
        <v>2.6680000000000002E-2</v>
      </c>
      <c r="AR90" s="125">
        <v>1.72</v>
      </c>
      <c r="AS90" s="126">
        <v>1.9879999999999998E-2</v>
      </c>
      <c r="AT90" s="126">
        <v>6.7000000000000002E-3</v>
      </c>
      <c r="AU90" s="126">
        <v>4.3519999999999996E-2</v>
      </c>
      <c r="AV90" s="126">
        <v>1.4760000000000001E-2</v>
      </c>
      <c r="AW90" s="125"/>
      <c r="AX90" s="126"/>
      <c r="AY90" s="126"/>
      <c r="AZ90" s="126"/>
      <c r="BA90" s="126"/>
      <c r="BB90" s="125"/>
      <c r="BC90" s="126"/>
      <c r="BD90" s="126"/>
      <c r="BE90" s="126"/>
      <c r="BF90" s="126"/>
    </row>
    <row r="91" spans="4:58" ht="15.5">
      <c r="D91" s="125">
        <v>1.73</v>
      </c>
      <c r="E91" s="126">
        <v>4.8680000000000001E-2</v>
      </c>
      <c r="F91" s="126">
        <v>1.6240000000000001E-2</v>
      </c>
      <c r="G91" s="126">
        <v>0</v>
      </c>
      <c r="H91" s="126">
        <v>0</v>
      </c>
      <c r="I91" s="125">
        <v>1.73</v>
      </c>
      <c r="J91" s="126">
        <v>3.3059999999999999E-2</v>
      </c>
      <c r="K91" s="126">
        <v>8.2400000000000008E-3</v>
      </c>
      <c r="L91" s="126">
        <v>6.9140000000000007E-2</v>
      </c>
      <c r="M91" s="126">
        <v>0</v>
      </c>
      <c r="N91" s="125">
        <v>1.73</v>
      </c>
      <c r="O91" s="126">
        <v>4.4220000000000002E-2</v>
      </c>
      <c r="P91" s="126">
        <v>1.8460000000000001E-2</v>
      </c>
      <c r="Q91" s="126">
        <v>0</v>
      </c>
      <c r="R91" s="126">
        <v>4.7160000000000001E-2</v>
      </c>
      <c r="S91" s="125">
        <v>1.73</v>
      </c>
      <c r="T91" s="126">
        <v>2.1399999999999999E-2</v>
      </c>
      <c r="U91" s="126">
        <v>4.4600000000000004E-3</v>
      </c>
      <c r="V91" s="126">
        <v>4.7E-2</v>
      </c>
      <c r="W91" s="126">
        <v>0</v>
      </c>
      <c r="X91" s="125">
        <v>1.73</v>
      </c>
      <c r="Y91" s="126">
        <v>3.8019999999999998E-2</v>
      </c>
      <c r="Z91" s="126">
        <v>1.8179999999999998E-2</v>
      </c>
      <c r="AA91" s="126">
        <v>0</v>
      </c>
      <c r="AB91" s="126">
        <v>5.1660000000000005E-2</v>
      </c>
      <c r="AC91" s="125">
        <v>1.73</v>
      </c>
      <c r="AD91" s="126">
        <v>3.1420000000000003E-2</v>
      </c>
      <c r="AE91" s="126">
        <v>1.018E-2</v>
      </c>
      <c r="AF91" s="126">
        <v>6.4979999999999996E-2</v>
      </c>
      <c r="AG91" s="126">
        <v>2.1780000000000001E-2</v>
      </c>
      <c r="AH91" s="125">
        <v>1.73</v>
      </c>
      <c r="AI91" s="126">
        <v>2.0760000000000001E-2</v>
      </c>
      <c r="AJ91" s="126">
        <v>5.96E-3</v>
      </c>
      <c r="AK91" s="126">
        <v>4.5599999999999995E-2</v>
      </c>
      <c r="AL91" s="126">
        <v>1.1520000000000001E-2</v>
      </c>
      <c r="AM91" s="125">
        <v>1.73</v>
      </c>
      <c r="AN91" s="126">
        <v>2.9000000000000001E-2</v>
      </c>
      <c r="AO91" s="126">
        <v>1.1179999999999999E-2</v>
      </c>
      <c r="AP91" s="126">
        <v>5.91E-2</v>
      </c>
      <c r="AQ91" s="126">
        <v>2.632E-2</v>
      </c>
      <c r="AR91" s="125">
        <v>1.73</v>
      </c>
      <c r="AS91" s="126">
        <v>1.9820000000000001E-2</v>
      </c>
      <c r="AT91" s="126">
        <v>6.6E-3</v>
      </c>
      <c r="AU91" s="126">
        <v>4.3380000000000002E-2</v>
      </c>
      <c r="AV91" s="126">
        <v>1.4539999999999999E-2</v>
      </c>
      <c r="AW91" s="125"/>
      <c r="AX91" s="126"/>
      <c r="AY91" s="126"/>
      <c r="AZ91" s="126"/>
      <c r="BA91" s="126"/>
      <c r="BB91" s="125"/>
      <c r="BC91" s="126"/>
      <c r="BD91" s="126"/>
      <c r="BE91" s="126"/>
      <c r="BF91" s="126"/>
    </row>
    <row r="92" spans="4:58" ht="15.5">
      <c r="D92" s="125">
        <v>1.74</v>
      </c>
      <c r="E92" s="126">
        <v>4.8639999999999996E-2</v>
      </c>
      <c r="F92" s="126">
        <v>1.602E-2</v>
      </c>
      <c r="G92" s="126">
        <v>0</v>
      </c>
      <c r="H92" s="126">
        <v>0</v>
      </c>
      <c r="I92" s="125">
        <v>1.74</v>
      </c>
      <c r="J92" s="126">
        <v>3.2980000000000002E-2</v>
      </c>
      <c r="K92" s="126">
        <v>8.1200000000000005E-3</v>
      </c>
      <c r="L92" s="126">
        <v>6.8820000000000006E-2</v>
      </c>
      <c r="M92" s="126">
        <v>0</v>
      </c>
      <c r="N92" s="125">
        <v>1.74</v>
      </c>
      <c r="O92" s="126">
        <v>4.4260000000000001E-2</v>
      </c>
      <c r="P92" s="126">
        <v>1.8280000000000001E-2</v>
      </c>
      <c r="Q92" s="126">
        <v>0</v>
      </c>
      <c r="R92" s="126">
        <v>4.6579999999999996E-2</v>
      </c>
      <c r="S92" s="125">
        <v>1.74</v>
      </c>
      <c r="T92" s="126">
        <v>2.1299999999999999E-2</v>
      </c>
      <c r="U92" s="126">
        <v>4.3800000000000002E-3</v>
      </c>
      <c r="V92" s="126">
        <v>4.6800000000000001E-2</v>
      </c>
      <c r="W92" s="126">
        <v>0</v>
      </c>
      <c r="X92" s="125">
        <v>1.74</v>
      </c>
      <c r="Y92" s="126">
        <v>3.8159999999999999E-2</v>
      </c>
      <c r="Z92" s="126">
        <v>1.804E-2</v>
      </c>
      <c r="AA92" s="126">
        <v>0</v>
      </c>
      <c r="AB92" s="126">
        <v>5.1180000000000003E-2</v>
      </c>
      <c r="AC92" s="125">
        <v>1.74</v>
      </c>
      <c r="AD92" s="126">
        <v>3.1359999999999999E-2</v>
      </c>
      <c r="AE92" s="126">
        <v>9.9400000000000009E-3</v>
      </c>
      <c r="AF92" s="126">
        <v>6.4740000000000006E-2</v>
      </c>
      <c r="AG92" s="126">
        <v>2.1440000000000001E-2</v>
      </c>
      <c r="AH92" s="125">
        <v>1.74</v>
      </c>
      <c r="AI92" s="126">
        <v>2.068E-2</v>
      </c>
      <c r="AJ92" s="126">
        <v>5.8799999999999998E-3</v>
      </c>
      <c r="AK92" s="126">
        <v>4.5399999999999996E-2</v>
      </c>
      <c r="AL92" s="126">
        <v>1.136E-2</v>
      </c>
      <c r="AM92" s="125">
        <v>1.74</v>
      </c>
      <c r="AN92" s="126">
        <v>2.9000000000000001E-2</v>
      </c>
      <c r="AO92" s="126">
        <v>1.1039999999999999E-2</v>
      </c>
      <c r="AP92" s="126">
        <v>5.9000000000000004E-2</v>
      </c>
      <c r="AQ92" s="126">
        <v>2.596E-2</v>
      </c>
      <c r="AR92" s="125">
        <v>1.74</v>
      </c>
      <c r="AS92" s="126">
        <v>1.976E-2</v>
      </c>
      <c r="AT92" s="126">
        <v>6.5000000000000006E-3</v>
      </c>
      <c r="AU92" s="126">
        <v>4.3240000000000001E-2</v>
      </c>
      <c r="AV92" s="126">
        <v>1.4319999999999999E-2</v>
      </c>
      <c r="AW92" s="125"/>
      <c r="AX92" s="126"/>
      <c r="AY92" s="126"/>
      <c r="AZ92" s="126"/>
      <c r="BA92" s="126"/>
      <c r="BB92" s="125"/>
      <c r="BC92" s="126"/>
      <c r="BD92" s="126"/>
      <c r="BE92" s="126"/>
      <c r="BF92" s="126"/>
    </row>
    <row r="93" spans="4:58" ht="15.5">
      <c r="D93" s="123">
        <v>1.75</v>
      </c>
      <c r="E93" s="124">
        <v>4.8599999999999997E-2</v>
      </c>
      <c r="F93" s="124">
        <v>1.5800000000000002E-2</v>
      </c>
      <c r="G93" s="126">
        <v>0</v>
      </c>
      <c r="H93" s="126">
        <v>0</v>
      </c>
      <c r="I93" s="123">
        <v>1.75</v>
      </c>
      <c r="J93" s="124">
        <v>3.2899999999999999E-2</v>
      </c>
      <c r="K93" s="124">
        <v>8.0000000000000002E-3</v>
      </c>
      <c r="L93" s="124">
        <v>6.8500000000000005E-2</v>
      </c>
      <c r="M93" s="126">
        <v>0</v>
      </c>
      <c r="N93" s="123">
        <v>1.75</v>
      </c>
      <c r="O93" s="124">
        <v>4.4299999999999999E-2</v>
      </c>
      <c r="P93" s="124">
        <v>1.8100000000000002E-2</v>
      </c>
      <c r="Q93" s="126">
        <v>0</v>
      </c>
      <c r="R93" s="124">
        <v>4.5999999999999999E-2</v>
      </c>
      <c r="S93" s="123">
        <v>1.75</v>
      </c>
      <c r="T93" s="124">
        <v>2.12E-2</v>
      </c>
      <c r="U93" s="124">
        <v>4.3E-3</v>
      </c>
      <c r="V93" s="124">
        <v>4.6600000000000003E-2</v>
      </c>
      <c r="W93" s="126">
        <v>0</v>
      </c>
      <c r="X93" s="123">
        <v>1.75</v>
      </c>
      <c r="Y93" s="124">
        <v>3.8300000000000001E-2</v>
      </c>
      <c r="Z93" s="124">
        <v>1.7899999999999999E-2</v>
      </c>
      <c r="AA93" s="126">
        <v>0</v>
      </c>
      <c r="AB93" s="124">
        <v>5.0700000000000002E-2</v>
      </c>
      <c r="AC93" s="123">
        <v>1.75</v>
      </c>
      <c r="AD93" s="124">
        <v>3.1300000000000001E-2</v>
      </c>
      <c r="AE93" s="124">
        <v>9.7000000000000003E-3</v>
      </c>
      <c r="AF93" s="124">
        <v>6.4500000000000002E-2</v>
      </c>
      <c r="AG93" s="124">
        <v>2.1100000000000001E-2</v>
      </c>
      <c r="AH93" s="123">
        <v>1.75</v>
      </c>
      <c r="AI93" s="124">
        <v>2.06E-2</v>
      </c>
      <c r="AJ93" s="124">
        <v>5.7999999999999996E-3</v>
      </c>
      <c r="AK93" s="124">
        <v>4.5199999999999997E-2</v>
      </c>
      <c r="AL93" s="124">
        <v>1.12E-2</v>
      </c>
      <c r="AM93" s="123">
        <v>1.75</v>
      </c>
      <c r="AN93" s="124">
        <v>2.9000000000000001E-2</v>
      </c>
      <c r="AO93" s="124">
        <v>1.09E-2</v>
      </c>
      <c r="AP93" s="124">
        <v>5.8900000000000001E-2</v>
      </c>
      <c r="AQ93" s="124">
        <v>2.5600000000000001E-2</v>
      </c>
      <c r="AR93" s="123">
        <v>1.75</v>
      </c>
      <c r="AS93" s="124">
        <v>1.9699999999999999E-2</v>
      </c>
      <c r="AT93" s="124">
        <v>6.4000000000000003E-3</v>
      </c>
      <c r="AU93" s="124">
        <v>4.3099999999999999E-2</v>
      </c>
      <c r="AV93" s="124">
        <v>1.41E-2</v>
      </c>
      <c r="AW93" s="123"/>
      <c r="AX93" s="124"/>
      <c r="AY93" s="124"/>
      <c r="AZ93" s="124"/>
      <c r="BA93" s="124"/>
      <c r="BB93" s="123"/>
      <c r="BC93" s="124"/>
      <c r="BD93" s="124"/>
      <c r="BE93" s="124"/>
      <c r="BF93" s="124"/>
    </row>
    <row r="94" spans="4:58" ht="15.5">
      <c r="D94" s="125">
        <v>1.76</v>
      </c>
      <c r="E94" s="126">
        <v>4.8579999999999998E-2</v>
      </c>
      <c r="F94" s="126">
        <v>1.5600000000000001E-2</v>
      </c>
      <c r="G94" s="126">
        <v>0</v>
      </c>
      <c r="H94" s="126">
        <v>0</v>
      </c>
      <c r="I94" s="125">
        <v>1.76</v>
      </c>
      <c r="J94" s="126">
        <v>3.2840000000000001E-2</v>
      </c>
      <c r="K94" s="126">
        <v>7.9000000000000008E-3</v>
      </c>
      <c r="L94" s="126">
        <v>6.8159999999999998E-2</v>
      </c>
      <c r="M94" s="126">
        <v>0</v>
      </c>
      <c r="N94" s="125">
        <v>1.76</v>
      </c>
      <c r="O94" s="126">
        <v>4.4319999999999998E-2</v>
      </c>
      <c r="P94" s="126">
        <v>1.7920000000000002E-2</v>
      </c>
      <c r="Q94" s="126">
        <v>0</v>
      </c>
      <c r="R94" s="126">
        <v>4.5440000000000001E-2</v>
      </c>
      <c r="S94" s="125">
        <v>1.76</v>
      </c>
      <c r="T94" s="126">
        <v>2.112E-2</v>
      </c>
      <c r="U94" s="126">
        <v>4.2399999999999998E-3</v>
      </c>
      <c r="V94" s="126">
        <v>4.6360000000000005E-2</v>
      </c>
      <c r="W94" s="126">
        <v>0</v>
      </c>
      <c r="X94" s="125">
        <v>1.76</v>
      </c>
      <c r="Y94" s="126">
        <v>3.8400000000000004E-2</v>
      </c>
      <c r="Z94" s="126">
        <v>1.7759999999999998E-2</v>
      </c>
      <c r="AA94" s="126">
        <v>0</v>
      </c>
      <c r="AB94" s="126">
        <v>5.024E-2</v>
      </c>
      <c r="AC94" s="125">
        <v>1.76</v>
      </c>
      <c r="AD94" s="126">
        <v>3.1200000000000002E-2</v>
      </c>
      <c r="AE94" s="126">
        <v>9.6799999999999994E-3</v>
      </c>
      <c r="AF94" s="126">
        <v>6.4299999999999996E-2</v>
      </c>
      <c r="AG94" s="126">
        <v>2.0799999999999999E-2</v>
      </c>
      <c r="AH94" s="125">
        <v>1.76</v>
      </c>
      <c r="AI94" s="126">
        <v>2.0539999999999999E-2</v>
      </c>
      <c r="AJ94" s="126">
        <v>5.7199999999999994E-3</v>
      </c>
      <c r="AK94" s="126">
        <v>4.4999999999999998E-2</v>
      </c>
      <c r="AL94" s="126">
        <v>1.0999999999999999E-2</v>
      </c>
      <c r="AM94" s="125">
        <v>1.76</v>
      </c>
      <c r="AN94" s="126">
        <v>2.896E-2</v>
      </c>
      <c r="AO94" s="126">
        <v>1.078E-2</v>
      </c>
      <c r="AP94" s="126">
        <v>5.8779999999999999E-2</v>
      </c>
      <c r="AQ94" s="126">
        <v>2.528E-2</v>
      </c>
      <c r="AR94" s="125">
        <v>1.76</v>
      </c>
      <c r="AS94" s="126">
        <v>1.966E-2</v>
      </c>
      <c r="AT94" s="126">
        <v>6.3200000000000001E-3</v>
      </c>
      <c r="AU94" s="126">
        <v>4.2939999999999999E-2</v>
      </c>
      <c r="AV94" s="126">
        <v>1.3899999999999999E-2</v>
      </c>
      <c r="AW94" s="125"/>
      <c r="AX94" s="126"/>
      <c r="AY94" s="126"/>
      <c r="AZ94" s="126"/>
      <c r="BA94" s="126"/>
      <c r="BB94" s="125"/>
      <c r="BC94" s="126"/>
      <c r="BD94" s="126"/>
      <c r="BE94" s="126"/>
      <c r="BF94" s="126"/>
    </row>
    <row r="95" spans="4:58" ht="15.5">
      <c r="D95" s="125">
        <v>1.77</v>
      </c>
      <c r="E95" s="126">
        <v>4.8559999999999999E-2</v>
      </c>
      <c r="F95" s="126">
        <v>1.54E-2</v>
      </c>
      <c r="G95" s="126">
        <v>0</v>
      </c>
      <c r="H95" s="126">
        <v>0</v>
      </c>
      <c r="I95" s="125">
        <v>1.77</v>
      </c>
      <c r="J95" s="126">
        <v>3.2779999999999997E-2</v>
      </c>
      <c r="K95" s="126">
        <v>7.7999999999999996E-3</v>
      </c>
      <c r="L95" s="126">
        <v>6.7820000000000005E-2</v>
      </c>
      <c r="M95" s="126">
        <v>0</v>
      </c>
      <c r="N95" s="125">
        <v>1.77</v>
      </c>
      <c r="O95" s="126">
        <v>4.4339999999999997E-2</v>
      </c>
      <c r="P95" s="126">
        <v>1.7740000000000002E-2</v>
      </c>
      <c r="Q95" s="126">
        <v>0</v>
      </c>
      <c r="R95" s="126">
        <v>4.4880000000000003E-2</v>
      </c>
      <c r="S95" s="125">
        <v>1.77</v>
      </c>
      <c r="T95" s="126">
        <v>2.104E-2</v>
      </c>
      <c r="U95" s="126">
        <v>4.1799999999999997E-3</v>
      </c>
      <c r="V95" s="126">
        <v>4.6120000000000001E-2</v>
      </c>
      <c r="W95" s="126">
        <v>0</v>
      </c>
      <c r="X95" s="125">
        <v>1.77</v>
      </c>
      <c r="Y95" s="126">
        <v>3.85E-2</v>
      </c>
      <c r="Z95" s="126">
        <v>1.762E-2</v>
      </c>
      <c r="AA95" s="126">
        <v>0</v>
      </c>
      <c r="AB95" s="126">
        <v>4.9779999999999998E-2</v>
      </c>
      <c r="AC95" s="125">
        <v>1.77</v>
      </c>
      <c r="AD95" s="126">
        <v>3.1100000000000003E-2</v>
      </c>
      <c r="AE95" s="126">
        <v>9.6600000000000002E-3</v>
      </c>
      <c r="AF95" s="126">
        <v>6.4100000000000004E-2</v>
      </c>
      <c r="AG95" s="126">
        <v>2.0500000000000001E-2</v>
      </c>
      <c r="AH95" s="125">
        <v>1.77</v>
      </c>
      <c r="AI95" s="126">
        <v>2.0479999999999998E-2</v>
      </c>
      <c r="AJ95" s="126">
        <v>5.64E-3</v>
      </c>
      <c r="AK95" s="126">
        <v>4.48E-2</v>
      </c>
      <c r="AL95" s="126">
        <v>1.0800000000000001E-2</v>
      </c>
      <c r="AM95" s="125">
        <v>1.77</v>
      </c>
      <c r="AN95" s="126">
        <v>2.8920000000000001E-2</v>
      </c>
      <c r="AO95" s="126">
        <v>1.0659999999999999E-2</v>
      </c>
      <c r="AP95" s="126">
        <v>5.8659999999999997E-2</v>
      </c>
      <c r="AQ95" s="126">
        <v>2.496E-2</v>
      </c>
      <c r="AR95" s="125">
        <v>1.77</v>
      </c>
      <c r="AS95" s="126">
        <v>1.9619999999999999E-2</v>
      </c>
      <c r="AT95" s="126">
        <v>6.2399999999999999E-3</v>
      </c>
      <c r="AU95" s="126">
        <v>4.2779999999999999E-2</v>
      </c>
      <c r="AV95" s="126">
        <v>1.37E-2</v>
      </c>
      <c r="AW95" s="125"/>
      <c r="AX95" s="126"/>
      <c r="AY95" s="126"/>
      <c r="AZ95" s="126"/>
      <c r="BA95" s="126"/>
      <c r="BB95" s="125"/>
      <c r="BC95" s="126"/>
      <c r="BD95" s="126"/>
      <c r="BE95" s="126"/>
      <c r="BF95" s="126"/>
    </row>
    <row r="96" spans="4:58" ht="15.5">
      <c r="D96" s="125">
        <v>1.78</v>
      </c>
      <c r="E96" s="126">
        <v>4.854E-2</v>
      </c>
      <c r="F96" s="126">
        <v>1.5200000000000002E-2</v>
      </c>
      <c r="G96" s="126">
        <v>0</v>
      </c>
      <c r="H96" s="126">
        <v>0</v>
      </c>
      <c r="I96" s="125">
        <v>1.78</v>
      </c>
      <c r="J96" s="126">
        <v>3.2719999999999999E-2</v>
      </c>
      <c r="K96" s="126">
        <v>7.7000000000000002E-3</v>
      </c>
      <c r="L96" s="126">
        <v>6.7479999999999998E-2</v>
      </c>
      <c r="M96" s="126">
        <v>0</v>
      </c>
      <c r="N96" s="125">
        <v>1.78</v>
      </c>
      <c r="O96" s="126">
        <v>4.4360000000000004E-2</v>
      </c>
      <c r="P96" s="126">
        <v>1.7559999999999999E-2</v>
      </c>
      <c r="Q96" s="126">
        <v>0</v>
      </c>
      <c r="R96" s="126">
        <v>4.4319999999999998E-2</v>
      </c>
      <c r="S96" s="125">
        <v>1.78</v>
      </c>
      <c r="T96" s="126">
        <v>2.0959999999999999E-2</v>
      </c>
      <c r="U96" s="126">
        <v>4.1200000000000004E-3</v>
      </c>
      <c r="V96" s="126">
        <v>4.5880000000000004E-2</v>
      </c>
      <c r="W96" s="126">
        <v>0</v>
      </c>
      <c r="X96" s="125">
        <v>1.78</v>
      </c>
      <c r="Y96" s="126">
        <v>3.8600000000000002E-2</v>
      </c>
      <c r="Z96" s="126">
        <v>1.7479999999999999E-2</v>
      </c>
      <c r="AA96" s="126">
        <v>0</v>
      </c>
      <c r="AB96" s="126">
        <v>4.9320000000000003E-2</v>
      </c>
      <c r="AC96" s="125">
        <v>1.78</v>
      </c>
      <c r="AD96" s="126">
        <v>3.1E-2</v>
      </c>
      <c r="AE96" s="126">
        <v>9.6399999999999993E-3</v>
      </c>
      <c r="AF96" s="126">
        <v>6.3899999999999998E-2</v>
      </c>
      <c r="AG96" s="126">
        <v>2.0199999999999999E-2</v>
      </c>
      <c r="AH96" s="125">
        <v>1.78</v>
      </c>
      <c r="AI96" s="126">
        <v>2.0420000000000001E-2</v>
      </c>
      <c r="AJ96" s="126">
        <v>5.5599999999999998E-3</v>
      </c>
      <c r="AK96" s="126">
        <v>4.4600000000000001E-2</v>
      </c>
      <c r="AL96" s="126">
        <v>1.06E-2</v>
      </c>
      <c r="AM96" s="125">
        <v>1.78</v>
      </c>
      <c r="AN96" s="126">
        <v>2.8879999999999999E-2</v>
      </c>
      <c r="AO96" s="126">
        <v>1.0540000000000001E-2</v>
      </c>
      <c r="AP96" s="126">
        <v>5.8540000000000002E-2</v>
      </c>
      <c r="AQ96" s="126">
        <v>2.4640000000000002E-2</v>
      </c>
      <c r="AR96" s="125">
        <v>1.78</v>
      </c>
      <c r="AS96" s="126">
        <v>1.958E-2</v>
      </c>
      <c r="AT96" s="126">
        <v>6.1600000000000005E-3</v>
      </c>
      <c r="AU96" s="126">
        <v>4.2619999999999998E-2</v>
      </c>
      <c r="AV96" s="126">
        <v>1.35E-2</v>
      </c>
      <c r="AW96" s="125"/>
      <c r="AX96" s="126"/>
      <c r="AY96" s="126"/>
      <c r="AZ96" s="126"/>
      <c r="BA96" s="126"/>
      <c r="BB96" s="125"/>
      <c r="BC96" s="126"/>
      <c r="BD96" s="126"/>
      <c r="BE96" s="126"/>
      <c r="BF96" s="126"/>
    </row>
    <row r="97" spans="4:58" ht="15.5">
      <c r="D97" s="125">
        <v>1.79</v>
      </c>
      <c r="E97" s="126">
        <v>4.8520000000000001E-2</v>
      </c>
      <c r="F97" s="126">
        <v>1.5000000000000001E-2</v>
      </c>
      <c r="G97" s="126">
        <v>0</v>
      </c>
      <c r="H97" s="126">
        <v>0</v>
      </c>
      <c r="I97" s="125">
        <v>1.79</v>
      </c>
      <c r="J97" s="126">
        <v>3.2659999999999995E-2</v>
      </c>
      <c r="K97" s="126">
        <v>7.6E-3</v>
      </c>
      <c r="L97" s="126">
        <v>6.7140000000000005E-2</v>
      </c>
      <c r="M97" s="126">
        <v>0</v>
      </c>
      <c r="N97" s="125">
        <v>1.79</v>
      </c>
      <c r="O97" s="126">
        <v>4.4380000000000003E-2</v>
      </c>
      <c r="P97" s="126">
        <v>1.738E-2</v>
      </c>
      <c r="Q97" s="126">
        <v>0</v>
      </c>
      <c r="R97" s="126">
        <v>4.376E-2</v>
      </c>
      <c r="S97" s="125">
        <v>1.79</v>
      </c>
      <c r="T97" s="126">
        <v>2.0879999999999999E-2</v>
      </c>
      <c r="U97" s="126">
        <v>4.0600000000000002E-3</v>
      </c>
      <c r="V97" s="126">
        <v>4.564E-2</v>
      </c>
      <c r="W97" s="126">
        <v>0</v>
      </c>
      <c r="X97" s="125">
        <v>1.79</v>
      </c>
      <c r="Y97" s="126">
        <v>3.8699999999999998E-2</v>
      </c>
      <c r="Z97" s="126">
        <v>1.7340000000000001E-2</v>
      </c>
      <c r="AA97" s="126">
        <v>0</v>
      </c>
      <c r="AB97" s="126">
        <v>4.8860000000000001E-2</v>
      </c>
      <c r="AC97" s="125">
        <v>1.79</v>
      </c>
      <c r="AD97" s="126">
        <v>3.09E-2</v>
      </c>
      <c r="AE97" s="126">
        <v>9.6200000000000001E-3</v>
      </c>
      <c r="AF97" s="126">
        <v>6.3700000000000007E-2</v>
      </c>
      <c r="AG97" s="126">
        <v>1.9900000000000001E-2</v>
      </c>
      <c r="AH97" s="125">
        <v>1.79</v>
      </c>
      <c r="AI97" s="126">
        <v>2.036E-2</v>
      </c>
      <c r="AJ97" s="126">
        <v>5.4800000000000005E-3</v>
      </c>
      <c r="AK97" s="126">
        <v>4.4400000000000002E-2</v>
      </c>
      <c r="AL97" s="126">
        <v>1.0400000000000001E-2</v>
      </c>
      <c r="AM97" s="125">
        <v>1.79</v>
      </c>
      <c r="AN97" s="126">
        <v>2.8840000000000001E-2</v>
      </c>
      <c r="AO97" s="126">
        <v>1.042E-2</v>
      </c>
      <c r="AP97" s="126">
        <v>5.842E-2</v>
      </c>
      <c r="AQ97" s="126">
        <v>2.4320000000000001E-2</v>
      </c>
      <c r="AR97" s="125">
        <v>1.79</v>
      </c>
      <c r="AS97" s="126">
        <v>1.9539999999999998E-2</v>
      </c>
      <c r="AT97" s="126">
        <v>6.0800000000000003E-3</v>
      </c>
      <c r="AU97" s="126">
        <v>4.2459999999999998E-2</v>
      </c>
      <c r="AV97" s="126">
        <v>1.3300000000000001E-2</v>
      </c>
      <c r="AW97" s="125"/>
      <c r="AX97" s="126"/>
      <c r="AY97" s="126"/>
      <c r="AZ97" s="126"/>
      <c r="BA97" s="126"/>
      <c r="BB97" s="125"/>
      <c r="BC97" s="126"/>
      <c r="BD97" s="126"/>
      <c r="BE97" s="126"/>
      <c r="BF97" s="126"/>
    </row>
    <row r="98" spans="4:58" ht="15.5">
      <c r="D98" s="123">
        <v>1.8</v>
      </c>
      <c r="E98" s="124">
        <v>4.8500000000000001E-2</v>
      </c>
      <c r="F98" s="124">
        <v>1.4800000000000001E-2</v>
      </c>
      <c r="G98" s="126">
        <v>0</v>
      </c>
      <c r="H98" s="126">
        <v>0</v>
      </c>
      <c r="I98" s="123">
        <v>1.8</v>
      </c>
      <c r="J98" s="124">
        <v>3.2599999999999997E-2</v>
      </c>
      <c r="K98" s="124">
        <v>7.4999999999999997E-3</v>
      </c>
      <c r="L98" s="124">
        <v>6.6799999999999998E-2</v>
      </c>
      <c r="M98" s="126">
        <v>0</v>
      </c>
      <c r="N98" s="123">
        <v>1.8</v>
      </c>
      <c r="O98" s="124">
        <v>4.4400000000000002E-2</v>
      </c>
      <c r="P98" s="124">
        <v>1.72E-2</v>
      </c>
      <c r="Q98" s="126">
        <v>0</v>
      </c>
      <c r="R98" s="124">
        <v>4.3200000000000002E-2</v>
      </c>
      <c r="S98" s="123">
        <v>1.8</v>
      </c>
      <c r="T98" s="124">
        <v>2.0799999999999999E-2</v>
      </c>
      <c r="U98" s="124">
        <v>4.0000000000000001E-3</v>
      </c>
      <c r="V98" s="124">
        <v>4.5400000000000003E-2</v>
      </c>
      <c r="W98" s="126">
        <v>0</v>
      </c>
      <c r="X98" s="123">
        <v>1.8</v>
      </c>
      <c r="Y98" s="124">
        <v>3.8800000000000001E-2</v>
      </c>
      <c r="Z98" s="124">
        <v>1.72E-2</v>
      </c>
      <c r="AA98" s="126">
        <v>0</v>
      </c>
      <c r="AB98" s="124">
        <v>4.8399999999999999E-2</v>
      </c>
      <c r="AC98" s="123">
        <v>1.8</v>
      </c>
      <c r="AD98" s="124">
        <v>3.0800000000000001E-2</v>
      </c>
      <c r="AE98" s="124">
        <v>9.5999999999999992E-3</v>
      </c>
      <c r="AF98" s="124">
        <v>6.3500000000000001E-2</v>
      </c>
      <c r="AG98" s="124">
        <v>1.9599999999999999E-2</v>
      </c>
      <c r="AH98" s="123">
        <v>1.8</v>
      </c>
      <c r="AI98" s="124">
        <v>2.0299999999999999E-2</v>
      </c>
      <c r="AJ98" s="124">
        <v>5.4000000000000003E-3</v>
      </c>
      <c r="AK98" s="124">
        <v>4.4200000000000003E-2</v>
      </c>
      <c r="AL98" s="124">
        <v>1.0200000000000001E-2</v>
      </c>
      <c r="AM98" s="123">
        <v>1.8</v>
      </c>
      <c r="AN98" s="124">
        <v>2.8799999999999999E-2</v>
      </c>
      <c r="AO98" s="124">
        <v>1.03E-2</v>
      </c>
      <c r="AP98" s="124">
        <v>5.8299999999999998E-2</v>
      </c>
      <c r="AQ98" s="124">
        <v>2.4E-2</v>
      </c>
      <c r="AR98" s="123">
        <v>1.8</v>
      </c>
      <c r="AS98" s="124">
        <v>1.95E-2</v>
      </c>
      <c r="AT98" s="124">
        <v>6.0000000000000001E-3</v>
      </c>
      <c r="AU98" s="124">
        <v>4.2299999999999997E-2</v>
      </c>
      <c r="AV98" s="124">
        <v>1.3100000000000001E-2</v>
      </c>
      <c r="AW98" s="123"/>
      <c r="AX98" s="124"/>
      <c r="AY98" s="124"/>
      <c r="AZ98" s="124"/>
      <c r="BA98" s="124"/>
      <c r="BB98" s="123"/>
      <c r="BC98" s="124"/>
      <c r="BD98" s="124"/>
      <c r="BE98" s="124"/>
      <c r="BF98" s="124"/>
    </row>
    <row r="99" spans="4:58" ht="15.5">
      <c r="D99" s="125">
        <v>1.81</v>
      </c>
      <c r="E99" s="126">
        <v>4.8480000000000002E-2</v>
      </c>
      <c r="F99" s="126">
        <v>1.464E-2</v>
      </c>
      <c r="G99" s="126">
        <v>0</v>
      </c>
      <c r="H99" s="126">
        <v>0</v>
      </c>
      <c r="I99" s="125">
        <v>1.81</v>
      </c>
      <c r="J99" s="126">
        <v>3.2499999999999994E-2</v>
      </c>
      <c r="K99" s="126">
        <v>7.3799999999999994E-3</v>
      </c>
      <c r="L99" s="126">
        <v>6.6500000000000004E-2</v>
      </c>
      <c r="M99" s="126">
        <v>0</v>
      </c>
      <c r="N99" s="125">
        <v>1.81</v>
      </c>
      <c r="O99" s="126">
        <v>4.4420000000000001E-2</v>
      </c>
      <c r="P99" s="126">
        <v>1.7059999999999999E-2</v>
      </c>
      <c r="Q99" s="126">
        <v>0</v>
      </c>
      <c r="R99" s="126">
        <v>4.2700000000000002E-2</v>
      </c>
      <c r="S99" s="125">
        <v>1.81</v>
      </c>
      <c r="T99" s="126">
        <v>2.0719999999999999E-2</v>
      </c>
      <c r="U99" s="126">
        <v>3.9399999999999999E-3</v>
      </c>
      <c r="V99" s="126">
        <v>4.5180000000000005E-2</v>
      </c>
      <c r="W99" s="126">
        <v>0</v>
      </c>
      <c r="X99" s="125">
        <v>1.81</v>
      </c>
      <c r="Y99" s="126">
        <v>3.8900000000000004E-2</v>
      </c>
      <c r="Z99" s="126">
        <v>1.7059999999999999E-2</v>
      </c>
      <c r="AA99" s="126">
        <v>0</v>
      </c>
      <c r="AB99" s="126">
        <v>4.7939999999999997E-2</v>
      </c>
      <c r="AC99" s="125">
        <v>1.81</v>
      </c>
      <c r="AD99" s="126">
        <v>3.0759999999999999E-2</v>
      </c>
      <c r="AE99" s="126">
        <v>9.4599999999999997E-3</v>
      </c>
      <c r="AF99" s="126">
        <v>6.3240000000000005E-2</v>
      </c>
      <c r="AG99" s="126">
        <v>1.934E-2</v>
      </c>
      <c r="AH99" s="125">
        <v>1.81</v>
      </c>
      <c r="AI99" s="126">
        <v>2.0239999999999998E-2</v>
      </c>
      <c r="AJ99" s="126">
        <v>5.3200000000000001E-3</v>
      </c>
      <c r="AK99" s="126">
        <v>4.4000000000000004E-2</v>
      </c>
      <c r="AL99" s="126">
        <v>1.0060000000000001E-2</v>
      </c>
      <c r="AM99" s="125">
        <v>1.81</v>
      </c>
      <c r="AN99" s="126">
        <v>2.8760000000000001E-2</v>
      </c>
      <c r="AO99" s="126">
        <v>1.018E-2</v>
      </c>
      <c r="AP99" s="126">
        <v>5.8159999999999996E-2</v>
      </c>
      <c r="AQ99" s="126">
        <v>2.3699999999999999E-2</v>
      </c>
      <c r="AR99" s="125">
        <v>1.81</v>
      </c>
      <c r="AS99" s="126">
        <v>1.9439999999999999E-2</v>
      </c>
      <c r="AT99" s="126">
        <v>5.9199999999999999E-3</v>
      </c>
      <c r="AU99" s="126">
        <v>4.2139999999999997E-2</v>
      </c>
      <c r="AV99" s="126">
        <v>1.2920000000000001E-2</v>
      </c>
      <c r="AW99" s="125"/>
      <c r="AX99" s="126"/>
      <c r="AY99" s="126"/>
      <c r="AZ99" s="126"/>
      <c r="BA99" s="126"/>
      <c r="BB99" s="125"/>
      <c r="BC99" s="126"/>
      <c r="BD99" s="126"/>
      <c r="BE99" s="126"/>
      <c r="BF99" s="126"/>
    </row>
    <row r="100" spans="4:58" ht="15.5">
      <c r="D100" s="125">
        <v>1.82</v>
      </c>
      <c r="E100" s="126">
        <v>4.8460000000000003E-2</v>
      </c>
      <c r="F100" s="126">
        <v>1.448E-2</v>
      </c>
      <c r="G100" s="126">
        <v>0</v>
      </c>
      <c r="H100" s="126">
        <v>0</v>
      </c>
      <c r="I100" s="125">
        <v>1.82</v>
      </c>
      <c r="J100" s="126">
        <v>3.2399999999999998E-2</v>
      </c>
      <c r="K100" s="126">
        <v>7.26E-3</v>
      </c>
      <c r="L100" s="126">
        <v>6.6199999999999995E-2</v>
      </c>
      <c r="M100" s="126">
        <v>0</v>
      </c>
      <c r="N100" s="125">
        <v>1.82</v>
      </c>
      <c r="O100" s="126">
        <v>4.444E-2</v>
      </c>
      <c r="P100" s="126">
        <v>1.6920000000000001E-2</v>
      </c>
      <c r="Q100" s="126">
        <v>0</v>
      </c>
      <c r="R100" s="126">
        <v>4.2200000000000001E-2</v>
      </c>
      <c r="S100" s="125">
        <v>1.82</v>
      </c>
      <c r="T100" s="126">
        <v>2.0639999999999999E-2</v>
      </c>
      <c r="U100" s="126">
        <v>3.8800000000000002E-3</v>
      </c>
      <c r="V100" s="126">
        <v>4.496E-2</v>
      </c>
      <c r="W100" s="126">
        <v>0</v>
      </c>
      <c r="X100" s="125">
        <v>1.82</v>
      </c>
      <c r="Y100" s="126">
        <v>3.9E-2</v>
      </c>
      <c r="Z100" s="126">
        <v>1.6920000000000001E-2</v>
      </c>
      <c r="AA100" s="126">
        <v>0</v>
      </c>
      <c r="AB100" s="126">
        <v>4.7480000000000001E-2</v>
      </c>
      <c r="AC100" s="125">
        <v>1.82</v>
      </c>
      <c r="AD100" s="126">
        <v>3.0720000000000001E-2</v>
      </c>
      <c r="AE100" s="126">
        <v>9.3200000000000002E-3</v>
      </c>
      <c r="AF100" s="126">
        <v>6.2979999999999994E-2</v>
      </c>
      <c r="AG100" s="126">
        <v>1.908E-2</v>
      </c>
      <c r="AH100" s="125">
        <v>1.82</v>
      </c>
      <c r="AI100" s="126">
        <v>2.018E-2</v>
      </c>
      <c r="AJ100" s="126">
        <v>5.2399999999999999E-3</v>
      </c>
      <c r="AK100" s="126">
        <v>4.3800000000000006E-2</v>
      </c>
      <c r="AL100" s="126">
        <v>9.92E-3</v>
      </c>
      <c r="AM100" s="125">
        <v>1.82</v>
      </c>
      <c r="AN100" s="126">
        <v>2.8719999999999999E-2</v>
      </c>
      <c r="AO100" s="126">
        <v>1.0059999999999999E-2</v>
      </c>
      <c r="AP100" s="126">
        <v>5.8019999999999995E-2</v>
      </c>
      <c r="AQ100" s="126">
        <v>2.3400000000000001E-2</v>
      </c>
      <c r="AR100" s="125">
        <v>1.82</v>
      </c>
      <c r="AS100" s="126">
        <v>1.9379999999999998E-2</v>
      </c>
      <c r="AT100" s="126">
        <v>5.8399999999999997E-3</v>
      </c>
      <c r="AU100" s="126">
        <v>4.1979999999999996E-2</v>
      </c>
      <c r="AV100" s="126">
        <v>1.2740000000000001E-2</v>
      </c>
      <c r="AW100" s="125"/>
      <c r="AX100" s="126"/>
      <c r="AY100" s="126"/>
      <c r="AZ100" s="126"/>
      <c r="BA100" s="126"/>
      <c r="BB100" s="125"/>
      <c r="BC100" s="126"/>
      <c r="BD100" s="126"/>
      <c r="BE100" s="126"/>
      <c r="BF100" s="126"/>
    </row>
    <row r="101" spans="4:58" ht="15.5">
      <c r="D101" s="125">
        <v>1.83</v>
      </c>
      <c r="E101" s="126">
        <v>4.8439999999999997E-2</v>
      </c>
      <c r="F101" s="126">
        <v>1.4320000000000001E-2</v>
      </c>
      <c r="G101" s="126">
        <v>0</v>
      </c>
      <c r="H101" s="126">
        <v>0</v>
      </c>
      <c r="I101" s="125">
        <v>1.83</v>
      </c>
      <c r="J101" s="126">
        <v>3.2299999999999995E-2</v>
      </c>
      <c r="K101" s="126">
        <v>7.1399999999999996E-3</v>
      </c>
      <c r="L101" s="126">
        <v>6.59E-2</v>
      </c>
      <c r="M101" s="126">
        <v>0</v>
      </c>
      <c r="N101" s="125">
        <v>1.83</v>
      </c>
      <c r="O101" s="126">
        <v>4.446E-2</v>
      </c>
      <c r="P101" s="126">
        <v>1.678E-2</v>
      </c>
      <c r="Q101" s="126">
        <v>0</v>
      </c>
      <c r="R101" s="126">
        <v>4.1700000000000001E-2</v>
      </c>
      <c r="S101" s="125">
        <v>1.83</v>
      </c>
      <c r="T101" s="126">
        <v>2.0560000000000002E-2</v>
      </c>
      <c r="U101" s="126">
        <v>3.82E-3</v>
      </c>
      <c r="V101" s="126">
        <v>4.4740000000000002E-2</v>
      </c>
      <c r="W101" s="126">
        <v>0</v>
      </c>
      <c r="X101" s="125">
        <v>1.83</v>
      </c>
      <c r="Y101" s="126">
        <v>3.9100000000000003E-2</v>
      </c>
      <c r="Z101" s="126">
        <v>1.678E-2</v>
      </c>
      <c r="AA101" s="126">
        <v>0</v>
      </c>
      <c r="AB101" s="126">
        <v>4.7019999999999999E-2</v>
      </c>
      <c r="AC101" s="125">
        <v>1.83</v>
      </c>
      <c r="AD101" s="126">
        <v>3.0679999999999999E-2</v>
      </c>
      <c r="AE101" s="126">
        <v>9.1799999999999989E-3</v>
      </c>
      <c r="AF101" s="126">
        <v>6.2719999999999998E-2</v>
      </c>
      <c r="AG101" s="126">
        <v>1.882E-2</v>
      </c>
      <c r="AH101" s="125">
        <v>1.83</v>
      </c>
      <c r="AI101" s="126">
        <v>2.0119999999999999E-2</v>
      </c>
      <c r="AJ101" s="126">
        <v>5.1600000000000005E-3</v>
      </c>
      <c r="AK101" s="126">
        <v>4.36E-2</v>
      </c>
      <c r="AL101" s="126">
        <v>9.7800000000000005E-3</v>
      </c>
      <c r="AM101" s="125">
        <v>1.83</v>
      </c>
      <c r="AN101" s="126">
        <v>2.8680000000000001E-2</v>
      </c>
      <c r="AO101" s="126">
        <v>9.9400000000000009E-3</v>
      </c>
      <c r="AP101" s="126">
        <v>5.7880000000000001E-2</v>
      </c>
      <c r="AQ101" s="126">
        <v>2.3099999999999999E-2</v>
      </c>
      <c r="AR101" s="125">
        <v>1.83</v>
      </c>
      <c r="AS101" s="126">
        <v>1.932E-2</v>
      </c>
      <c r="AT101" s="126">
        <v>5.7600000000000004E-3</v>
      </c>
      <c r="AU101" s="126">
        <v>4.1820000000000003E-2</v>
      </c>
      <c r="AV101" s="126">
        <v>1.256E-2</v>
      </c>
      <c r="AW101" s="125"/>
      <c r="AX101" s="126"/>
      <c r="AY101" s="126"/>
      <c r="AZ101" s="126"/>
      <c r="BA101" s="126"/>
      <c r="BB101" s="125"/>
      <c r="BC101" s="126"/>
      <c r="BD101" s="126"/>
      <c r="BE101" s="126"/>
      <c r="BF101" s="126"/>
    </row>
    <row r="102" spans="4:58" ht="15.5">
      <c r="D102" s="125">
        <v>1.84</v>
      </c>
      <c r="E102" s="126">
        <v>4.8419999999999998E-2</v>
      </c>
      <c r="F102" s="126">
        <v>1.4160000000000001E-2</v>
      </c>
      <c r="G102" s="126">
        <v>0</v>
      </c>
      <c r="H102" s="126">
        <v>0</v>
      </c>
      <c r="I102" s="125">
        <v>1.84</v>
      </c>
      <c r="J102" s="126">
        <v>3.2199999999999999E-2</v>
      </c>
      <c r="K102" s="126">
        <v>7.0200000000000002E-3</v>
      </c>
      <c r="L102" s="126">
        <v>6.5599999999999992E-2</v>
      </c>
      <c r="M102" s="126">
        <v>0</v>
      </c>
      <c r="N102" s="125">
        <v>1.84</v>
      </c>
      <c r="O102" s="126">
        <v>4.4479999999999999E-2</v>
      </c>
      <c r="P102" s="126">
        <v>1.6640000000000002E-2</v>
      </c>
      <c r="Q102" s="126">
        <v>0</v>
      </c>
      <c r="R102" s="126">
        <v>4.1200000000000001E-2</v>
      </c>
      <c r="S102" s="125">
        <v>1.84</v>
      </c>
      <c r="T102" s="126">
        <v>2.0480000000000002E-2</v>
      </c>
      <c r="U102" s="126">
        <v>3.7600000000000003E-3</v>
      </c>
      <c r="V102" s="126">
        <v>4.4519999999999997E-2</v>
      </c>
      <c r="W102" s="126">
        <v>0</v>
      </c>
      <c r="X102" s="125">
        <v>1.84</v>
      </c>
      <c r="Y102" s="126">
        <v>3.9199999999999999E-2</v>
      </c>
      <c r="Z102" s="126">
        <v>1.6640000000000002E-2</v>
      </c>
      <c r="AA102" s="126">
        <v>0</v>
      </c>
      <c r="AB102" s="126">
        <v>4.6560000000000004E-2</v>
      </c>
      <c r="AC102" s="125">
        <v>1.84</v>
      </c>
      <c r="AD102" s="126">
        <v>3.0640000000000001E-2</v>
      </c>
      <c r="AE102" s="126">
        <v>9.0399999999999994E-3</v>
      </c>
      <c r="AF102" s="126">
        <v>6.2460000000000002E-2</v>
      </c>
      <c r="AG102" s="126">
        <v>1.856E-2</v>
      </c>
      <c r="AH102" s="125">
        <v>1.84</v>
      </c>
      <c r="AI102" s="126">
        <v>2.0060000000000001E-2</v>
      </c>
      <c r="AJ102" s="126">
        <v>5.0800000000000003E-3</v>
      </c>
      <c r="AK102" s="126">
        <v>4.3400000000000001E-2</v>
      </c>
      <c r="AL102" s="126">
        <v>9.6399999999999993E-3</v>
      </c>
      <c r="AM102" s="125">
        <v>1.84</v>
      </c>
      <c r="AN102" s="126">
        <v>2.8639999999999999E-2</v>
      </c>
      <c r="AO102" s="126">
        <v>9.8200000000000006E-3</v>
      </c>
      <c r="AP102" s="126">
        <v>5.774E-2</v>
      </c>
      <c r="AQ102" s="126">
        <v>2.2800000000000001E-2</v>
      </c>
      <c r="AR102" s="125">
        <v>1.84</v>
      </c>
      <c r="AS102" s="126">
        <v>1.9259999999999999E-2</v>
      </c>
      <c r="AT102" s="126">
        <v>5.6800000000000002E-3</v>
      </c>
      <c r="AU102" s="126">
        <v>4.1660000000000003E-2</v>
      </c>
      <c r="AV102" s="126">
        <v>1.238E-2</v>
      </c>
      <c r="AW102" s="125"/>
      <c r="AX102" s="126"/>
      <c r="AY102" s="126"/>
      <c r="AZ102" s="126"/>
      <c r="BA102" s="126"/>
      <c r="BB102" s="125"/>
      <c r="BC102" s="126"/>
      <c r="BD102" s="126"/>
      <c r="BE102" s="126"/>
      <c r="BF102" s="126"/>
    </row>
    <row r="103" spans="4:58" ht="15.5">
      <c r="D103" s="123">
        <v>1.85</v>
      </c>
      <c r="E103" s="124">
        <v>4.8399999999999999E-2</v>
      </c>
      <c r="F103" s="124">
        <v>1.4E-2</v>
      </c>
      <c r="G103" s="126">
        <v>0</v>
      </c>
      <c r="H103" s="126">
        <v>0</v>
      </c>
      <c r="I103" s="123">
        <v>1.85</v>
      </c>
      <c r="J103" s="124">
        <v>3.2099999999999997E-2</v>
      </c>
      <c r="K103" s="124">
        <v>6.8999999999999999E-3</v>
      </c>
      <c r="L103" s="124">
        <v>6.5299999999999997E-2</v>
      </c>
      <c r="M103" s="126">
        <v>0</v>
      </c>
      <c r="N103" s="123">
        <v>1.85</v>
      </c>
      <c r="O103" s="124">
        <v>4.4499999999999998E-2</v>
      </c>
      <c r="P103" s="124">
        <v>1.6500000000000001E-2</v>
      </c>
      <c r="Q103" s="126">
        <v>0</v>
      </c>
      <c r="R103" s="124">
        <v>4.07E-2</v>
      </c>
      <c r="S103" s="123">
        <v>1.85</v>
      </c>
      <c r="T103" s="124">
        <v>2.0400000000000001E-2</v>
      </c>
      <c r="U103" s="124">
        <v>3.7000000000000002E-3</v>
      </c>
      <c r="V103" s="124">
        <v>4.4299999999999999E-2</v>
      </c>
      <c r="W103" s="126">
        <v>0</v>
      </c>
      <c r="X103" s="123">
        <v>1.85</v>
      </c>
      <c r="Y103" s="124">
        <v>3.9300000000000002E-2</v>
      </c>
      <c r="Z103" s="124">
        <v>1.6500000000000001E-2</v>
      </c>
      <c r="AA103" s="126">
        <v>0</v>
      </c>
      <c r="AB103" s="124">
        <v>4.6100000000000002E-2</v>
      </c>
      <c r="AC103" s="123">
        <v>1.85</v>
      </c>
      <c r="AD103" s="124">
        <v>3.0599999999999999E-2</v>
      </c>
      <c r="AE103" s="124">
        <v>8.8999999999999999E-3</v>
      </c>
      <c r="AF103" s="124">
        <v>6.2199999999999998E-2</v>
      </c>
      <c r="AG103" s="124">
        <v>1.83E-2</v>
      </c>
      <c r="AH103" s="123">
        <v>1.85</v>
      </c>
      <c r="AI103" s="124">
        <v>0.02</v>
      </c>
      <c r="AJ103" s="124">
        <v>5.0000000000000001E-3</v>
      </c>
      <c r="AK103" s="124">
        <v>4.3200000000000002E-2</v>
      </c>
      <c r="AL103" s="124">
        <v>9.4999999999999998E-3</v>
      </c>
      <c r="AM103" s="123">
        <v>1.85</v>
      </c>
      <c r="AN103" s="124">
        <v>2.86E-2</v>
      </c>
      <c r="AO103" s="124">
        <v>9.7000000000000003E-3</v>
      </c>
      <c r="AP103" s="124">
        <v>5.7599999999999998E-2</v>
      </c>
      <c r="AQ103" s="124">
        <v>2.2499999999999999E-2</v>
      </c>
      <c r="AR103" s="123">
        <v>1.85</v>
      </c>
      <c r="AS103" s="124">
        <v>1.9199999999999998E-2</v>
      </c>
      <c r="AT103" s="124">
        <v>5.5999999999999999E-3</v>
      </c>
      <c r="AU103" s="124">
        <v>4.1500000000000002E-2</v>
      </c>
      <c r="AV103" s="124">
        <v>1.2200000000000001E-2</v>
      </c>
      <c r="AW103" s="123"/>
      <c r="AX103" s="124"/>
      <c r="AY103" s="124"/>
      <c r="AZ103" s="124"/>
      <c r="BA103" s="124"/>
      <c r="BB103" s="123"/>
      <c r="BC103" s="124"/>
      <c r="BD103" s="124"/>
      <c r="BE103" s="124"/>
      <c r="BF103" s="124"/>
    </row>
    <row r="104" spans="4:58" ht="15.5">
      <c r="D104" s="125">
        <v>1.86</v>
      </c>
      <c r="E104" s="126">
        <v>4.8320000000000002E-2</v>
      </c>
      <c r="F104" s="126">
        <v>1.3859999999999999E-2</v>
      </c>
      <c r="G104" s="126">
        <v>0</v>
      </c>
      <c r="H104" s="126">
        <v>0</v>
      </c>
      <c r="I104" s="125">
        <v>1.86</v>
      </c>
      <c r="J104" s="126">
        <v>3.2000000000000001E-2</v>
      </c>
      <c r="K104" s="126">
        <v>6.7999999999999996E-3</v>
      </c>
      <c r="L104" s="126">
        <v>6.5000000000000002E-2</v>
      </c>
      <c r="M104" s="126">
        <v>0</v>
      </c>
      <c r="N104" s="125">
        <v>1.86</v>
      </c>
      <c r="O104" s="126">
        <v>4.4499999999999998E-2</v>
      </c>
      <c r="P104" s="126">
        <v>1.634E-2</v>
      </c>
      <c r="Q104" s="126">
        <v>0</v>
      </c>
      <c r="R104" s="126">
        <v>3.9199999999999992E-2</v>
      </c>
      <c r="S104" s="125">
        <v>1.86</v>
      </c>
      <c r="T104" s="126">
        <v>2.0300000000000002E-2</v>
      </c>
      <c r="U104" s="126">
        <v>3.64E-3</v>
      </c>
      <c r="V104" s="126">
        <v>4.4080000000000001E-2</v>
      </c>
      <c r="W104" s="126">
        <v>0</v>
      </c>
      <c r="X104" s="125">
        <v>1.86</v>
      </c>
      <c r="Y104" s="126">
        <v>3.9359999999999999E-2</v>
      </c>
      <c r="Z104" s="126">
        <v>1.636E-2</v>
      </c>
      <c r="AA104" s="126">
        <v>0</v>
      </c>
      <c r="AB104" s="126">
        <v>4.5659999999999999E-2</v>
      </c>
      <c r="AC104" s="125">
        <v>1.86</v>
      </c>
      <c r="AD104" s="126">
        <v>3.0519999999999999E-2</v>
      </c>
      <c r="AE104" s="126">
        <v>8.7999999999999988E-3</v>
      </c>
      <c r="AF104" s="126">
        <v>6.2E-2</v>
      </c>
      <c r="AG104" s="126">
        <v>1.8019999999999998E-2</v>
      </c>
      <c r="AH104" s="125">
        <v>1.86</v>
      </c>
      <c r="AI104" s="126">
        <v>1.992E-2</v>
      </c>
      <c r="AJ104" s="126">
        <v>4.9199999999999999E-3</v>
      </c>
      <c r="AK104" s="126">
        <v>4.3000000000000003E-2</v>
      </c>
      <c r="AL104" s="126">
        <v>9.3599999999999985E-3</v>
      </c>
      <c r="AM104" s="125">
        <v>1.86</v>
      </c>
      <c r="AN104" s="126">
        <v>2.8560000000000002E-2</v>
      </c>
      <c r="AO104" s="126">
        <v>9.5999999999999992E-3</v>
      </c>
      <c r="AP104" s="126">
        <v>5.7479999999999996E-2</v>
      </c>
      <c r="AQ104" s="126">
        <v>2.2239999999999999E-2</v>
      </c>
      <c r="AR104" s="125">
        <v>1.86</v>
      </c>
      <c r="AS104" s="126">
        <v>1.916E-2</v>
      </c>
      <c r="AT104" s="126">
        <v>5.5199999999999997E-3</v>
      </c>
      <c r="AU104" s="126">
        <v>4.1360000000000001E-2</v>
      </c>
      <c r="AV104" s="126">
        <v>1.2019999999999999E-2</v>
      </c>
      <c r="AW104" s="125"/>
      <c r="AX104" s="126"/>
      <c r="AY104" s="126"/>
      <c r="AZ104" s="126"/>
      <c r="BA104" s="126"/>
      <c r="BB104" s="125"/>
      <c r="BC104" s="126"/>
      <c r="BD104" s="126"/>
      <c r="BE104" s="126"/>
      <c r="BF104" s="126"/>
    </row>
    <row r="105" spans="4:58" ht="15.5">
      <c r="D105" s="125">
        <v>1.87</v>
      </c>
      <c r="E105" s="126">
        <v>4.8239999999999998E-2</v>
      </c>
      <c r="F105" s="126">
        <v>1.3719999999999998E-2</v>
      </c>
      <c r="G105" s="126">
        <v>0</v>
      </c>
      <c r="H105" s="126">
        <v>0</v>
      </c>
      <c r="I105" s="125">
        <v>1.87</v>
      </c>
      <c r="J105" s="126">
        <v>3.1899999999999998E-2</v>
      </c>
      <c r="K105" s="126">
        <v>6.6999999999999994E-3</v>
      </c>
      <c r="L105" s="126">
        <v>6.4699999999999994E-2</v>
      </c>
      <c r="M105" s="126">
        <v>0</v>
      </c>
      <c r="N105" s="125">
        <v>1.87</v>
      </c>
      <c r="O105" s="126">
        <v>4.4499999999999998E-2</v>
      </c>
      <c r="P105" s="126">
        <v>1.618E-2</v>
      </c>
      <c r="Q105" s="126">
        <v>0</v>
      </c>
      <c r="R105" s="126">
        <v>3.7699999999999984E-2</v>
      </c>
      <c r="S105" s="125">
        <v>1.87</v>
      </c>
      <c r="T105" s="126">
        <v>2.0199999999999999E-2</v>
      </c>
      <c r="U105" s="126">
        <v>3.5799999999999994E-3</v>
      </c>
      <c r="V105" s="126">
        <v>4.3859999999999996E-2</v>
      </c>
      <c r="W105" s="126">
        <v>0</v>
      </c>
      <c r="X105" s="125">
        <v>1.87</v>
      </c>
      <c r="Y105" s="126">
        <v>3.9420000000000004E-2</v>
      </c>
      <c r="Z105" s="126">
        <v>1.6219999999999998E-2</v>
      </c>
      <c r="AA105" s="126">
        <v>0</v>
      </c>
      <c r="AB105" s="126">
        <v>4.5219999999999996E-2</v>
      </c>
      <c r="AC105" s="125">
        <v>1.87</v>
      </c>
      <c r="AD105" s="126">
        <v>3.0439999999999998E-2</v>
      </c>
      <c r="AE105" s="126">
        <v>8.6999999999999994E-3</v>
      </c>
      <c r="AF105" s="126">
        <v>6.1799999999999994E-2</v>
      </c>
      <c r="AG105" s="126">
        <v>1.7739999999999995E-2</v>
      </c>
      <c r="AH105" s="125">
        <v>1.87</v>
      </c>
      <c r="AI105" s="126">
        <v>1.984E-2</v>
      </c>
      <c r="AJ105" s="126">
        <v>4.8399999999999997E-3</v>
      </c>
      <c r="AK105" s="126">
        <v>4.2799999999999998E-2</v>
      </c>
      <c r="AL105" s="126">
        <v>9.219999999999999E-3</v>
      </c>
      <c r="AM105" s="125">
        <v>1.87</v>
      </c>
      <c r="AN105" s="126">
        <v>2.852E-2</v>
      </c>
      <c r="AO105" s="126">
        <v>9.4999999999999998E-3</v>
      </c>
      <c r="AP105" s="126">
        <v>5.7360000000000001E-2</v>
      </c>
      <c r="AQ105" s="126">
        <v>2.1979999999999996E-2</v>
      </c>
      <c r="AR105" s="125">
        <v>1.87</v>
      </c>
      <c r="AS105" s="126">
        <v>1.9119999999999998E-2</v>
      </c>
      <c r="AT105" s="126">
        <v>5.4399999999999995E-3</v>
      </c>
      <c r="AU105" s="126">
        <v>4.122E-2</v>
      </c>
      <c r="AV105" s="126">
        <v>1.1839999999999998E-2</v>
      </c>
      <c r="AW105" s="125"/>
      <c r="AX105" s="126"/>
      <c r="AY105" s="126"/>
      <c r="AZ105" s="126"/>
      <c r="BA105" s="126"/>
      <c r="BB105" s="125"/>
      <c r="BC105" s="126"/>
      <c r="BD105" s="126"/>
      <c r="BE105" s="126"/>
      <c r="BF105" s="126"/>
    </row>
    <row r="106" spans="4:58" ht="15.5">
      <c r="D106" s="125">
        <v>1.88</v>
      </c>
      <c r="E106" s="126">
        <v>4.8160000000000001E-2</v>
      </c>
      <c r="F106" s="126">
        <v>1.3580000000000002E-2</v>
      </c>
      <c r="G106" s="126">
        <v>0</v>
      </c>
      <c r="H106" s="126">
        <v>0</v>
      </c>
      <c r="I106" s="125">
        <v>1.88</v>
      </c>
      <c r="J106" s="126">
        <v>3.1800000000000002E-2</v>
      </c>
      <c r="K106" s="126">
        <v>6.6000000000000008E-3</v>
      </c>
      <c r="L106" s="126">
        <v>6.4399999999999999E-2</v>
      </c>
      <c r="M106" s="126">
        <v>0</v>
      </c>
      <c r="N106" s="125">
        <v>1.88</v>
      </c>
      <c r="O106" s="126">
        <v>4.4499999999999998E-2</v>
      </c>
      <c r="P106" s="126">
        <v>1.602E-2</v>
      </c>
      <c r="Q106" s="126">
        <v>0</v>
      </c>
      <c r="R106" s="126">
        <v>3.620000000000001E-2</v>
      </c>
      <c r="S106" s="125">
        <v>1.88</v>
      </c>
      <c r="T106" s="126">
        <v>2.0100000000000003E-2</v>
      </c>
      <c r="U106" s="126">
        <v>3.5200000000000006E-3</v>
      </c>
      <c r="V106" s="126">
        <v>4.3640000000000005E-2</v>
      </c>
      <c r="W106" s="126">
        <v>0</v>
      </c>
      <c r="X106" s="125">
        <v>1.88</v>
      </c>
      <c r="Y106" s="126">
        <v>3.9480000000000001E-2</v>
      </c>
      <c r="Z106" s="126">
        <v>1.6080000000000004E-2</v>
      </c>
      <c r="AA106" s="126">
        <v>0</v>
      </c>
      <c r="AB106" s="126">
        <v>4.4780000000000007E-2</v>
      </c>
      <c r="AC106" s="125">
        <v>1.88</v>
      </c>
      <c r="AD106" s="126">
        <v>3.0360000000000002E-2</v>
      </c>
      <c r="AE106" s="126">
        <v>8.6E-3</v>
      </c>
      <c r="AF106" s="126">
        <v>6.1600000000000002E-2</v>
      </c>
      <c r="AG106" s="126">
        <v>1.7460000000000003E-2</v>
      </c>
      <c r="AH106" s="125">
        <v>1.88</v>
      </c>
      <c r="AI106" s="126">
        <v>1.976E-2</v>
      </c>
      <c r="AJ106" s="126">
        <v>4.7600000000000003E-3</v>
      </c>
      <c r="AK106" s="126">
        <v>4.2600000000000006E-2</v>
      </c>
      <c r="AL106" s="126">
        <v>9.0800000000000013E-3</v>
      </c>
      <c r="AM106" s="125">
        <v>1.88</v>
      </c>
      <c r="AN106" s="126">
        <v>2.8480000000000002E-2</v>
      </c>
      <c r="AO106" s="126">
        <v>9.4000000000000004E-3</v>
      </c>
      <c r="AP106" s="126">
        <v>5.7239999999999999E-2</v>
      </c>
      <c r="AQ106" s="126">
        <v>2.1720000000000003E-2</v>
      </c>
      <c r="AR106" s="125">
        <v>1.88</v>
      </c>
      <c r="AS106" s="126">
        <v>1.908E-2</v>
      </c>
      <c r="AT106" s="126">
        <v>5.3600000000000002E-3</v>
      </c>
      <c r="AU106" s="126">
        <v>4.1080000000000005E-2</v>
      </c>
      <c r="AV106" s="126">
        <v>1.1660000000000002E-2</v>
      </c>
      <c r="AW106" s="125"/>
      <c r="AX106" s="126"/>
      <c r="AY106" s="126"/>
      <c r="AZ106" s="126"/>
      <c r="BA106" s="126"/>
      <c r="BB106" s="125"/>
      <c r="BC106" s="126"/>
      <c r="BD106" s="126"/>
      <c r="BE106" s="126"/>
      <c r="BF106" s="126"/>
    </row>
    <row r="107" spans="4:58" ht="15.5">
      <c r="D107" s="125">
        <v>1.89</v>
      </c>
      <c r="E107" s="126">
        <v>4.8079999999999998E-2</v>
      </c>
      <c r="F107" s="126">
        <v>1.3440000000000001E-2</v>
      </c>
      <c r="G107" s="126">
        <v>0</v>
      </c>
      <c r="H107" s="126">
        <v>0</v>
      </c>
      <c r="I107" s="125">
        <v>1.89</v>
      </c>
      <c r="J107" s="126">
        <v>3.1699999999999999E-2</v>
      </c>
      <c r="K107" s="126">
        <v>6.5000000000000006E-3</v>
      </c>
      <c r="L107" s="126">
        <v>6.409999999999999E-2</v>
      </c>
      <c r="M107" s="126">
        <v>0</v>
      </c>
      <c r="N107" s="125">
        <v>1.89</v>
      </c>
      <c r="O107" s="126">
        <v>4.4499999999999998E-2</v>
      </c>
      <c r="P107" s="126">
        <v>1.5859999999999999E-2</v>
      </c>
      <c r="Q107" s="126">
        <v>0</v>
      </c>
      <c r="R107" s="126">
        <v>3.4700000000000009E-2</v>
      </c>
      <c r="S107" s="125">
        <v>1.89</v>
      </c>
      <c r="T107" s="126">
        <v>0.02</v>
      </c>
      <c r="U107" s="126">
        <v>3.46E-3</v>
      </c>
      <c r="V107" s="126">
        <v>4.342E-2</v>
      </c>
      <c r="W107" s="126">
        <v>0</v>
      </c>
      <c r="X107" s="125">
        <v>1.89</v>
      </c>
      <c r="Y107" s="126">
        <v>3.9540000000000006E-2</v>
      </c>
      <c r="Z107" s="126">
        <v>1.5940000000000003E-2</v>
      </c>
      <c r="AA107" s="126">
        <v>0</v>
      </c>
      <c r="AB107" s="126">
        <v>4.4340000000000004E-2</v>
      </c>
      <c r="AC107" s="125">
        <v>1.89</v>
      </c>
      <c r="AD107" s="126">
        <v>3.0280000000000001E-2</v>
      </c>
      <c r="AE107" s="126">
        <v>8.5000000000000006E-3</v>
      </c>
      <c r="AF107" s="126">
        <v>6.1399999999999996E-2</v>
      </c>
      <c r="AG107" s="126">
        <v>1.7180000000000001E-2</v>
      </c>
      <c r="AH107" s="125">
        <v>1.89</v>
      </c>
      <c r="AI107" s="126">
        <v>1.968E-2</v>
      </c>
      <c r="AJ107" s="126">
        <v>4.6800000000000001E-3</v>
      </c>
      <c r="AK107" s="126">
        <v>4.24E-2</v>
      </c>
      <c r="AL107" s="126">
        <v>8.9400000000000018E-3</v>
      </c>
      <c r="AM107" s="125">
        <v>1.89</v>
      </c>
      <c r="AN107" s="126">
        <v>2.844E-2</v>
      </c>
      <c r="AO107" s="126">
        <v>9.300000000000001E-3</v>
      </c>
      <c r="AP107" s="126">
        <v>5.7120000000000004E-2</v>
      </c>
      <c r="AQ107" s="126">
        <v>2.146E-2</v>
      </c>
      <c r="AR107" s="125">
        <v>1.89</v>
      </c>
      <c r="AS107" s="126">
        <v>1.9039999999999998E-2</v>
      </c>
      <c r="AT107" s="126">
        <v>5.28E-3</v>
      </c>
      <c r="AU107" s="126">
        <v>4.0940000000000004E-2</v>
      </c>
      <c r="AV107" s="126">
        <v>1.1480000000000001E-2</v>
      </c>
      <c r="AW107" s="125"/>
      <c r="AX107" s="126"/>
      <c r="AY107" s="126"/>
      <c r="AZ107" s="126"/>
      <c r="BA107" s="126"/>
      <c r="BB107" s="125"/>
      <c r="BC107" s="126"/>
      <c r="BD107" s="126"/>
      <c r="BE107" s="126"/>
      <c r="BF107" s="126"/>
    </row>
    <row r="108" spans="4:58" ht="15.5">
      <c r="D108" s="123">
        <v>1.9</v>
      </c>
      <c r="E108" s="124">
        <v>4.8000000000000001E-2</v>
      </c>
      <c r="F108" s="124">
        <v>1.3299999999999999E-2</v>
      </c>
      <c r="G108" s="126">
        <v>0</v>
      </c>
      <c r="H108" s="126">
        <v>0</v>
      </c>
      <c r="I108" s="123">
        <v>1.9</v>
      </c>
      <c r="J108" s="124">
        <v>3.1600000000000003E-2</v>
      </c>
      <c r="K108" s="124">
        <v>6.4000000000000003E-3</v>
      </c>
      <c r="L108" s="124">
        <v>6.3799999999999996E-2</v>
      </c>
      <c r="M108" s="126">
        <v>0</v>
      </c>
      <c r="N108" s="123">
        <v>1.9</v>
      </c>
      <c r="O108" s="124">
        <v>4.4499999999999998E-2</v>
      </c>
      <c r="P108" s="124">
        <v>1.5699999999999999E-2</v>
      </c>
      <c r="Q108" s="126">
        <v>0</v>
      </c>
      <c r="R108" s="124">
        <v>3.32E-2</v>
      </c>
      <c r="S108" s="123">
        <v>1.9</v>
      </c>
      <c r="T108" s="124">
        <v>1.9900000000000001E-2</v>
      </c>
      <c r="U108" s="124">
        <v>3.3999999999999998E-3</v>
      </c>
      <c r="V108" s="124">
        <v>4.3200000000000002E-2</v>
      </c>
      <c r="W108" s="126">
        <v>0</v>
      </c>
      <c r="X108" s="123">
        <v>1.9</v>
      </c>
      <c r="Y108" s="124">
        <v>3.9600000000000003E-2</v>
      </c>
      <c r="Z108" s="124">
        <v>1.5800000000000002E-2</v>
      </c>
      <c r="AA108" s="126">
        <v>0</v>
      </c>
      <c r="AB108" s="124">
        <v>4.3900000000000002E-2</v>
      </c>
      <c r="AC108" s="123">
        <v>1.9</v>
      </c>
      <c r="AD108" s="124">
        <v>3.0200000000000001E-2</v>
      </c>
      <c r="AE108" s="124">
        <v>8.3999999999999995E-3</v>
      </c>
      <c r="AF108" s="124">
        <v>6.1199999999999997E-2</v>
      </c>
      <c r="AG108" s="124">
        <v>1.6899999999999998E-2</v>
      </c>
      <c r="AH108" s="123">
        <v>1.9</v>
      </c>
      <c r="AI108" s="124">
        <v>1.9599999999999999E-2</v>
      </c>
      <c r="AJ108" s="124">
        <v>4.5999999999999999E-3</v>
      </c>
      <c r="AK108" s="124">
        <v>4.2200000000000001E-2</v>
      </c>
      <c r="AL108" s="124">
        <v>8.8000000000000005E-3</v>
      </c>
      <c r="AM108" s="123">
        <v>1.9</v>
      </c>
      <c r="AN108" s="124">
        <v>2.8400000000000002E-2</v>
      </c>
      <c r="AO108" s="124">
        <v>9.1999999999999998E-3</v>
      </c>
      <c r="AP108" s="124">
        <v>5.7000000000000002E-2</v>
      </c>
      <c r="AQ108" s="124">
        <v>2.12E-2</v>
      </c>
      <c r="AR108" s="123">
        <v>1.9</v>
      </c>
      <c r="AS108" s="124">
        <v>1.9E-2</v>
      </c>
      <c r="AT108" s="124">
        <v>5.1999999999999998E-3</v>
      </c>
      <c r="AU108" s="124">
        <v>4.0800000000000003E-2</v>
      </c>
      <c r="AV108" s="124">
        <v>1.1299999999999999E-2</v>
      </c>
      <c r="AW108" s="123"/>
      <c r="AX108" s="124"/>
      <c r="AY108" s="124"/>
      <c r="AZ108" s="124"/>
      <c r="BA108" s="124"/>
      <c r="BB108" s="123"/>
      <c r="BC108" s="124"/>
      <c r="BD108" s="124"/>
      <c r="BE108" s="124"/>
      <c r="BF108" s="124"/>
    </row>
    <row r="109" spans="4:58" ht="15.5">
      <c r="D109" s="125">
        <v>1.91</v>
      </c>
      <c r="E109" s="126">
        <v>4.7920000000000004E-2</v>
      </c>
      <c r="F109" s="126">
        <v>1.3139999999999999E-2</v>
      </c>
      <c r="G109" s="126">
        <v>0</v>
      </c>
      <c r="H109" s="126">
        <v>0</v>
      </c>
      <c r="I109" s="125">
        <v>1.91</v>
      </c>
      <c r="J109" s="126">
        <v>3.1480000000000001E-2</v>
      </c>
      <c r="K109" s="126">
        <v>6.3200000000000001E-3</v>
      </c>
      <c r="L109" s="126">
        <v>6.3519999999999993E-2</v>
      </c>
      <c r="M109" s="126">
        <v>0</v>
      </c>
      <c r="N109" s="125">
        <v>1.91</v>
      </c>
      <c r="O109" s="126">
        <v>4.4479999999999999E-2</v>
      </c>
      <c r="P109" s="126">
        <v>1.5539999999999998E-2</v>
      </c>
      <c r="Q109" s="126">
        <v>0</v>
      </c>
      <c r="R109" s="126">
        <v>3.3340000000000002E-2</v>
      </c>
      <c r="S109" s="125">
        <v>1.91</v>
      </c>
      <c r="T109" s="126">
        <v>1.984E-2</v>
      </c>
      <c r="U109" s="126">
        <v>3.3599999999999997E-3</v>
      </c>
      <c r="V109" s="126">
        <v>4.3000000000000003E-2</v>
      </c>
      <c r="W109" s="126">
        <v>0</v>
      </c>
      <c r="X109" s="125">
        <v>1.91</v>
      </c>
      <c r="Y109" s="126">
        <v>3.9640000000000002E-2</v>
      </c>
      <c r="Z109" s="126">
        <v>1.5679999999999999E-2</v>
      </c>
      <c r="AA109" s="126">
        <v>0</v>
      </c>
      <c r="AB109" s="126">
        <v>4.3479999999999998E-2</v>
      </c>
      <c r="AC109" s="125">
        <v>1.91</v>
      </c>
      <c r="AD109" s="126">
        <v>3.014E-2</v>
      </c>
      <c r="AE109" s="126">
        <v>8.2799999999999992E-3</v>
      </c>
      <c r="AF109" s="126">
        <v>6.0940000000000001E-2</v>
      </c>
      <c r="AG109" s="126">
        <v>1.6719999999999999E-2</v>
      </c>
      <c r="AH109" s="125">
        <v>1.91</v>
      </c>
      <c r="AI109" s="126">
        <v>1.9519999999999999E-2</v>
      </c>
      <c r="AJ109" s="126">
        <v>4.5399999999999998E-3</v>
      </c>
      <c r="AK109" s="126">
        <v>4.2020000000000002E-2</v>
      </c>
      <c r="AL109" s="126">
        <v>8.6800000000000002E-3</v>
      </c>
      <c r="AM109" s="125">
        <v>1.91</v>
      </c>
      <c r="AN109" s="126">
        <v>2.836E-2</v>
      </c>
      <c r="AO109" s="126">
        <v>9.0799999999999995E-3</v>
      </c>
      <c r="AP109" s="126">
        <v>5.6840000000000002E-2</v>
      </c>
      <c r="AQ109" s="126">
        <v>2.0920000000000001E-2</v>
      </c>
      <c r="AR109" s="125">
        <v>1.91</v>
      </c>
      <c r="AS109" s="126">
        <v>1.8919999999999999E-2</v>
      </c>
      <c r="AT109" s="126">
        <v>5.1399999999999996E-3</v>
      </c>
      <c r="AU109" s="126">
        <v>4.0640000000000003E-2</v>
      </c>
      <c r="AV109" s="126">
        <v>1.1179999999999999E-2</v>
      </c>
      <c r="AW109" s="125"/>
      <c r="AX109" s="126"/>
      <c r="AY109" s="126"/>
      <c r="AZ109" s="126"/>
      <c r="BA109" s="126"/>
      <c r="BB109" s="125"/>
      <c r="BC109" s="126"/>
      <c r="BD109" s="126"/>
      <c r="BE109" s="126"/>
      <c r="BF109" s="126"/>
    </row>
    <row r="110" spans="4:58" ht="15.5">
      <c r="D110" s="125">
        <v>1.92</v>
      </c>
      <c r="E110" s="126">
        <v>4.7840000000000001E-2</v>
      </c>
      <c r="F110" s="126">
        <v>1.298E-2</v>
      </c>
      <c r="G110" s="126">
        <v>0</v>
      </c>
      <c r="H110" s="126">
        <v>0</v>
      </c>
      <c r="I110" s="125">
        <v>1.92</v>
      </c>
      <c r="J110" s="126">
        <v>3.1359999999999999E-2</v>
      </c>
      <c r="K110" s="126">
        <v>6.2399999999999999E-3</v>
      </c>
      <c r="L110" s="126">
        <v>6.3239999999999991E-2</v>
      </c>
      <c r="M110" s="126">
        <v>0</v>
      </c>
      <c r="N110" s="125">
        <v>1.92</v>
      </c>
      <c r="O110" s="126">
        <v>4.446E-2</v>
      </c>
      <c r="P110" s="126">
        <v>1.538E-2</v>
      </c>
      <c r="Q110" s="126">
        <v>0</v>
      </c>
      <c r="R110" s="126">
        <v>3.3480000000000003E-2</v>
      </c>
      <c r="S110" s="125">
        <v>1.92</v>
      </c>
      <c r="T110" s="126">
        <v>1.9779999999999999E-2</v>
      </c>
      <c r="U110" s="126">
        <v>3.32E-3</v>
      </c>
      <c r="V110" s="126">
        <v>4.2800000000000005E-2</v>
      </c>
      <c r="W110" s="126">
        <v>0</v>
      </c>
      <c r="X110" s="125">
        <v>1.92</v>
      </c>
      <c r="Y110" s="126">
        <v>3.968E-2</v>
      </c>
      <c r="Z110" s="126">
        <v>1.5560000000000001E-2</v>
      </c>
      <c r="AA110" s="126">
        <v>0</v>
      </c>
      <c r="AB110" s="126">
        <v>4.3060000000000001E-2</v>
      </c>
      <c r="AC110" s="125">
        <v>1.92</v>
      </c>
      <c r="AD110" s="126">
        <v>3.0079999999999999E-2</v>
      </c>
      <c r="AE110" s="126">
        <v>8.1599999999999989E-3</v>
      </c>
      <c r="AF110" s="126">
        <v>6.0679999999999998E-2</v>
      </c>
      <c r="AG110" s="126">
        <v>1.6539999999999999E-2</v>
      </c>
      <c r="AH110" s="125">
        <v>1.92</v>
      </c>
      <c r="AI110" s="126">
        <v>1.9439999999999999E-2</v>
      </c>
      <c r="AJ110" s="126">
        <v>4.4799999999999996E-3</v>
      </c>
      <c r="AK110" s="126">
        <v>4.1840000000000002E-2</v>
      </c>
      <c r="AL110" s="126">
        <v>8.5599999999999999E-3</v>
      </c>
      <c r="AM110" s="125">
        <v>1.92</v>
      </c>
      <c r="AN110" s="126">
        <v>2.8320000000000001E-2</v>
      </c>
      <c r="AO110" s="126">
        <v>8.9599999999999992E-3</v>
      </c>
      <c r="AP110" s="126">
        <v>5.6680000000000001E-2</v>
      </c>
      <c r="AQ110" s="126">
        <v>2.0640000000000002E-2</v>
      </c>
      <c r="AR110" s="125">
        <v>1.92</v>
      </c>
      <c r="AS110" s="126">
        <v>1.8839999999999999E-2</v>
      </c>
      <c r="AT110" s="126">
        <v>5.0799999999999994E-3</v>
      </c>
      <c r="AU110" s="126">
        <v>4.0480000000000002E-2</v>
      </c>
      <c r="AV110" s="126">
        <v>1.1059999999999999E-2</v>
      </c>
      <c r="AW110" s="125"/>
      <c r="AX110" s="126"/>
      <c r="AY110" s="126"/>
      <c r="AZ110" s="126"/>
      <c r="BA110" s="126"/>
      <c r="BB110" s="125"/>
      <c r="BC110" s="126"/>
      <c r="BD110" s="126"/>
      <c r="BE110" s="126"/>
      <c r="BF110" s="126"/>
    </row>
    <row r="111" spans="4:58" ht="15.5">
      <c r="D111" s="125">
        <v>1.93</v>
      </c>
      <c r="E111" s="126">
        <v>4.7760000000000004E-2</v>
      </c>
      <c r="F111" s="126">
        <v>1.282E-2</v>
      </c>
      <c r="G111" s="126">
        <v>0</v>
      </c>
      <c r="H111" s="126">
        <v>0</v>
      </c>
      <c r="I111" s="125">
        <v>1.93</v>
      </c>
      <c r="J111" s="126">
        <v>3.124E-2</v>
      </c>
      <c r="K111" s="126">
        <v>6.1600000000000005E-3</v>
      </c>
      <c r="L111" s="126">
        <v>6.2960000000000002E-2</v>
      </c>
      <c r="M111" s="126">
        <v>0</v>
      </c>
      <c r="N111" s="125">
        <v>1.93</v>
      </c>
      <c r="O111" s="126">
        <v>4.444E-2</v>
      </c>
      <c r="P111" s="126">
        <v>1.5219999999999999E-2</v>
      </c>
      <c r="Q111" s="126">
        <v>0</v>
      </c>
      <c r="R111" s="126">
        <v>3.3619999999999997E-2</v>
      </c>
      <c r="S111" s="125">
        <v>1.93</v>
      </c>
      <c r="T111" s="126">
        <v>1.9720000000000001E-2</v>
      </c>
      <c r="U111" s="126">
        <v>3.2799999999999999E-3</v>
      </c>
      <c r="V111" s="126">
        <v>4.2599999999999999E-2</v>
      </c>
      <c r="W111" s="126">
        <v>0</v>
      </c>
      <c r="X111" s="125">
        <v>1.93</v>
      </c>
      <c r="Y111" s="126">
        <v>3.9720000000000005E-2</v>
      </c>
      <c r="Z111" s="126">
        <v>1.5440000000000001E-2</v>
      </c>
      <c r="AA111" s="126">
        <v>0</v>
      </c>
      <c r="AB111" s="126">
        <v>4.2639999999999997E-2</v>
      </c>
      <c r="AC111" s="125">
        <v>1.93</v>
      </c>
      <c r="AD111" s="126">
        <v>3.0020000000000002E-2</v>
      </c>
      <c r="AE111" s="126">
        <v>8.0400000000000003E-3</v>
      </c>
      <c r="AF111" s="126">
        <v>6.0420000000000001E-2</v>
      </c>
      <c r="AG111" s="126">
        <v>1.636E-2</v>
      </c>
      <c r="AH111" s="125">
        <v>1.93</v>
      </c>
      <c r="AI111" s="126">
        <v>1.9359999999999999E-2</v>
      </c>
      <c r="AJ111" s="126">
        <v>4.4200000000000003E-3</v>
      </c>
      <c r="AK111" s="126">
        <v>4.1660000000000003E-2</v>
      </c>
      <c r="AL111" s="126">
        <v>8.4400000000000013E-3</v>
      </c>
      <c r="AM111" s="125">
        <v>1.93</v>
      </c>
      <c r="AN111" s="126">
        <v>2.828E-2</v>
      </c>
      <c r="AO111" s="126">
        <v>8.8400000000000006E-3</v>
      </c>
      <c r="AP111" s="126">
        <v>5.6520000000000001E-2</v>
      </c>
      <c r="AQ111" s="126">
        <v>2.036E-2</v>
      </c>
      <c r="AR111" s="125">
        <v>1.93</v>
      </c>
      <c r="AS111" s="126">
        <v>1.8759999999999999E-2</v>
      </c>
      <c r="AT111" s="126">
        <v>5.0200000000000002E-3</v>
      </c>
      <c r="AU111" s="126">
        <v>4.0320000000000002E-2</v>
      </c>
      <c r="AV111" s="126">
        <v>1.094E-2</v>
      </c>
      <c r="AW111" s="125"/>
      <c r="AX111" s="126"/>
      <c r="AY111" s="126"/>
      <c r="AZ111" s="126"/>
      <c r="BA111" s="126"/>
      <c r="BB111" s="125"/>
      <c r="BC111" s="126"/>
      <c r="BD111" s="126"/>
      <c r="BE111" s="126"/>
      <c r="BF111" s="126"/>
    </row>
    <row r="112" spans="4:58" ht="15.5">
      <c r="D112" s="125">
        <v>1.94</v>
      </c>
      <c r="E112" s="126">
        <v>4.768E-2</v>
      </c>
      <c r="F112" s="126">
        <v>1.2660000000000001E-2</v>
      </c>
      <c r="G112" s="126">
        <v>0</v>
      </c>
      <c r="H112" s="126">
        <v>0</v>
      </c>
      <c r="I112" s="125">
        <v>1.94</v>
      </c>
      <c r="J112" s="126">
        <v>3.1120000000000002E-2</v>
      </c>
      <c r="K112" s="126">
        <v>6.0800000000000003E-3</v>
      </c>
      <c r="L112" s="126">
        <v>6.268E-2</v>
      </c>
      <c r="M112" s="126">
        <v>0</v>
      </c>
      <c r="N112" s="125">
        <v>1.94</v>
      </c>
      <c r="O112" s="126">
        <v>4.4420000000000001E-2</v>
      </c>
      <c r="P112" s="126">
        <v>1.506E-2</v>
      </c>
      <c r="Q112" s="126">
        <v>0</v>
      </c>
      <c r="R112" s="126">
        <v>3.3759999999999998E-2</v>
      </c>
      <c r="S112" s="125">
        <v>1.94</v>
      </c>
      <c r="T112" s="126">
        <v>1.966E-2</v>
      </c>
      <c r="U112" s="126">
        <v>3.2400000000000003E-3</v>
      </c>
      <c r="V112" s="126">
        <v>4.24E-2</v>
      </c>
      <c r="W112" s="126">
        <v>0</v>
      </c>
      <c r="X112" s="125">
        <v>1.94</v>
      </c>
      <c r="Y112" s="126">
        <v>3.9760000000000004E-2</v>
      </c>
      <c r="Z112" s="126">
        <v>1.532E-2</v>
      </c>
      <c r="AA112" s="126">
        <v>0</v>
      </c>
      <c r="AB112" s="126">
        <v>4.2220000000000001E-2</v>
      </c>
      <c r="AC112" s="125">
        <v>1.94</v>
      </c>
      <c r="AD112" s="126">
        <v>2.9960000000000001E-2</v>
      </c>
      <c r="AE112" s="126">
        <v>7.92E-3</v>
      </c>
      <c r="AF112" s="126">
        <v>6.0159999999999998E-2</v>
      </c>
      <c r="AG112" s="126">
        <v>1.618E-2</v>
      </c>
      <c r="AH112" s="125">
        <v>1.94</v>
      </c>
      <c r="AI112" s="126">
        <v>1.9279999999999999E-2</v>
      </c>
      <c r="AJ112" s="126">
        <v>4.3600000000000002E-3</v>
      </c>
      <c r="AK112" s="126">
        <v>4.1480000000000003E-2</v>
      </c>
      <c r="AL112" s="126">
        <v>8.320000000000001E-3</v>
      </c>
      <c r="AM112" s="125">
        <v>1.94</v>
      </c>
      <c r="AN112" s="126">
        <v>2.8240000000000001E-2</v>
      </c>
      <c r="AO112" s="126">
        <v>8.7200000000000003E-3</v>
      </c>
      <c r="AP112" s="126">
        <v>5.636E-2</v>
      </c>
      <c r="AQ112" s="126">
        <v>2.0080000000000001E-2</v>
      </c>
      <c r="AR112" s="125">
        <v>1.94</v>
      </c>
      <c r="AS112" s="126">
        <v>1.8679999999999999E-2</v>
      </c>
      <c r="AT112" s="126">
        <v>4.96E-3</v>
      </c>
      <c r="AU112" s="126">
        <v>4.0160000000000001E-2</v>
      </c>
      <c r="AV112" s="126">
        <v>1.082E-2</v>
      </c>
      <c r="AW112" s="125"/>
      <c r="AX112" s="126"/>
      <c r="AY112" s="126"/>
      <c r="AZ112" s="126"/>
      <c r="BA112" s="126"/>
      <c r="BB112" s="125"/>
      <c r="BC112" s="126"/>
      <c r="BD112" s="126"/>
      <c r="BE112" s="126"/>
      <c r="BF112" s="126"/>
    </row>
    <row r="113" spans="2:58" ht="15.5">
      <c r="B113" s="112"/>
      <c r="C113" s="112"/>
      <c r="D113" s="123">
        <v>1.95</v>
      </c>
      <c r="E113" s="124">
        <v>4.7600000000000003E-2</v>
      </c>
      <c r="F113" s="124">
        <v>1.2500000000000001E-2</v>
      </c>
      <c r="G113" s="126">
        <v>0</v>
      </c>
      <c r="H113" s="126">
        <v>0</v>
      </c>
      <c r="I113" s="123">
        <v>1.95</v>
      </c>
      <c r="J113" s="124">
        <v>3.1E-2</v>
      </c>
      <c r="K113" s="124">
        <v>6.0000000000000001E-3</v>
      </c>
      <c r="L113" s="124">
        <v>6.2399999999999997E-2</v>
      </c>
      <c r="M113" s="126">
        <v>0</v>
      </c>
      <c r="N113" s="123">
        <v>1.95</v>
      </c>
      <c r="O113" s="124">
        <v>4.4400000000000002E-2</v>
      </c>
      <c r="P113" s="124">
        <v>1.49E-2</v>
      </c>
      <c r="Q113" s="126">
        <v>0</v>
      </c>
      <c r="R113" s="124">
        <v>3.39E-2</v>
      </c>
      <c r="S113" s="123">
        <v>1.95</v>
      </c>
      <c r="T113" s="124">
        <v>1.9599999999999999E-2</v>
      </c>
      <c r="U113" s="124">
        <v>3.2000000000000002E-3</v>
      </c>
      <c r="V113" s="124">
        <v>4.2200000000000001E-2</v>
      </c>
      <c r="W113" s="126">
        <v>0</v>
      </c>
      <c r="X113" s="123">
        <v>1.95</v>
      </c>
      <c r="Y113" s="124">
        <v>3.9800000000000002E-2</v>
      </c>
      <c r="Z113" s="124">
        <v>1.52E-2</v>
      </c>
      <c r="AA113" s="126">
        <v>0</v>
      </c>
      <c r="AB113" s="124">
        <v>4.1799999999999997E-2</v>
      </c>
      <c r="AC113" s="123">
        <v>1.95</v>
      </c>
      <c r="AD113" s="124">
        <v>2.9899999999999999E-2</v>
      </c>
      <c r="AE113" s="124">
        <v>7.7999999999999996E-3</v>
      </c>
      <c r="AF113" s="124">
        <v>5.9900000000000002E-2</v>
      </c>
      <c r="AG113" s="124">
        <v>1.6E-2</v>
      </c>
      <c r="AH113" s="123">
        <v>1.95</v>
      </c>
      <c r="AI113" s="124">
        <v>1.9199999999999998E-2</v>
      </c>
      <c r="AJ113" s="124">
        <v>4.3E-3</v>
      </c>
      <c r="AK113" s="124">
        <v>4.1300000000000003E-2</v>
      </c>
      <c r="AL113" s="124">
        <v>8.2000000000000007E-3</v>
      </c>
      <c r="AM113" s="123">
        <v>1.95</v>
      </c>
      <c r="AN113" s="124">
        <v>2.8199999999999999E-2</v>
      </c>
      <c r="AO113" s="124">
        <v>8.6E-3</v>
      </c>
      <c r="AP113" s="124">
        <v>5.62E-2</v>
      </c>
      <c r="AQ113" s="124">
        <v>1.9800000000000002E-2</v>
      </c>
      <c r="AR113" s="123">
        <v>1.95</v>
      </c>
      <c r="AS113" s="124">
        <v>1.8599999999999998E-2</v>
      </c>
      <c r="AT113" s="124">
        <v>4.8999999999999998E-3</v>
      </c>
      <c r="AU113" s="124">
        <v>0.04</v>
      </c>
      <c r="AV113" s="124">
        <v>1.0699999999999999E-2</v>
      </c>
      <c r="AW113" s="123"/>
      <c r="AX113" s="124"/>
      <c r="AY113" s="124"/>
      <c r="AZ113" s="124"/>
      <c r="BA113" s="124"/>
      <c r="BB113" s="123"/>
      <c r="BC113" s="124"/>
      <c r="BD113" s="124"/>
      <c r="BE113" s="124"/>
      <c r="BF113" s="124"/>
    </row>
    <row r="114" spans="2:58" ht="15.5">
      <c r="B114" s="112"/>
      <c r="C114" s="112"/>
      <c r="D114" s="125">
        <v>1.96</v>
      </c>
      <c r="E114" s="126">
        <v>4.7540000000000006E-2</v>
      </c>
      <c r="F114" s="126">
        <v>1.2360000000000001E-2</v>
      </c>
      <c r="G114" s="126">
        <v>0</v>
      </c>
      <c r="H114" s="126">
        <v>0</v>
      </c>
      <c r="I114" s="125">
        <v>1.96</v>
      </c>
      <c r="J114" s="126">
        <v>3.0859999999999999E-2</v>
      </c>
      <c r="K114" s="126">
        <v>5.9199999999999999E-3</v>
      </c>
      <c r="L114" s="126">
        <v>6.2119999999999995E-2</v>
      </c>
      <c r="M114" s="126">
        <v>0</v>
      </c>
      <c r="N114" s="125">
        <v>1.96</v>
      </c>
      <c r="O114" s="126">
        <v>4.4380000000000003E-2</v>
      </c>
      <c r="P114" s="126">
        <v>1.4760000000000001E-2</v>
      </c>
      <c r="Q114" s="126">
        <v>0</v>
      </c>
      <c r="R114" s="126">
        <v>3.388E-2</v>
      </c>
      <c r="S114" s="125">
        <v>1.96</v>
      </c>
      <c r="T114" s="126">
        <v>1.9539999999999998E-2</v>
      </c>
      <c r="U114" s="126">
        <v>3.16E-3</v>
      </c>
      <c r="V114" s="126">
        <v>4.2000000000000003E-2</v>
      </c>
      <c r="W114" s="126">
        <v>0</v>
      </c>
      <c r="X114" s="125">
        <v>1.96</v>
      </c>
      <c r="Y114" s="126">
        <v>3.984E-2</v>
      </c>
      <c r="Z114" s="126">
        <v>1.508E-2</v>
      </c>
      <c r="AA114" s="126">
        <v>0</v>
      </c>
      <c r="AB114" s="126">
        <v>4.138E-2</v>
      </c>
      <c r="AC114" s="125">
        <v>1.96</v>
      </c>
      <c r="AD114" s="126">
        <v>2.98E-2</v>
      </c>
      <c r="AE114" s="126">
        <v>7.7199999999999994E-3</v>
      </c>
      <c r="AF114" s="126">
        <v>5.9680000000000004E-2</v>
      </c>
      <c r="AG114" s="126">
        <v>1.5740000000000001E-2</v>
      </c>
      <c r="AH114" s="125">
        <v>1.96</v>
      </c>
      <c r="AI114" s="126">
        <v>1.9139999999999997E-2</v>
      </c>
      <c r="AJ114" s="126">
        <v>4.2399999999999998E-3</v>
      </c>
      <c r="AK114" s="126">
        <v>4.1120000000000004E-2</v>
      </c>
      <c r="AL114" s="126">
        <v>8.0800000000000004E-3</v>
      </c>
      <c r="AM114" s="125">
        <v>1.96</v>
      </c>
      <c r="AN114" s="126">
        <v>2.8160000000000001E-2</v>
      </c>
      <c r="AO114" s="126">
        <v>8.5000000000000006E-3</v>
      </c>
      <c r="AP114" s="126">
        <v>5.6059999999999999E-2</v>
      </c>
      <c r="AQ114" s="126">
        <v>1.958E-2</v>
      </c>
      <c r="AR114" s="125">
        <v>1.96</v>
      </c>
      <c r="AS114" s="126">
        <v>1.8539999999999997E-2</v>
      </c>
      <c r="AT114" s="126">
        <v>4.8399999999999997E-3</v>
      </c>
      <c r="AU114" s="126">
        <v>3.984E-2</v>
      </c>
      <c r="AV114" s="126">
        <v>1.052E-2</v>
      </c>
      <c r="AW114" s="125"/>
      <c r="AX114" s="126"/>
      <c r="AY114" s="126"/>
      <c r="AZ114" s="126"/>
      <c r="BA114" s="126"/>
      <c r="BB114" s="125"/>
      <c r="BC114" s="126"/>
      <c r="BD114" s="126"/>
      <c r="BE114" s="126"/>
      <c r="BF114" s="126"/>
    </row>
    <row r="115" spans="2:58" ht="15.5">
      <c r="B115" s="112"/>
      <c r="C115" s="112"/>
      <c r="D115" s="125">
        <v>1.97</v>
      </c>
      <c r="E115" s="126">
        <v>4.7480000000000001E-2</v>
      </c>
      <c r="F115" s="126">
        <v>1.222E-2</v>
      </c>
      <c r="G115" s="126">
        <v>0</v>
      </c>
      <c r="H115" s="126">
        <v>0</v>
      </c>
      <c r="I115" s="125">
        <v>1.97</v>
      </c>
      <c r="J115" s="126">
        <v>3.0720000000000001E-2</v>
      </c>
      <c r="K115" s="126">
        <v>5.8399999999999997E-3</v>
      </c>
      <c r="L115" s="126">
        <v>6.1839999999999999E-2</v>
      </c>
      <c r="M115" s="126">
        <v>0</v>
      </c>
      <c r="N115" s="125">
        <v>1.97</v>
      </c>
      <c r="O115" s="126">
        <v>4.4360000000000004E-2</v>
      </c>
      <c r="P115" s="126">
        <v>1.4620000000000001E-2</v>
      </c>
      <c r="Q115" s="126">
        <v>0</v>
      </c>
      <c r="R115" s="126">
        <v>3.3860000000000001E-2</v>
      </c>
      <c r="S115" s="125">
        <v>1.97</v>
      </c>
      <c r="T115" s="126">
        <v>1.9480000000000001E-2</v>
      </c>
      <c r="U115" s="126">
        <v>3.1199999999999999E-3</v>
      </c>
      <c r="V115" s="126">
        <v>4.1800000000000004E-2</v>
      </c>
      <c r="W115" s="126">
        <v>0</v>
      </c>
      <c r="X115" s="125">
        <v>1.97</v>
      </c>
      <c r="Y115" s="126">
        <v>3.9879999999999999E-2</v>
      </c>
      <c r="Z115" s="126">
        <v>1.4959999999999999E-2</v>
      </c>
      <c r="AA115" s="126">
        <v>0</v>
      </c>
      <c r="AB115" s="126">
        <v>4.0959999999999996E-2</v>
      </c>
      <c r="AC115" s="125">
        <v>1.97</v>
      </c>
      <c r="AD115" s="126">
        <v>2.9700000000000001E-2</v>
      </c>
      <c r="AE115" s="126">
        <v>7.6400000000000001E-3</v>
      </c>
      <c r="AF115" s="126">
        <v>5.9459999999999999E-2</v>
      </c>
      <c r="AG115" s="126">
        <v>1.5480000000000001E-2</v>
      </c>
      <c r="AH115" s="125">
        <v>1.97</v>
      </c>
      <c r="AI115" s="126">
        <v>1.908E-2</v>
      </c>
      <c r="AJ115" s="126">
        <v>4.1799999999999997E-3</v>
      </c>
      <c r="AK115" s="126">
        <v>4.0940000000000004E-2</v>
      </c>
      <c r="AL115" s="126">
        <v>7.9600000000000001E-3</v>
      </c>
      <c r="AM115" s="125">
        <v>1.97</v>
      </c>
      <c r="AN115" s="126">
        <v>2.8119999999999999E-2</v>
      </c>
      <c r="AO115" s="126">
        <v>8.3999999999999995E-3</v>
      </c>
      <c r="AP115" s="126">
        <v>5.5919999999999997E-2</v>
      </c>
      <c r="AQ115" s="126">
        <v>1.9360000000000002E-2</v>
      </c>
      <c r="AR115" s="125">
        <v>1.97</v>
      </c>
      <c r="AS115" s="126">
        <v>1.848E-2</v>
      </c>
      <c r="AT115" s="126">
        <v>4.7799999999999995E-3</v>
      </c>
      <c r="AU115" s="126">
        <v>3.968E-2</v>
      </c>
      <c r="AV115" s="126">
        <v>1.034E-2</v>
      </c>
      <c r="AW115" s="125"/>
      <c r="AX115" s="126"/>
      <c r="AY115" s="126"/>
      <c r="AZ115" s="126"/>
      <c r="BA115" s="126"/>
      <c r="BB115" s="125"/>
      <c r="BC115" s="126"/>
      <c r="BD115" s="126"/>
      <c r="BE115" s="126"/>
      <c r="BF115" s="126"/>
    </row>
    <row r="116" spans="2:58" ht="15.5">
      <c r="B116" s="112"/>
      <c r="C116" s="112"/>
      <c r="D116" s="125">
        <v>1.98</v>
      </c>
      <c r="E116" s="126">
        <v>4.7420000000000004E-2</v>
      </c>
      <c r="F116" s="126">
        <v>1.208E-2</v>
      </c>
      <c r="G116" s="126">
        <v>0</v>
      </c>
      <c r="H116" s="126">
        <v>0</v>
      </c>
      <c r="I116" s="125">
        <v>1.98</v>
      </c>
      <c r="J116" s="126">
        <v>3.058E-2</v>
      </c>
      <c r="K116" s="126">
        <v>5.7600000000000004E-3</v>
      </c>
      <c r="L116" s="126">
        <v>6.1559999999999997E-2</v>
      </c>
      <c r="M116" s="126">
        <v>0</v>
      </c>
      <c r="N116" s="125">
        <v>1.98</v>
      </c>
      <c r="O116" s="126">
        <v>4.4339999999999997E-2</v>
      </c>
      <c r="P116" s="126">
        <v>1.448E-2</v>
      </c>
      <c r="Q116" s="126">
        <v>0</v>
      </c>
      <c r="R116" s="126">
        <v>3.3839999999999995E-2</v>
      </c>
      <c r="S116" s="125">
        <v>1.98</v>
      </c>
      <c r="T116" s="126">
        <v>1.942E-2</v>
      </c>
      <c r="U116" s="126">
        <v>3.0800000000000003E-3</v>
      </c>
      <c r="V116" s="126">
        <v>4.1599999999999998E-2</v>
      </c>
      <c r="W116" s="126">
        <v>0</v>
      </c>
      <c r="X116" s="125">
        <v>1.98</v>
      </c>
      <c r="Y116" s="126">
        <v>3.9920000000000004E-2</v>
      </c>
      <c r="Z116" s="126">
        <v>1.4840000000000001E-2</v>
      </c>
      <c r="AA116" s="126">
        <v>0</v>
      </c>
      <c r="AB116" s="126">
        <v>4.054E-2</v>
      </c>
      <c r="AC116" s="125">
        <v>1.98</v>
      </c>
      <c r="AD116" s="126">
        <v>2.9599999999999998E-2</v>
      </c>
      <c r="AE116" s="126">
        <v>7.5599999999999999E-3</v>
      </c>
      <c r="AF116" s="126">
        <v>5.9240000000000001E-2</v>
      </c>
      <c r="AG116" s="126">
        <v>1.5219999999999999E-2</v>
      </c>
      <c r="AH116" s="125">
        <v>1.98</v>
      </c>
      <c r="AI116" s="126">
        <v>1.9019999999999999E-2</v>
      </c>
      <c r="AJ116" s="126">
        <v>4.1200000000000004E-3</v>
      </c>
      <c r="AK116" s="126">
        <v>4.0759999999999998E-2</v>
      </c>
      <c r="AL116" s="126">
        <v>7.8399999999999997E-3</v>
      </c>
      <c r="AM116" s="125">
        <v>1.98</v>
      </c>
      <c r="AN116" s="126">
        <v>2.8080000000000001E-2</v>
      </c>
      <c r="AO116" s="126">
        <v>8.3000000000000001E-3</v>
      </c>
      <c r="AP116" s="126">
        <v>5.5780000000000003E-2</v>
      </c>
      <c r="AQ116" s="126">
        <v>1.9140000000000001E-2</v>
      </c>
      <c r="AR116" s="125">
        <v>1.98</v>
      </c>
      <c r="AS116" s="126">
        <v>1.8419999999999999E-2</v>
      </c>
      <c r="AT116" s="126">
        <v>4.7200000000000002E-3</v>
      </c>
      <c r="AU116" s="126">
        <v>3.952E-2</v>
      </c>
      <c r="AV116" s="126">
        <v>1.0159999999999999E-2</v>
      </c>
      <c r="AW116" s="125"/>
      <c r="AX116" s="126"/>
      <c r="AY116" s="126"/>
      <c r="AZ116" s="126"/>
      <c r="BA116" s="126"/>
      <c r="BB116" s="125"/>
      <c r="BC116" s="126"/>
      <c r="BD116" s="126"/>
      <c r="BE116" s="126"/>
      <c r="BF116" s="126"/>
    </row>
    <row r="117" spans="2:58" ht="15.5">
      <c r="B117" s="112"/>
      <c r="C117" s="112"/>
      <c r="D117" s="125">
        <v>1.99</v>
      </c>
      <c r="E117" s="126">
        <v>4.7359999999999999E-2</v>
      </c>
      <c r="F117" s="126">
        <v>1.1939999999999999E-2</v>
      </c>
      <c r="G117" s="126">
        <v>0</v>
      </c>
      <c r="H117" s="126">
        <v>0</v>
      </c>
      <c r="I117" s="125">
        <v>1.99</v>
      </c>
      <c r="J117" s="126">
        <v>3.0440000000000002E-2</v>
      </c>
      <c r="K117" s="126">
        <v>5.6800000000000002E-3</v>
      </c>
      <c r="L117" s="126">
        <v>6.1280000000000001E-2</v>
      </c>
      <c r="M117" s="126">
        <v>0</v>
      </c>
      <c r="N117" s="125">
        <v>1.99</v>
      </c>
      <c r="O117" s="126">
        <v>4.4319999999999998E-2</v>
      </c>
      <c r="P117" s="126">
        <v>1.434E-2</v>
      </c>
      <c r="Q117" s="126">
        <v>0</v>
      </c>
      <c r="R117" s="126">
        <v>3.3819999999999996E-2</v>
      </c>
      <c r="S117" s="125">
        <v>1.99</v>
      </c>
      <c r="T117" s="126">
        <v>1.9360000000000002E-2</v>
      </c>
      <c r="U117" s="126">
        <v>3.0400000000000002E-3</v>
      </c>
      <c r="V117" s="126">
        <v>4.1399999999999999E-2</v>
      </c>
      <c r="W117" s="126">
        <v>0</v>
      </c>
      <c r="X117" s="125">
        <v>1.99</v>
      </c>
      <c r="Y117" s="126">
        <v>3.9960000000000002E-2</v>
      </c>
      <c r="Z117" s="126">
        <v>1.472E-2</v>
      </c>
      <c r="AA117" s="126">
        <v>0</v>
      </c>
      <c r="AB117" s="126">
        <v>4.0119999999999996E-2</v>
      </c>
      <c r="AC117" s="125">
        <v>1.99</v>
      </c>
      <c r="AD117" s="126">
        <v>2.9499999999999998E-2</v>
      </c>
      <c r="AE117" s="126">
        <v>7.4800000000000005E-3</v>
      </c>
      <c r="AF117" s="126">
        <v>5.9019999999999996E-2</v>
      </c>
      <c r="AG117" s="126">
        <v>1.4959999999999999E-2</v>
      </c>
      <c r="AH117" s="125">
        <v>1.99</v>
      </c>
      <c r="AI117" s="126">
        <v>1.8960000000000001E-2</v>
      </c>
      <c r="AJ117" s="126">
        <v>4.0600000000000002E-3</v>
      </c>
      <c r="AK117" s="126">
        <v>4.0579999999999998E-2</v>
      </c>
      <c r="AL117" s="126">
        <v>7.7200000000000003E-3</v>
      </c>
      <c r="AM117" s="125">
        <v>1.99</v>
      </c>
      <c r="AN117" s="126">
        <v>2.8039999999999999E-2</v>
      </c>
      <c r="AO117" s="126">
        <v>8.199999999999999E-3</v>
      </c>
      <c r="AP117" s="126">
        <v>5.5640000000000002E-2</v>
      </c>
      <c r="AQ117" s="126">
        <v>1.8920000000000003E-2</v>
      </c>
      <c r="AR117" s="125">
        <v>1.99</v>
      </c>
      <c r="AS117" s="126">
        <v>1.8360000000000001E-2</v>
      </c>
      <c r="AT117" s="126">
        <v>4.6600000000000001E-3</v>
      </c>
      <c r="AU117" s="126">
        <v>3.9359999999999999E-2</v>
      </c>
      <c r="AV117" s="126">
        <v>9.9799999999999993E-3</v>
      </c>
      <c r="AW117" s="125"/>
      <c r="AX117" s="126"/>
      <c r="AY117" s="126"/>
      <c r="AZ117" s="126"/>
      <c r="BA117" s="126"/>
      <c r="BB117" s="125"/>
      <c r="BC117" s="126"/>
      <c r="BD117" s="126"/>
      <c r="BE117" s="126"/>
      <c r="BF117" s="126"/>
    </row>
    <row r="118" spans="2:58" ht="15.5">
      <c r="B118" s="112"/>
      <c r="C118" s="112"/>
      <c r="D118" s="123">
        <v>2</v>
      </c>
      <c r="E118" s="124">
        <v>4.7300000000000002E-2</v>
      </c>
      <c r="F118" s="124">
        <v>1.18E-2</v>
      </c>
      <c r="G118" s="126">
        <v>0</v>
      </c>
      <c r="H118" s="126">
        <v>0</v>
      </c>
      <c r="I118" s="123">
        <v>2</v>
      </c>
      <c r="J118" s="124">
        <v>3.0300000000000001E-2</v>
      </c>
      <c r="K118" s="124">
        <v>5.5999999999999999E-3</v>
      </c>
      <c r="L118" s="124">
        <v>6.0999999999999999E-2</v>
      </c>
      <c r="M118" s="126">
        <v>0</v>
      </c>
      <c r="N118" s="123">
        <v>2</v>
      </c>
      <c r="O118" s="124">
        <v>4.4299999999999999E-2</v>
      </c>
      <c r="P118" s="124">
        <v>1.4200000000000001E-2</v>
      </c>
      <c r="Q118" s="126">
        <v>0</v>
      </c>
      <c r="R118" s="124">
        <v>3.3799999999999997E-2</v>
      </c>
      <c r="S118" s="123">
        <v>2</v>
      </c>
      <c r="T118" s="124">
        <v>1.9300000000000001E-2</v>
      </c>
      <c r="U118" s="124">
        <v>3.0000000000000001E-3</v>
      </c>
      <c r="V118" s="124">
        <v>4.1200000000000001E-2</v>
      </c>
      <c r="W118" s="126">
        <v>0</v>
      </c>
      <c r="X118" s="123">
        <v>2</v>
      </c>
      <c r="Y118" s="124">
        <v>0.04</v>
      </c>
      <c r="Z118" s="124">
        <v>1.46E-2</v>
      </c>
      <c r="AA118" s="126">
        <v>0</v>
      </c>
      <c r="AB118" s="124">
        <v>3.9699999999999999E-2</v>
      </c>
      <c r="AC118" s="123">
        <v>2</v>
      </c>
      <c r="AD118" s="124">
        <v>2.9399999999999999E-2</v>
      </c>
      <c r="AE118" s="124">
        <v>7.4000000000000003E-3</v>
      </c>
      <c r="AF118" s="124">
        <v>5.8799999999999998E-2</v>
      </c>
      <c r="AG118" s="124">
        <v>1.47E-2</v>
      </c>
      <c r="AH118" s="123">
        <v>2</v>
      </c>
      <c r="AI118" s="124">
        <v>1.89E-2</v>
      </c>
      <c r="AJ118" s="124">
        <v>4.0000000000000001E-3</v>
      </c>
      <c r="AK118" s="124">
        <v>4.0399999999999998E-2</v>
      </c>
      <c r="AL118" s="124">
        <v>7.6E-3</v>
      </c>
      <c r="AM118" s="123">
        <v>2</v>
      </c>
      <c r="AN118" s="124">
        <v>2.8000000000000001E-2</v>
      </c>
      <c r="AO118" s="124">
        <v>8.0999999999999996E-3</v>
      </c>
      <c r="AP118" s="124">
        <v>5.5500000000000001E-2</v>
      </c>
      <c r="AQ118" s="124">
        <v>1.8700000000000001E-2</v>
      </c>
      <c r="AR118" s="123">
        <v>2</v>
      </c>
      <c r="AS118" s="124">
        <v>1.83E-2</v>
      </c>
      <c r="AT118" s="124">
        <v>4.5999999999999999E-3</v>
      </c>
      <c r="AU118" s="124">
        <v>3.9199999999999999E-2</v>
      </c>
      <c r="AV118" s="124">
        <v>9.7999999999999997E-3</v>
      </c>
      <c r="AW118" s="123"/>
      <c r="AX118" s="124"/>
      <c r="AY118" s="124"/>
      <c r="AZ118" s="124"/>
      <c r="BA118" s="124"/>
      <c r="BB118" s="123"/>
      <c r="BC118" s="124"/>
      <c r="BD118" s="124"/>
      <c r="BE118" s="124"/>
      <c r="BF118" s="124"/>
    </row>
    <row r="119" spans="2:58" ht="15.5">
      <c r="B119" s="112"/>
      <c r="C119" s="112"/>
      <c r="D119" s="112"/>
      <c r="E119" s="113"/>
      <c r="F119" s="113"/>
      <c r="G119" s="113"/>
      <c r="H119" s="113"/>
      <c r="I119" s="112"/>
      <c r="J119" s="113"/>
      <c r="K119" s="113"/>
      <c r="L119" s="113"/>
      <c r="M119" s="113"/>
      <c r="N119" s="112"/>
      <c r="O119" s="113"/>
      <c r="P119" s="113"/>
      <c r="Q119" s="113"/>
      <c r="R119" s="113"/>
      <c r="S119" s="112"/>
      <c r="T119" s="113"/>
      <c r="U119" s="113"/>
      <c r="V119" s="113"/>
      <c r="W119" s="113"/>
      <c r="X119" s="112"/>
      <c r="Y119" s="113"/>
      <c r="Z119" s="113"/>
      <c r="AA119" s="113"/>
      <c r="AB119" s="113"/>
      <c r="AC119" s="112"/>
      <c r="AD119" s="113"/>
      <c r="AE119" s="113"/>
      <c r="AF119" s="113"/>
      <c r="AG119" s="113"/>
      <c r="AH119" s="112"/>
      <c r="AI119" s="113"/>
      <c r="AJ119" s="113"/>
      <c r="AK119" s="113"/>
      <c r="AL119" s="113"/>
      <c r="AM119" s="112"/>
      <c r="AN119" s="113"/>
      <c r="AO119" s="113"/>
      <c r="AP119" s="113"/>
      <c r="AQ119" s="113"/>
      <c r="AR119" s="112"/>
      <c r="AS119" s="113"/>
      <c r="AT119" s="113"/>
      <c r="AU119" s="113"/>
      <c r="AV119" s="113"/>
      <c r="AW119" s="112"/>
      <c r="AX119" s="113"/>
      <c r="AY119" s="113"/>
      <c r="AZ119" s="113"/>
      <c r="BA119" s="113"/>
      <c r="BB119" s="112"/>
      <c r="BC119" s="113"/>
      <c r="BD119" s="113"/>
      <c r="BE119" s="113"/>
      <c r="BF119" s="113"/>
    </row>
    <row r="120" spans="2:58" ht="15.5">
      <c r="B120" s="112"/>
      <c r="C120" s="112"/>
      <c r="D120" s="112"/>
      <c r="E120" s="113"/>
      <c r="F120" s="113"/>
      <c r="G120" s="113"/>
      <c r="H120" s="113"/>
      <c r="I120" s="112"/>
      <c r="J120" s="113"/>
      <c r="K120" s="113"/>
      <c r="L120" s="113"/>
      <c r="M120" s="113"/>
      <c r="N120" s="112"/>
      <c r="O120" s="113"/>
      <c r="P120" s="113"/>
      <c r="Q120" s="113"/>
      <c r="R120" s="113"/>
      <c r="S120" s="112"/>
      <c r="T120" s="113"/>
      <c r="U120" s="113"/>
      <c r="V120" s="113"/>
      <c r="W120" s="113"/>
      <c r="X120" s="112"/>
      <c r="Y120" s="113"/>
      <c r="Z120" s="113"/>
      <c r="AA120" s="113"/>
      <c r="AB120" s="113"/>
      <c r="AC120" s="112"/>
      <c r="AD120" s="113"/>
      <c r="AE120" s="113"/>
      <c r="AF120" s="113"/>
      <c r="AG120" s="113"/>
      <c r="AH120" s="112"/>
      <c r="AI120" s="113"/>
      <c r="AJ120" s="113"/>
      <c r="AK120" s="113"/>
      <c r="AL120" s="113"/>
      <c r="AM120" s="112"/>
      <c r="AN120" s="113"/>
      <c r="AO120" s="113"/>
      <c r="AP120" s="113"/>
      <c r="AQ120" s="113"/>
      <c r="AR120" s="112"/>
      <c r="AS120" s="113"/>
      <c r="AT120" s="113"/>
      <c r="AU120" s="113"/>
      <c r="AV120" s="113"/>
      <c r="AW120" s="112"/>
      <c r="AX120" s="113"/>
      <c r="AY120" s="113"/>
      <c r="AZ120" s="113"/>
      <c r="BA120" s="113"/>
      <c r="BB120" s="112"/>
      <c r="BC120" s="113"/>
      <c r="BD120" s="113"/>
      <c r="BE120" s="113"/>
      <c r="BF120" s="113"/>
    </row>
    <row r="121" spans="2:58" ht="15.5">
      <c r="B121" s="112"/>
      <c r="C121" s="112"/>
      <c r="D121" s="112"/>
      <c r="E121" s="113"/>
      <c r="F121" s="113"/>
      <c r="G121" s="113"/>
      <c r="H121" s="113"/>
      <c r="I121" s="112"/>
      <c r="J121" s="113"/>
      <c r="K121" s="113"/>
      <c r="L121" s="113"/>
      <c r="M121" s="113"/>
      <c r="N121" s="112"/>
      <c r="O121" s="113"/>
      <c r="P121" s="113"/>
      <c r="Q121" s="113"/>
      <c r="R121" s="113"/>
      <c r="S121" s="112"/>
      <c r="T121" s="113"/>
      <c r="U121" s="113"/>
      <c r="V121" s="113"/>
      <c r="W121" s="113"/>
      <c r="X121" s="112"/>
      <c r="Y121" s="113"/>
      <c r="Z121" s="113"/>
      <c r="AA121" s="113"/>
      <c r="AB121" s="113"/>
      <c r="AC121" s="112"/>
      <c r="AD121" s="113"/>
      <c r="AE121" s="113"/>
      <c r="AF121" s="113"/>
      <c r="AG121" s="113"/>
      <c r="AH121" s="112"/>
      <c r="AI121" s="113"/>
      <c r="AJ121" s="113"/>
      <c r="AK121" s="113"/>
      <c r="AL121" s="113"/>
      <c r="AM121" s="112"/>
      <c r="AN121" s="113"/>
      <c r="AO121" s="113"/>
      <c r="AP121" s="113"/>
      <c r="AQ121" s="113"/>
      <c r="AR121" s="112"/>
      <c r="AS121" s="113"/>
      <c r="AT121" s="113"/>
      <c r="AU121" s="113"/>
      <c r="AV121" s="113"/>
      <c r="AW121" s="112"/>
      <c r="AX121" s="113"/>
      <c r="AY121" s="113"/>
      <c r="AZ121" s="113"/>
      <c r="BA121" s="113"/>
      <c r="BB121" s="112"/>
      <c r="BC121" s="113"/>
      <c r="BD121" s="113"/>
      <c r="BE121" s="113"/>
      <c r="BF121" s="113"/>
    </row>
    <row r="122" spans="2:58" ht="15.5">
      <c r="B122" s="114" t="s">
        <v>383</v>
      </c>
      <c r="C122" s="112"/>
      <c r="D122" s="120">
        <v>1</v>
      </c>
      <c r="E122" s="120">
        <v>2</v>
      </c>
      <c r="F122" s="120">
        <v>3</v>
      </c>
      <c r="G122" s="120">
        <v>4</v>
      </c>
      <c r="H122" s="120">
        <v>5</v>
      </c>
      <c r="I122" s="120">
        <v>6</v>
      </c>
      <c r="J122" s="120">
        <v>7</v>
      </c>
      <c r="K122" s="120">
        <v>8</v>
      </c>
      <c r="L122" s="120">
        <v>9</v>
      </c>
      <c r="M122" s="120">
        <v>10</v>
      </c>
      <c r="N122" s="120">
        <v>11</v>
      </c>
      <c r="O122" s="113"/>
      <c r="P122" s="113"/>
      <c r="Q122" s="113"/>
      <c r="R122" s="113"/>
      <c r="S122" s="112"/>
      <c r="T122" s="113"/>
      <c r="U122" s="113"/>
      <c r="V122" s="113"/>
      <c r="W122" s="113"/>
      <c r="X122" s="112"/>
      <c r="Y122" s="113"/>
      <c r="Z122" s="113"/>
      <c r="AA122" s="113"/>
      <c r="AB122" s="113"/>
      <c r="AC122" s="112"/>
      <c r="AD122" s="113"/>
      <c r="AE122" s="113"/>
      <c r="AF122" s="113"/>
      <c r="AG122" s="113"/>
      <c r="AH122" s="112"/>
      <c r="AI122" s="113"/>
      <c r="AJ122" s="113"/>
      <c r="AK122" s="113"/>
      <c r="AL122" s="113"/>
      <c r="AM122" s="112"/>
      <c r="AN122" s="113"/>
      <c r="AO122" s="113"/>
      <c r="AP122" s="113"/>
      <c r="AQ122" s="113"/>
      <c r="AR122" s="112"/>
      <c r="AS122" s="113"/>
      <c r="AT122" s="113"/>
      <c r="AU122" s="113"/>
      <c r="AV122" s="113"/>
      <c r="AW122" s="112"/>
      <c r="AX122" s="113"/>
      <c r="AY122" s="113"/>
      <c r="AZ122" s="113"/>
      <c r="BA122" s="113"/>
      <c r="BB122" s="112"/>
      <c r="BC122" s="113"/>
      <c r="BD122" s="113"/>
      <c r="BE122" s="113"/>
      <c r="BF122" s="113"/>
    </row>
    <row r="123" spans="2:58" ht="15.5">
      <c r="B123" s="112"/>
      <c r="C123" s="127"/>
      <c r="D123" s="128"/>
      <c r="E123" s="129"/>
      <c r="F123" s="129"/>
      <c r="G123" s="129"/>
      <c r="H123" s="129"/>
      <c r="I123" s="128"/>
      <c r="J123" s="129"/>
      <c r="K123" s="129"/>
      <c r="L123" s="129"/>
      <c r="M123" s="129"/>
      <c r="N123" s="128"/>
      <c r="O123" s="130"/>
      <c r="P123" s="130"/>
      <c r="Q123" s="130"/>
      <c r="R123" s="130"/>
      <c r="S123" s="112"/>
      <c r="T123" s="130"/>
      <c r="U123" s="130"/>
      <c r="V123" s="130"/>
      <c r="W123" s="130"/>
      <c r="X123" s="112"/>
      <c r="Y123" s="130"/>
      <c r="Z123" s="130"/>
      <c r="AA123" s="130"/>
      <c r="AB123" s="130"/>
      <c r="AC123" s="112"/>
      <c r="AD123" s="130"/>
      <c r="AE123" s="130"/>
      <c r="AF123" s="130"/>
      <c r="AG123" s="130"/>
      <c r="AH123" s="112"/>
      <c r="AI123" s="130"/>
      <c r="AJ123" s="130"/>
      <c r="AK123" s="130"/>
      <c r="AL123" s="130"/>
      <c r="AM123" s="112"/>
      <c r="AN123" s="130"/>
      <c r="AO123" s="130"/>
      <c r="AP123" s="130"/>
      <c r="AQ123" s="130"/>
      <c r="AR123" s="112"/>
      <c r="AS123" s="130"/>
      <c r="AT123" s="130"/>
      <c r="AU123" s="130"/>
      <c r="AV123" s="130"/>
      <c r="AW123" s="112"/>
      <c r="AX123" s="130"/>
      <c r="AY123" s="130"/>
      <c r="AZ123" s="130"/>
      <c r="BA123" s="130"/>
      <c r="BB123" s="112"/>
      <c r="BC123" s="130"/>
      <c r="BD123" s="130"/>
      <c r="BE123" s="130"/>
      <c r="BF123" s="130"/>
    </row>
    <row r="124" spans="2:58" ht="16">
      <c r="B124" s="112"/>
      <c r="C124" s="127"/>
      <c r="D124" s="131" t="s">
        <v>384</v>
      </c>
      <c r="E124" s="131" t="s">
        <v>385</v>
      </c>
      <c r="F124" s="131" t="s">
        <v>386</v>
      </c>
      <c r="G124" s="131" t="s">
        <v>387</v>
      </c>
      <c r="H124" s="131" t="s">
        <v>388</v>
      </c>
      <c r="I124" s="131" t="s">
        <v>389</v>
      </c>
      <c r="J124" s="131" t="s">
        <v>390</v>
      </c>
      <c r="K124" s="131" t="s">
        <v>391</v>
      </c>
      <c r="L124" s="131" t="s">
        <v>392</v>
      </c>
      <c r="M124" s="131" t="s">
        <v>393</v>
      </c>
      <c r="N124" s="131" t="s">
        <v>394</v>
      </c>
      <c r="O124" s="130"/>
      <c r="P124" s="130"/>
      <c r="Q124" s="130"/>
      <c r="R124" s="130"/>
      <c r="S124" s="112"/>
      <c r="T124" s="130"/>
      <c r="U124" s="130"/>
      <c r="V124" s="130"/>
      <c r="W124" s="130"/>
      <c r="X124" s="112"/>
      <c r="Y124" s="130"/>
      <c r="Z124" s="130"/>
      <c r="AA124" s="130"/>
      <c r="AB124" s="130"/>
      <c r="AC124" s="112"/>
      <c r="AD124" s="130"/>
      <c r="AE124" s="130"/>
      <c r="AF124" s="130"/>
      <c r="AG124" s="130"/>
      <c r="AH124" s="112"/>
      <c r="AI124" s="130"/>
      <c r="AJ124" s="130"/>
      <c r="AK124" s="130"/>
      <c r="AL124" s="130"/>
      <c r="AM124" s="112"/>
      <c r="AN124" s="130"/>
      <c r="AO124" s="130"/>
      <c r="AP124" s="130"/>
      <c r="AQ124" s="130"/>
      <c r="AR124" s="112"/>
      <c r="AS124" s="130"/>
      <c r="AT124" s="130"/>
      <c r="AU124" s="130"/>
      <c r="AV124" s="130"/>
      <c r="AW124" s="112"/>
      <c r="AX124" s="130"/>
      <c r="AY124" s="130"/>
      <c r="AZ124" s="130"/>
      <c r="BA124" s="130"/>
      <c r="BB124" s="112"/>
      <c r="BC124" s="130"/>
      <c r="BD124" s="130"/>
      <c r="BE124" s="130"/>
      <c r="BF124" s="130"/>
    </row>
    <row r="125" spans="2:58" ht="16">
      <c r="B125" s="112"/>
      <c r="C125" s="127"/>
      <c r="D125" s="131" t="s">
        <v>395</v>
      </c>
      <c r="E125" s="131" t="s">
        <v>396</v>
      </c>
      <c r="F125" s="131" t="s">
        <v>397</v>
      </c>
      <c r="G125" s="131" t="s">
        <v>398</v>
      </c>
      <c r="H125" s="131" t="s">
        <v>399</v>
      </c>
      <c r="I125" s="131" t="s">
        <v>400</v>
      </c>
      <c r="J125" s="131" t="s">
        <v>401</v>
      </c>
      <c r="K125" s="131" t="s">
        <v>402</v>
      </c>
      <c r="L125" s="131" t="s">
        <v>403</v>
      </c>
      <c r="M125" s="131" t="s">
        <v>404</v>
      </c>
      <c r="N125" s="131" t="s">
        <v>405</v>
      </c>
      <c r="O125" s="130"/>
      <c r="P125" s="130"/>
      <c r="Q125" s="130"/>
      <c r="R125" s="130"/>
      <c r="S125" s="112"/>
      <c r="T125" s="130"/>
      <c r="U125" s="130"/>
      <c r="V125" s="130"/>
      <c r="W125" s="130"/>
      <c r="X125" s="112"/>
      <c r="Y125" s="130"/>
      <c r="Z125" s="130"/>
      <c r="AA125" s="130"/>
      <c r="AB125" s="130"/>
      <c r="AC125" s="112"/>
      <c r="AD125" s="130"/>
      <c r="AE125" s="130"/>
      <c r="AF125" s="130"/>
      <c r="AG125" s="130"/>
      <c r="AH125" s="112"/>
      <c r="AI125" s="130"/>
      <c r="AJ125" s="130"/>
      <c r="AK125" s="130"/>
      <c r="AL125" s="130"/>
      <c r="AM125" s="112"/>
      <c r="AN125" s="130"/>
      <c r="AO125" s="130"/>
      <c r="AP125" s="130"/>
      <c r="AQ125" s="130"/>
      <c r="AR125" s="112"/>
      <c r="AS125" s="130"/>
      <c r="AT125" s="130"/>
      <c r="AU125" s="130"/>
      <c r="AV125" s="130"/>
      <c r="AW125" s="112"/>
      <c r="AX125" s="130"/>
      <c r="AY125" s="130"/>
      <c r="AZ125" s="130"/>
      <c r="BA125" s="130"/>
      <c r="BB125" s="112"/>
      <c r="BC125" s="130"/>
      <c r="BD125" s="130"/>
      <c r="BE125" s="130"/>
      <c r="BF125" s="130"/>
    </row>
    <row r="126" spans="2:58" ht="16">
      <c r="B126" s="112"/>
      <c r="C126" s="112"/>
      <c r="D126" s="131" t="s">
        <v>406</v>
      </c>
      <c r="E126" s="131" t="s">
        <v>407</v>
      </c>
      <c r="F126" s="131" t="s">
        <v>408</v>
      </c>
      <c r="G126" s="131" t="s">
        <v>409</v>
      </c>
      <c r="H126" s="131" t="s">
        <v>410</v>
      </c>
      <c r="I126" s="131" t="s">
        <v>411</v>
      </c>
      <c r="J126" s="131" t="s">
        <v>412</v>
      </c>
      <c r="K126" s="131" t="s">
        <v>413</v>
      </c>
      <c r="L126" s="131" t="s">
        <v>414</v>
      </c>
      <c r="M126" s="131" t="s">
        <v>415</v>
      </c>
      <c r="N126" s="131" t="s">
        <v>416</v>
      </c>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row>
    <row r="127" spans="2:58" ht="16">
      <c r="B127" s="112"/>
      <c r="C127" s="112"/>
      <c r="D127" s="131" t="s">
        <v>417</v>
      </c>
      <c r="E127" s="131" t="s">
        <v>418</v>
      </c>
      <c r="F127" s="131" t="s">
        <v>419</v>
      </c>
      <c r="G127" s="131" t="s">
        <v>420</v>
      </c>
      <c r="H127" s="131" t="s">
        <v>421</v>
      </c>
      <c r="I127" s="131" t="s">
        <v>422</v>
      </c>
      <c r="J127" s="131" t="s">
        <v>423</v>
      </c>
      <c r="K127" s="131" t="s">
        <v>424</v>
      </c>
      <c r="L127" s="131" t="s">
        <v>425</v>
      </c>
      <c r="M127" s="131" t="s">
        <v>426</v>
      </c>
      <c r="N127" s="131" t="s">
        <v>427</v>
      </c>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row>
    <row r="128" spans="2:58" ht="15.5">
      <c r="B128" s="112"/>
      <c r="C128" s="112"/>
      <c r="D128" s="116"/>
      <c r="E128" s="112"/>
      <c r="F128" s="112"/>
      <c r="G128" s="112"/>
      <c r="H128" s="112"/>
      <c r="I128" s="116"/>
      <c r="J128" s="112"/>
      <c r="K128" s="112"/>
      <c r="L128" s="112"/>
      <c r="M128" s="112"/>
      <c r="N128" s="116"/>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row>
    <row r="129" spans="4:58" ht="15.5">
      <c r="D129" s="132"/>
      <c r="E129" s="128" t="s">
        <v>428</v>
      </c>
      <c r="F129" s="128" t="s">
        <v>3</v>
      </c>
      <c r="G129" s="128" t="s">
        <v>429</v>
      </c>
      <c r="H129" s="128" t="s">
        <v>430</v>
      </c>
      <c r="I129" s="132"/>
      <c r="J129" s="128" t="s">
        <v>428</v>
      </c>
      <c r="K129" s="128" t="s">
        <v>3</v>
      </c>
      <c r="L129" s="128" t="s">
        <v>429</v>
      </c>
      <c r="M129" s="128" t="s">
        <v>430</v>
      </c>
      <c r="N129" s="132"/>
      <c r="O129" s="128" t="s">
        <v>428</v>
      </c>
      <c r="P129" s="128" t="s">
        <v>3</v>
      </c>
      <c r="Q129" s="128" t="s">
        <v>429</v>
      </c>
      <c r="R129" s="128" t="s">
        <v>430</v>
      </c>
      <c r="S129" s="132"/>
      <c r="T129" s="128" t="s">
        <v>428</v>
      </c>
      <c r="U129" s="128" t="s">
        <v>3</v>
      </c>
      <c r="V129" s="128" t="s">
        <v>429</v>
      </c>
      <c r="W129" s="128" t="s">
        <v>430</v>
      </c>
      <c r="X129" s="132"/>
      <c r="Y129" s="128" t="s">
        <v>428</v>
      </c>
      <c r="Z129" s="128" t="s">
        <v>3</v>
      </c>
      <c r="AA129" s="128" t="s">
        <v>429</v>
      </c>
      <c r="AB129" s="128" t="s">
        <v>430</v>
      </c>
      <c r="AC129" s="132"/>
      <c r="AD129" s="128" t="s">
        <v>428</v>
      </c>
      <c r="AE129" s="128" t="s">
        <v>3</v>
      </c>
      <c r="AF129" s="128" t="s">
        <v>429</v>
      </c>
      <c r="AG129" s="128" t="s">
        <v>430</v>
      </c>
      <c r="AH129" s="132"/>
      <c r="AI129" s="128" t="s">
        <v>428</v>
      </c>
      <c r="AJ129" s="128" t="s">
        <v>3</v>
      </c>
      <c r="AK129" s="128" t="s">
        <v>429</v>
      </c>
      <c r="AL129" s="128" t="s">
        <v>430</v>
      </c>
      <c r="AM129" s="132"/>
      <c r="AN129" s="128" t="s">
        <v>428</v>
      </c>
      <c r="AO129" s="128" t="s">
        <v>3</v>
      </c>
      <c r="AP129" s="128" t="s">
        <v>429</v>
      </c>
      <c r="AQ129" s="128" t="s">
        <v>430</v>
      </c>
      <c r="AR129" s="132"/>
      <c r="AS129" s="128" t="s">
        <v>428</v>
      </c>
      <c r="AT129" s="128" t="s">
        <v>3</v>
      </c>
      <c r="AU129" s="128" t="s">
        <v>429</v>
      </c>
      <c r="AV129" s="128" t="s">
        <v>430</v>
      </c>
      <c r="AW129" s="132"/>
      <c r="AX129" s="128" t="s">
        <v>428</v>
      </c>
      <c r="AY129" s="128" t="s">
        <v>3</v>
      </c>
      <c r="AZ129" s="128" t="s">
        <v>429</v>
      </c>
      <c r="BA129" s="128" t="s">
        <v>430</v>
      </c>
      <c r="BB129" s="132"/>
      <c r="BC129" s="128" t="s">
        <v>428</v>
      </c>
      <c r="BD129" s="128" t="s">
        <v>3</v>
      </c>
      <c r="BE129" s="128" t="s">
        <v>429</v>
      </c>
      <c r="BF129" s="128" t="s">
        <v>430</v>
      </c>
    </row>
    <row r="130" spans="4:58" ht="15">
      <c r="D130" s="120"/>
      <c r="E130" s="120">
        <v>1</v>
      </c>
      <c r="F130" s="120"/>
      <c r="G130" s="120"/>
      <c r="H130" s="120"/>
      <c r="I130" s="122"/>
      <c r="J130" s="120">
        <v>2</v>
      </c>
      <c r="K130" s="120"/>
      <c r="L130" s="120"/>
      <c r="M130" s="120"/>
      <c r="N130" s="120"/>
      <c r="O130" s="120">
        <v>3</v>
      </c>
      <c r="P130" s="120"/>
      <c r="Q130" s="120"/>
      <c r="R130" s="120"/>
      <c r="S130" s="122"/>
      <c r="T130" s="120">
        <v>4</v>
      </c>
      <c r="U130" s="120"/>
      <c r="V130" s="120"/>
      <c r="W130" s="120"/>
      <c r="X130" s="120"/>
      <c r="Y130" s="120">
        <v>5</v>
      </c>
      <c r="Z130" s="120"/>
      <c r="AA130" s="120"/>
      <c r="AB130" s="120"/>
      <c r="AC130" s="122"/>
      <c r="AD130" s="120">
        <v>6</v>
      </c>
      <c r="AE130" s="120"/>
      <c r="AF130" s="120"/>
      <c r="AG130" s="120"/>
      <c r="AH130" s="120"/>
      <c r="AI130" s="120">
        <v>7</v>
      </c>
      <c r="AJ130" s="120"/>
      <c r="AK130" s="120"/>
      <c r="AL130" s="120"/>
      <c r="AM130" s="122"/>
      <c r="AN130" s="120">
        <v>8</v>
      </c>
      <c r="AO130" s="120"/>
      <c r="AP130" s="120"/>
      <c r="AQ130" s="120"/>
      <c r="AR130" s="120"/>
      <c r="AS130" s="120">
        <v>9</v>
      </c>
      <c r="AT130" s="120"/>
      <c r="AU130" s="120"/>
      <c r="AV130" s="120"/>
      <c r="AW130" s="122"/>
      <c r="AX130" s="120">
        <v>10</v>
      </c>
      <c r="AY130" s="120"/>
      <c r="AZ130" s="120"/>
      <c r="BA130" s="120"/>
      <c r="BB130" s="120"/>
      <c r="BC130" s="120">
        <v>11</v>
      </c>
      <c r="BD130" s="120"/>
      <c r="BE130" s="120"/>
      <c r="BF130" s="120"/>
    </row>
    <row r="131" spans="4:58" ht="15">
      <c r="D131" s="120">
        <v>1</v>
      </c>
      <c r="E131" s="120">
        <v>2</v>
      </c>
      <c r="F131" s="120">
        <v>3</v>
      </c>
      <c r="G131" s="120">
        <v>4</v>
      </c>
      <c r="H131" s="120">
        <v>5</v>
      </c>
      <c r="I131" s="122">
        <v>6</v>
      </c>
      <c r="J131" s="122">
        <v>7</v>
      </c>
      <c r="K131" s="122">
        <v>8</v>
      </c>
      <c r="L131" s="122">
        <v>9</v>
      </c>
      <c r="M131" s="122">
        <v>10</v>
      </c>
      <c r="N131" s="120">
        <v>11</v>
      </c>
      <c r="O131" s="120">
        <v>12</v>
      </c>
      <c r="P131" s="120">
        <v>13</v>
      </c>
      <c r="Q131" s="120">
        <v>14</v>
      </c>
      <c r="R131" s="120">
        <v>15</v>
      </c>
      <c r="S131" s="122">
        <v>16</v>
      </c>
      <c r="T131" s="122">
        <v>17</v>
      </c>
      <c r="U131" s="122">
        <v>18</v>
      </c>
      <c r="V131" s="122">
        <v>19</v>
      </c>
      <c r="W131" s="122">
        <v>20</v>
      </c>
      <c r="X131" s="120">
        <v>21</v>
      </c>
      <c r="Y131" s="120">
        <v>22</v>
      </c>
      <c r="Z131" s="120">
        <v>23</v>
      </c>
      <c r="AA131" s="120">
        <v>24</v>
      </c>
      <c r="AB131" s="120">
        <v>25</v>
      </c>
      <c r="AC131" s="122">
        <v>26</v>
      </c>
      <c r="AD131" s="122">
        <v>27</v>
      </c>
      <c r="AE131" s="122">
        <v>28</v>
      </c>
      <c r="AF131" s="122">
        <v>29</v>
      </c>
      <c r="AG131" s="122">
        <v>30</v>
      </c>
      <c r="AH131" s="120">
        <v>31</v>
      </c>
      <c r="AI131" s="120">
        <v>32</v>
      </c>
      <c r="AJ131" s="120">
        <v>33</v>
      </c>
      <c r="AK131" s="120">
        <v>34</v>
      </c>
      <c r="AL131" s="120">
        <v>35</v>
      </c>
      <c r="AM131" s="122">
        <v>36</v>
      </c>
      <c r="AN131" s="122">
        <v>37</v>
      </c>
      <c r="AO131" s="122">
        <v>38</v>
      </c>
      <c r="AP131" s="122">
        <v>39</v>
      </c>
      <c r="AQ131" s="122">
        <v>40</v>
      </c>
      <c r="AR131" s="120">
        <v>41</v>
      </c>
      <c r="AS131" s="120">
        <v>42</v>
      </c>
      <c r="AT131" s="120">
        <v>43</v>
      </c>
      <c r="AU131" s="120">
        <v>44</v>
      </c>
      <c r="AV131" s="120">
        <v>45</v>
      </c>
      <c r="AW131" s="122">
        <v>46</v>
      </c>
      <c r="AX131" s="122">
        <v>47</v>
      </c>
      <c r="AY131" s="122">
        <v>48</v>
      </c>
      <c r="AZ131" s="122">
        <v>49</v>
      </c>
      <c r="BA131" s="122">
        <v>50</v>
      </c>
      <c r="BB131" s="120">
        <v>51</v>
      </c>
      <c r="BC131" s="120">
        <v>52</v>
      </c>
      <c r="BD131" s="120">
        <v>53</v>
      </c>
      <c r="BE131" s="120">
        <v>54</v>
      </c>
      <c r="BF131" s="120">
        <v>55</v>
      </c>
    </row>
    <row r="132" spans="4:58" ht="15.5">
      <c r="D132" s="132"/>
      <c r="E132" s="128"/>
      <c r="F132" s="128"/>
      <c r="G132" s="128"/>
      <c r="H132" s="128"/>
      <c r="I132" s="132"/>
      <c r="J132" s="128"/>
      <c r="K132" s="128"/>
      <c r="L132" s="128"/>
      <c r="M132" s="128"/>
      <c r="N132" s="132"/>
      <c r="O132" s="128"/>
      <c r="P132" s="128"/>
      <c r="Q132" s="128"/>
      <c r="R132" s="128"/>
      <c r="S132" s="132"/>
      <c r="T132" s="128"/>
      <c r="U132" s="128"/>
      <c r="V132" s="128"/>
      <c r="W132" s="128"/>
      <c r="X132" s="132"/>
      <c r="Y132" s="128"/>
      <c r="Z132" s="128"/>
      <c r="AA132" s="128"/>
      <c r="AB132" s="128"/>
      <c r="AC132" s="132"/>
      <c r="AD132" s="128"/>
      <c r="AE132" s="128"/>
      <c r="AF132" s="128"/>
      <c r="AG132" s="128"/>
      <c r="AH132" s="132"/>
      <c r="AI132" s="128"/>
      <c r="AJ132" s="128"/>
      <c r="AK132" s="128"/>
      <c r="AL132" s="128"/>
      <c r="AM132" s="132"/>
      <c r="AN132" s="128"/>
      <c r="AO132" s="128"/>
      <c r="AP132" s="128"/>
      <c r="AQ132" s="128"/>
      <c r="AR132" s="132"/>
      <c r="AS132" s="128"/>
      <c r="AT132" s="128"/>
      <c r="AU132" s="128"/>
      <c r="AV132" s="128"/>
      <c r="AW132" s="132"/>
      <c r="AX132" s="128"/>
      <c r="AY132" s="128"/>
      <c r="AZ132" s="128"/>
      <c r="BA132" s="128"/>
      <c r="BB132" s="132"/>
      <c r="BC132" s="128"/>
      <c r="BD132" s="128"/>
      <c r="BE132" s="128"/>
      <c r="BF132" s="128"/>
    </row>
    <row r="133" spans="4:58" ht="15">
      <c r="D133" s="120"/>
      <c r="E133" s="120"/>
      <c r="F133" s="120">
        <v>1</v>
      </c>
      <c r="G133" s="120"/>
      <c r="H133" s="120"/>
      <c r="I133" s="122"/>
      <c r="J133" s="120"/>
      <c r="K133" s="120">
        <v>2</v>
      </c>
      <c r="L133" s="120"/>
      <c r="M133" s="120"/>
      <c r="N133" s="120"/>
      <c r="O133" s="120"/>
      <c r="P133" s="120">
        <v>3</v>
      </c>
      <c r="Q133" s="120"/>
      <c r="R133" s="120"/>
      <c r="S133" s="122"/>
      <c r="T133" s="120"/>
      <c r="U133" s="120">
        <v>4</v>
      </c>
      <c r="V133" s="120"/>
      <c r="W133" s="120"/>
      <c r="X133" s="120"/>
      <c r="Y133" s="120"/>
      <c r="Z133" s="120">
        <v>5</v>
      </c>
      <c r="AA133" s="120"/>
      <c r="AB133" s="120"/>
      <c r="AC133" s="122"/>
      <c r="AD133" s="120"/>
      <c r="AE133" s="120">
        <v>6</v>
      </c>
      <c r="AF133" s="120"/>
      <c r="AG133" s="120"/>
      <c r="AH133" s="120"/>
      <c r="AI133" s="120"/>
      <c r="AJ133" s="120">
        <v>7</v>
      </c>
      <c r="AK133" s="120"/>
      <c r="AL133" s="120"/>
      <c r="AM133" s="122"/>
      <c r="AN133" s="120"/>
      <c r="AO133" s="120">
        <v>8</v>
      </c>
      <c r="AP133" s="120"/>
      <c r="AQ133" s="120"/>
      <c r="AR133" s="120"/>
      <c r="AS133" s="120"/>
      <c r="AT133" s="120">
        <v>9</v>
      </c>
      <c r="AU133" s="120"/>
      <c r="AV133" s="120"/>
      <c r="AW133" s="122"/>
      <c r="AX133" s="120"/>
      <c r="AY133" s="120">
        <v>10</v>
      </c>
      <c r="AZ133" s="120"/>
      <c r="BA133" s="120"/>
      <c r="BB133" s="120"/>
      <c r="BC133" s="120"/>
      <c r="BD133" s="120">
        <v>11</v>
      </c>
      <c r="BE133" s="120"/>
      <c r="BF133" s="120"/>
    </row>
    <row r="134" spans="4:58" ht="15">
      <c r="D134" s="120">
        <v>1</v>
      </c>
      <c r="E134" s="120">
        <v>2</v>
      </c>
      <c r="F134" s="120">
        <v>3</v>
      </c>
      <c r="G134" s="120">
        <v>4</v>
      </c>
      <c r="H134" s="120">
        <v>5</v>
      </c>
      <c r="I134" s="122">
        <v>6</v>
      </c>
      <c r="J134" s="122">
        <v>7</v>
      </c>
      <c r="K134" s="122">
        <v>8</v>
      </c>
      <c r="L134" s="122">
        <v>9</v>
      </c>
      <c r="M134" s="122">
        <v>10</v>
      </c>
      <c r="N134" s="120">
        <v>11</v>
      </c>
      <c r="O134" s="120">
        <v>12</v>
      </c>
      <c r="P134" s="120">
        <v>13</v>
      </c>
      <c r="Q134" s="120">
        <v>14</v>
      </c>
      <c r="R134" s="120">
        <v>15</v>
      </c>
      <c r="S134" s="122">
        <v>16</v>
      </c>
      <c r="T134" s="122">
        <v>17</v>
      </c>
      <c r="U134" s="122">
        <v>18</v>
      </c>
      <c r="V134" s="122">
        <v>19</v>
      </c>
      <c r="W134" s="122">
        <v>20</v>
      </c>
      <c r="X134" s="120">
        <v>21</v>
      </c>
      <c r="Y134" s="120">
        <v>22</v>
      </c>
      <c r="Z134" s="120">
        <v>23</v>
      </c>
      <c r="AA134" s="120">
        <v>24</v>
      </c>
      <c r="AB134" s="120">
        <v>25</v>
      </c>
      <c r="AC134" s="122">
        <v>26</v>
      </c>
      <c r="AD134" s="122">
        <v>27</v>
      </c>
      <c r="AE134" s="122">
        <v>28</v>
      </c>
      <c r="AF134" s="122">
        <v>29</v>
      </c>
      <c r="AG134" s="122">
        <v>30</v>
      </c>
      <c r="AH134" s="120">
        <v>31</v>
      </c>
      <c r="AI134" s="120">
        <v>32</v>
      </c>
      <c r="AJ134" s="120">
        <v>33</v>
      </c>
      <c r="AK134" s="120">
        <v>34</v>
      </c>
      <c r="AL134" s="120">
        <v>35</v>
      </c>
      <c r="AM134" s="122">
        <v>36</v>
      </c>
      <c r="AN134" s="122">
        <v>37</v>
      </c>
      <c r="AO134" s="122">
        <v>38</v>
      </c>
      <c r="AP134" s="122">
        <v>39</v>
      </c>
      <c r="AQ134" s="122">
        <v>40</v>
      </c>
      <c r="AR134" s="120">
        <v>41</v>
      </c>
      <c r="AS134" s="120">
        <v>42</v>
      </c>
      <c r="AT134" s="120">
        <v>43</v>
      </c>
      <c r="AU134" s="120">
        <v>44</v>
      </c>
      <c r="AV134" s="120">
        <v>45</v>
      </c>
      <c r="AW134" s="122">
        <v>46</v>
      </c>
      <c r="AX134" s="122">
        <v>47</v>
      </c>
      <c r="AY134" s="122">
        <v>48</v>
      </c>
      <c r="AZ134" s="122">
        <v>49</v>
      </c>
      <c r="BA134" s="122">
        <v>50</v>
      </c>
      <c r="BB134" s="120">
        <v>51</v>
      </c>
      <c r="BC134" s="120">
        <v>52</v>
      </c>
      <c r="BD134" s="120">
        <v>53</v>
      </c>
      <c r="BE134" s="120">
        <v>54</v>
      </c>
      <c r="BF134" s="120">
        <v>55</v>
      </c>
    </row>
    <row r="135" spans="4:58" ht="15.5">
      <c r="D135" s="132"/>
      <c r="E135" s="128"/>
      <c r="F135" s="128"/>
      <c r="G135" s="128"/>
      <c r="H135" s="128"/>
      <c r="I135" s="132"/>
      <c r="J135" s="128"/>
      <c r="K135" s="128"/>
      <c r="L135" s="128"/>
      <c r="M135" s="128"/>
      <c r="N135" s="132"/>
      <c r="O135" s="128"/>
      <c r="P135" s="128"/>
      <c r="Q135" s="128"/>
      <c r="R135" s="128"/>
      <c r="S135" s="132"/>
      <c r="T135" s="128"/>
      <c r="U135" s="128"/>
      <c r="V135" s="128"/>
      <c r="W135" s="128"/>
      <c r="X135" s="132"/>
      <c r="Y135" s="128"/>
      <c r="Z135" s="128"/>
      <c r="AA135" s="128"/>
      <c r="AB135" s="128"/>
      <c r="AC135" s="132"/>
      <c r="AD135" s="128"/>
      <c r="AE135" s="128"/>
      <c r="AF135" s="128"/>
      <c r="AG135" s="128"/>
      <c r="AH135" s="132"/>
      <c r="AI135" s="128"/>
      <c r="AJ135" s="128"/>
      <c r="AK135" s="128"/>
      <c r="AL135" s="128"/>
      <c r="AM135" s="132"/>
      <c r="AN135" s="128"/>
      <c r="AO135" s="128"/>
      <c r="AP135" s="128"/>
      <c r="AQ135" s="128"/>
      <c r="AR135" s="132"/>
      <c r="AS135" s="128"/>
      <c r="AT135" s="128"/>
      <c r="AU135" s="128"/>
      <c r="AV135" s="128"/>
      <c r="AW135" s="132"/>
      <c r="AX135" s="128"/>
      <c r="AY135" s="128"/>
      <c r="AZ135" s="128"/>
      <c r="BA135" s="128"/>
      <c r="BB135" s="132"/>
      <c r="BC135" s="128"/>
      <c r="BD135" s="128"/>
      <c r="BE135" s="128"/>
      <c r="BF135" s="128"/>
    </row>
    <row r="136" spans="4:58" ht="15">
      <c r="D136" s="120"/>
      <c r="E136" s="120"/>
      <c r="F136" s="120"/>
      <c r="G136" s="120">
        <v>1</v>
      </c>
      <c r="H136" s="120"/>
      <c r="I136" s="122"/>
      <c r="J136" s="120"/>
      <c r="K136" s="120"/>
      <c r="L136" s="120">
        <v>2</v>
      </c>
      <c r="M136" s="120"/>
      <c r="N136" s="120"/>
      <c r="O136" s="120"/>
      <c r="P136" s="120"/>
      <c r="Q136" s="120">
        <v>3</v>
      </c>
      <c r="R136" s="120"/>
      <c r="S136" s="122"/>
      <c r="T136" s="120"/>
      <c r="U136" s="120"/>
      <c r="V136" s="120">
        <v>4</v>
      </c>
      <c r="W136" s="120"/>
      <c r="X136" s="120"/>
      <c r="Y136" s="120"/>
      <c r="Z136" s="120"/>
      <c r="AA136" s="120">
        <v>5</v>
      </c>
      <c r="AB136" s="120"/>
      <c r="AC136" s="122"/>
      <c r="AD136" s="120"/>
      <c r="AE136" s="120"/>
      <c r="AF136" s="120">
        <v>6</v>
      </c>
      <c r="AG136" s="120"/>
      <c r="AH136" s="120"/>
      <c r="AI136" s="120"/>
      <c r="AJ136" s="120"/>
      <c r="AK136" s="120">
        <v>7</v>
      </c>
      <c r="AL136" s="120"/>
      <c r="AM136" s="122"/>
      <c r="AN136" s="120"/>
      <c r="AO136" s="120"/>
      <c r="AP136" s="120">
        <v>8</v>
      </c>
      <c r="AQ136" s="120"/>
      <c r="AR136" s="120"/>
      <c r="AS136" s="120"/>
      <c r="AT136" s="120"/>
      <c r="AU136" s="120">
        <v>9</v>
      </c>
      <c r="AV136" s="120"/>
      <c r="AW136" s="122"/>
      <c r="AX136" s="120"/>
      <c r="AY136" s="120"/>
      <c r="AZ136" s="120">
        <v>10</v>
      </c>
      <c r="BA136" s="120"/>
      <c r="BB136" s="120"/>
      <c r="BC136" s="120"/>
      <c r="BD136" s="120"/>
      <c r="BE136" s="120">
        <v>11</v>
      </c>
      <c r="BF136" s="120"/>
    </row>
    <row r="137" spans="4:58" ht="15">
      <c r="D137" s="120">
        <v>1</v>
      </c>
      <c r="E137" s="120">
        <v>2</v>
      </c>
      <c r="F137" s="120">
        <v>3</v>
      </c>
      <c r="G137" s="120">
        <v>4</v>
      </c>
      <c r="H137" s="120">
        <v>5</v>
      </c>
      <c r="I137" s="122">
        <v>6</v>
      </c>
      <c r="J137" s="122">
        <v>7</v>
      </c>
      <c r="K137" s="122">
        <v>8</v>
      </c>
      <c r="L137" s="122">
        <v>9</v>
      </c>
      <c r="M137" s="122">
        <v>10</v>
      </c>
      <c r="N137" s="120">
        <v>11</v>
      </c>
      <c r="O137" s="120">
        <v>12</v>
      </c>
      <c r="P137" s="120">
        <v>13</v>
      </c>
      <c r="Q137" s="120">
        <v>14</v>
      </c>
      <c r="R137" s="120">
        <v>15</v>
      </c>
      <c r="S137" s="122">
        <v>16</v>
      </c>
      <c r="T137" s="122">
        <v>17</v>
      </c>
      <c r="U137" s="122">
        <v>18</v>
      </c>
      <c r="V137" s="122">
        <v>19</v>
      </c>
      <c r="W137" s="122">
        <v>20</v>
      </c>
      <c r="X137" s="120">
        <v>21</v>
      </c>
      <c r="Y137" s="120">
        <v>22</v>
      </c>
      <c r="Z137" s="120">
        <v>23</v>
      </c>
      <c r="AA137" s="120">
        <v>24</v>
      </c>
      <c r="AB137" s="120">
        <v>25</v>
      </c>
      <c r="AC137" s="122">
        <v>26</v>
      </c>
      <c r="AD137" s="122">
        <v>27</v>
      </c>
      <c r="AE137" s="122">
        <v>28</v>
      </c>
      <c r="AF137" s="122">
        <v>29</v>
      </c>
      <c r="AG137" s="122">
        <v>30</v>
      </c>
      <c r="AH137" s="120">
        <v>31</v>
      </c>
      <c r="AI137" s="120">
        <v>32</v>
      </c>
      <c r="AJ137" s="120">
        <v>33</v>
      </c>
      <c r="AK137" s="120">
        <v>34</v>
      </c>
      <c r="AL137" s="120">
        <v>35</v>
      </c>
      <c r="AM137" s="122">
        <v>36</v>
      </c>
      <c r="AN137" s="122">
        <v>37</v>
      </c>
      <c r="AO137" s="122">
        <v>38</v>
      </c>
      <c r="AP137" s="122">
        <v>39</v>
      </c>
      <c r="AQ137" s="122">
        <v>40</v>
      </c>
      <c r="AR137" s="120">
        <v>41</v>
      </c>
      <c r="AS137" s="120">
        <v>42</v>
      </c>
      <c r="AT137" s="120">
        <v>43</v>
      </c>
      <c r="AU137" s="120">
        <v>44</v>
      </c>
      <c r="AV137" s="120">
        <v>45</v>
      </c>
      <c r="AW137" s="122">
        <v>46</v>
      </c>
      <c r="AX137" s="122">
        <v>47</v>
      </c>
      <c r="AY137" s="122">
        <v>48</v>
      </c>
      <c r="AZ137" s="122">
        <v>49</v>
      </c>
      <c r="BA137" s="122">
        <v>50</v>
      </c>
      <c r="BB137" s="120">
        <v>51</v>
      </c>
      <c r="BC137" s="120">
        <v>52</v>
      </c>
      <c r="BD137" s="120">
        <v>53</v>
      </c>
      <c r="BE137" s="120">
        <v>54</v>
      </c>
      <c r="BF137" s="120">
        <v>55</v>
      </c>
    </row>
    <row r="138" spans="4:58" ht="15.5">
      <c r="D138" s="132"/>
      <c r="E138" s="128"/>
      <c r="F138" s="128"/>
      <c r="G138" s="128"/>
      <c r="H138" s="128"/>
      <c r="I138" s="132"/>
      <c r="J138" s="128"/>
      <c r="K138" s="128"/>
      <c r="L138" s="128"/>
      <c r="M138" s="128"/>
      <c r="N138" s="132"/>
      <c r="O138" s="128"/>
      <c r="P138" s="128"/>
      <c r="Q138" s="128"/>
      <c r="R138" s="128"/>
      <c r="S138" s="132"/>
      <c r="T138" s="128"/>
      <c r="U138" s="128"/>
      <c r="V138" s="128"/>
      <c r="W138" s="128"/>
      <c r="X138" s="132"/>
      <c r="Y138" s="128"/>
      <c r="Z138" s="128"/>
      <c r="AA138" s="128"/>
      <c r="AB138" s="128"/>
      <c r="AC138" s="132"/>
      <c r="AD138" s="128"/>
      <c r="AE138" s="128"/>
      <c r="AF138" s="128"/>
      <c r="AG138" s="128"/>
      <c r="AH138" s="132"/>
      <c r="AI138" s="128"/>
      <c r="AJ138" s="128"/>
      <c r="AK138" s="128"/>
      <c r="AL138" s="128"/>
      <c r="AM138" s="132"/>
      <c r="AN138" s="128"/>
      <c r="AO138" s="128"/>
      <c r="AP138" s="128"/>
      <c r="AQ138" s="128"/>
      <c r="AR138" s="132"/>
      <c r="AS138" s="128"/>
      <c r="AT138" s="128"/>
      <c r="AU138" s="128"/>
      <c r="AV138" s="128"/>
      <c r="AW138" s="132"/>
      <c r="AX138" s="128"/>
      <c r="AY138" s="128"/>
      <c r="AZ138" s="128"/>
      <c r="BA138" s="128"/>
      <c r="BB138" s="132"/>
      <c r="BC138" s="128"/>
      <c r="BD138" s="128"/>
      <c r="BE138" s="128"/>
      <c r="BF138" s="128"/>
    </row>
    <row r="139" spans="4:58" ht="15">
      <c r="D139" s="120"/>
      <c r="E139" s="120"/>
      <c r="F139" s="120"/>
      <c r="G139" s="120"/>
      <c r="H139" s="120">
        <v>1</v>
      </c>
      <c r="I139" s="120"/>
      <c r="J139" s="120"/>
      <c r="K139" s="120"/>
      <c r="L139" s="120"/>
      <c r="M139" s="120">
        <v>2</v>
      </c>
      <c r="N139" s="120"/>
      <c r="O139" s="120"/>
      <c r="P139" s="120"/>
      <c r="Q139" s="120"/>
      <c r="R139" s="120">
        <v>3</v>
      </c>
      <c r="S139" s="120"/>
      <c r="T139" s="120"/>
      <c r="U139" s="120"/>
      <c r="V139" s="120"/>
      <c r="W139" s="120">
        <v>4</v>
      </c>
      <c r="X139" s="120"/>
      <c r="Y139" s="120"/>
      <c r="Z139" s="120"/>
      <c r="AA139" s="120"/>
      <c r="AB139" s="120">
        <v>5</v>
      </c>
      <c r="AC139" s="120"/>
      <c r="AD139" s="120"/>
      <c r="AE139" s="120"/>
      <c r="AF139" s="120"/>
      <c r="AG139" s="120">
        <v>6</v>
      </c>
      <c r="AH139" s="120"/>
      <c r="AI139" s="120"/>
      <c r="AJ139" s="120"/>
      <c r="AK139" s="120"/>
      <c r="AL139" s="120">
        <v>7</v>
      </c>
      <c r="AM139" s="120"/>
      <c r="AN139" s="120"/>
      <c r="AO139" s="120"/>
      <c r="AP139" s="120"/>
      <c r="AQ139" s="120">
        <v>8</v>
      </c>
      <c r="AR139" s="120"/>
      <c r="AS139" s="120"/>
      <c r="AT139" s="120"/>
      <c r="AU139" s="120"/>
      <c r="AV139" s="120">
        <v>9</v>
      </c>
      <c r="AW139" s="120"/>
      <c r="AX139" s="120"/>
      <c r="AY139" s="120"/>
      <c r="AZ139" s="120"/>
      <c r="BA139" s="120">
        <v>10</v>
      </c>
      <c r="BB139" s="120"/>
      <c r="BC139" s="120"/>
      <c r="BD139" s="120"/>
      <c r="BE139" s="120"/>
      <c r="BF139" s="120">
        <v>11</v>
      </c>
    </row>
    <row r="140" spans="4:58" ht="15">
      <c r="D140" s="120">
        <v>1</v>
      </c>
      <c r="E140" s="120">
        <v>2</v>
      </c>
      <c r="F140" s="120">
        <v>3</v>
      </c>
      <c r="G140" s="120">
        <v>4</v>
      </c>
      <c r="H140" s="120">
        <v>5</v>
      </c>
      <c r="I140" s="122">
        <v>6</v>
      </c>
      <c r="J140" s="122">
        <v>7</v>
      </c>
      <c r="K140" s="122">
        <v>8</v>
      </c>
      <c r="L140" s="122">
        <v>9</v>
      </c>
      <c r="M140" s="122">
        <v>10</v>
      </c>
      <c r="N140" s="120">
        <v>11</v>
      </c>
      <c r="O140" s="120">
        <v>12</v>
      </c>
      <c r="P140" s="120">
        <v>13</v>
      </c>
      <c r="Q140" s="120">
        <v>14</v>
      </c>
      <c r="R140" s="120">
        <v>15</v>
      </c>
      <c r="S140" s="122">
        <v>16</v>
      </c>
      <c r="T140" s="122">
        <v>17</v>
      </c>
      <c r="U140" s="122">
        <v>18</v>
      </c>
      <c r="V140" s="122">
        <v>19</v>
      </c>
      <c r="W140" s="122">
        <v>20</v>
      </c>
      <c r="X140" s="120">
        <v>21</v>
      </c>
      <c r="Y140" s="120">
        <v>22</v>
      </c>
      <c r="Z140" s="120">
        <v>23</v>
      </c>
      <c r="AA140" s="120">
        <v>24</v>
      </c>
      <c r="AB140" s="120">
        <v>25</v>
      </c>
      <c r="AC140" s="122">
        <v>26</v>
      </c>
      <c r="AD140" s="122">
        <v>27</v>
      </c>
      <c r="AE140" s="122">
        <v>28</v>
      </c>
      <c r="AF140" s="122">
        <v>29</v>
      </c>
      <c r="AG140" s="122">
        <v>30</v>
      </c>
      <c r="AH140" s="120">
        <v>31</v>
      </c>
      <c r="AI140" s="120">
        <v>32</v>
      </c>
      <c r="AJ140" s="120">
        <v>33</v>
      </c>
      <c r="AK140" s="120">
        <v>34</v>
      </c>
      <c r="AL140" s="120">
        <v>35</v>
      </c>
      <c r="AM140" s="122">
        <v>36</v>
      </c>
      <c r="AN140" s="122">
        <v>37</v>
      </c>
      <c r="AO140" s="122">
        <v>38</v>
      </c>
      <c r="AP140" s="122">
        <v>39</v>
      </c>
      <c r="AQ140" s="122">
        <v>40</v>
      </c>
      <c r="AR140" s="120">
        <v>41</v>
      </c>
      <c r="AS140" s="120">
        <v>42</v>
      </c>
      <c r="AT140" s="120">
        <v>43</v>
      </c>
      <c r="AU140" s="120">
        <v>44</v>
      </c>
      <c r="AV140" s="120">
        <v>45</v>
      </c>
      <c r="AW140" s="122">
        <v>46</v>
      </c>
      <c r="AX140" s="122">
        <v>47</v>
      </c>
      <c r="AY140" s="122">
        <v>48</v>
      </c>
      <c r="AZ140" s="122">
        <v>49</v>
      </c>
      <c r="BA140" s="122">
        <v>50</v>
      </c>
      <c r="BB140" s="120">
        <v>51</v>
      </c>
      <c r="BC140" s="120">
        <v>52</v>
      </c>
      <c r="BD140" s="120">
        <v>53</v>
      </c>
      <c r="BE140" s="120">
        <v>54</v>
      </c>
      <c r="BF140" s="120">
        <v>55</v>
      </c>
    </row>
    <row r="141" spans="4:58">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1C26-1CBD-4819-8C02-778F38698A90}">
  <sheetPr codeName="Sheet38"/>
  <dimension ref="A4:T66"/>
  <sheetViews>
    <sheetView workbookViewId="0">
      <selection activeCell="R6" sqref="R6"/>
    </sheetView>
  </sheetViews>
  <sheetFormatPr defaultColWidth="8.83203125" defaultRowHeight="14"/>
  <cols>
    <col min="19" max="19" width="12" bestFit="1" customWidth="1"/>
  </cols>
  <sheetData>
    <row r="4" spans="2:20">
      <c r="B4" s="77"/>
      <c r="C4" s="77"/>
      <c r="D4" s="77"/>
      <c r="E4" s="77"/>
      <c r="F4" s="77"/>
      <c r="G4" s="77"/>
      <c r="H4" s="77"/>
      <c r="I4" s="77"/>
      <c r="J4" s="77"/>
      <c r="K4" s="77"/>
      <c r="L4" s="77"/>
      <c r="M4" s="77"/>
      <c r="N4" s="77"/>
      <c r="O4" s="77"/>
      <c r="P4" s="77"/>
      <c r="Q4" s="77"/>
    </row>
    <row r="5" spans="2:20">
      <c r="B5" s="77"/>
      <c r="C5" s="88"/>
      <c r="D5" s="88"/>
      <c r="E5" s="88"/>
      <c r="F5" s="88"/>
      <c r="G5" s="79" t="s">
        <v>259</v>
      </c>
      <c r="H5" s="89"/>
      <c r="I5" s="88"/>
      <c r="J5" s="88"/>
      <c r="K5" s="88"/>
      <c r="L5" s="88"/>
      <c r="M5" s="88"/>
      <c r="N5" s="88"/>
      <c r="O5" s="88"/>
      <c r="P5" s="77"/>
      <c r="Q5" s="77"/>
    </row>
    <row r="6" spans="2:20">
      <c r="B6" s="77"/>
      <c r="C6" s="90"/>
      <c r="D6" s="90"/>
      <c r="E6" s="90"/>
      <c r="F6" s="90"/>
      <c r="G6" s="90"/>
      <c r="H6" s="89"/>
      <c r="I6" s="88"/>
      <c r="J6" s="88"/>
      <c r="K6" s="88"/>
      <c r="L6" s="88"/>
      <c r="M6" s="88"/>
      <c r="N6" s="88"/>
      <c r="O6" s="88"/>
      <c r="P6" s="77"/>
      <c r="Q6" s="77"/>
    </row>
    <row r="7" spans="2:20" ht="26">
      <c r="B7" s="77"/>
      <c r="C7" s="80" t="s">
        <v>260</v>
      </c>
      <c r="D7" s="1250" t="s">
        <v>261</v>
      </c>
      <c r="E7" s="1251"/>
      <c r="F7" s="81"/>
      <c r="G7" s="81"/>
      <c r="H7" s="81"/>
      <c r="I7" s="81" t="s">
        <v>261</v>
      </c>
      <c r="J7" s="81"/>
      <c r="K7" s="81"/>
      <c r="L7" s="81"/>
      <c r="M7" s="81"/>
      <c r="N7" s="81"/>
      <c r="O7" s="91"/>
      <c r="P7" s="92"/>
      <c r="Q7" s="77"/>
    </row>
    <row r="8" spans="2:20">
      <c r="B8" s="77"/>
      <c r="C8" s="82" t="s">
        <v>262</v>
      </c>
      <c r="D8" s="93"/>
      <c r="E8" s="94"/>
      <c r="F8" s="95"/>
      <c r="G8" s="95"/>
      <c r="H8" s="95"/>
      <c r="I8" s="95"/>
      <c r="J8" s="95"/>
      <c r="K8" s="95"/>
      <c r="L8" s="95"/>
      <c r="M8" s="95"/>
      <c r="N8" s="95"/>
      <c r="O8" s="94"/>
      <c r="P8" s="96"/>
      <c r="Q8" s="77"/>
    </row>
    <row r="9" spans="2:20">
      <c r="B9" s="77"/>
      <c r="C9" s="97"/>
      <c r="D9" s="97">
        <v>6</v>
      </c>
      <c r="E9" s="98"/>
      <c r="F9" s="98">
        <v>6</v>
      </c>
      <c r="G9" s="98">
        <v>8</v>
      </c>
      <c r="H9" s="98"/>
      <c r="I9" s="97">
        <v>10</v>
      </c>
      <c r="J9" s="97"/>
      <c r="K9" s="97">
        <v>12</v>
      </c>
      <c r="L9" s="97"/>
      <c r="M9" s="97">
        <v>14</v>
      </c>
      <c r="N9" s="97"/>
      <c r="O9" s="97">
        <v>16</v>
      </c>
      <c r="P9" s="92"/>
      <c r="Q9" s="77"/>
      <c r="R9">
        <v>6</v>
      </c>
      <c r="S9">
        <f>(R9/10/2)^2*PI()</f>
        <v>0.28274333882308139</v>
      </c>
      <c r="T9" t="s">
        <v>534</v>
      </c>
    </row>
    <row r="10" spans="2:20">
      <c r="B10" s="77"/>
      <c r="C10" s="82"/>
      <c r="D10" s="98"/>
      <c r="E10" s="98"/>
      <c r="F10" s="98"/>
      <c r="G10" s="98"/>
      <c r="H10" s="98"/>
      <c r="I10" s="98"/>
      <c r="J10" s="98"/>
      <c r="K10" s="98"/>
      <c r="L10" s="98"/>
      <c r="M10" s="98"/>
      <c r="N10" s="98"/>
      <c r="O10" s="82"/>
      <c r="P10" s="96"/>
      <c r="Q10" s="77"/>
      <c r="R10">
        <v>8</v>
      </c>
      <c r="S10">
        <f t="shared" ref="S10:S17" si="0">(R10/10/2)^2*PI()</f>
        <v>0.50265482457436694</v>
      </c>
      <c r="T10" t="s">
        <v>534</v>
      </c>
    </row>
    <row r="11" spans="2:20">
      <c r="B11" s="77"/>
      <c r="C11" s="99">
        <v>10</v>
      </c>
      <c r="D11" s="100">
        <v>2.83</v>
      </c>
      <c r="E11" s="83" t="s">
        <v>263</v>
      </c>
      <c r="F11" s="100">
        <v>2.83</v>
      </c>
      <c r="G11" s="101">
        <v>5.03</v>
      </c>
      <c r="H11" s="84" t="s">
        <v>264</v>
      </c>
      <c r="I11" s="100">
        <v>7.85</v>
      </c>
      <c r="J11" s="83" t="s">
        <v>265</v>
      </c>
      <c r="K11" s="101">
        <v>11.31</v>
      </c>
      <c r="L11" s="84" t="s">
        <v>266</v>
      </c>
      <c r="M11" s="100">
        <v>15.39</v>
      </c>
      <c r="N11" s="83" t="s">
        <v>267</v>
      </c>
      <c r="O11" s="101">
        <v>20.100000000000001</v>
      </c>
      <c r="P11" s="85" t="s">
        <v>268</v>
      </c>
      <c r="Q11" s="77"/>
      <c r="R11">
        <v>10</v>
      </c>
      <c r="S11">
        <f t="shared" si="0"/>
        <v>0.78539816339744828</v>
      </c>
      <c r="T11" t="s">
        <v>534</v>
      </c>
    </row>
    <row r="12" spans="2:20">
      <c r="B12" s="77"/>
      <c r="C12" s="99">
        <v>11</v>
      </c>
      <c r="D12" s="100">
        <v>2.57</v>
      </c>
      <c r="E12" s="83" t="s">
        <v>269</v>
      </c>
      <c r="F12" s="100">
        <v>2.57</v>
      </c>
      <c r="G12" s="101">
        <v>4.57</v>
      </c>
      <c r="H12" s="84" t="s">
        <v>270</v>
      </c>
      <c r="I12" s="100">
        <v>7.14</v>
      </c>
      <c r="J12" s="83" t="s">
        <v>271</v>
      </c>
      <c r="K12" s="101">
        <v>10.28</v>
      </c>
      <c r="L12" s="84" t="s">
        <v>272</v>
      </c>
      <c r="M12" s="100">
        <v>13.99</v>
      </c>
      <c r="N12" s="83" t="s">
        <v>273</v>
      </c>
      <c r="O12" s="101">
        <v>18.28</v>
      </c>
      <c r="P12" s="86" t="s">
        <v>274</v>
      </c>
      <c r="Q12" s="77"/>
      <c r="R12">
        <v>12</v>
      </c>
      <c r="S12">
        <f t="shared" si="0"/>
        <v>1.1309733552923256</v>
      </c>
      <c r="T12" t="s">
        <v>534</v>
      </c>
    </row>
    <row r="13" spans="2:20">
      <c r="B13" s="77"/>
      <c r="C13" s="99">
        <v>12</v>
      </c>
      <c r="D13" s="100">
        <v>2.36</v>
      </c>
      <c r="E13" s="83" t="s">
        <v>275</v>
      </c>
      <c r="F13" s="100">
        <v>2.36</v>
      </c>
      <c r="G13" s="101">
        <v>4.1900000000000004</v>
      </c>
      <c r="H13" s="84" t="s">
        <v>276</v>
      </c>
      <c r="I13" s="100">
        <v>6.54</v>
      </c>
      <c r="J13" s="83" t="s">
        <v>277</v>
      </c>
      <c r="K13" s="101">
        <v>9.42</v>
      </c>
      <c r="L13" s="84" t="s">
        <v>278</v>
      </c>
      <c r="M13" s="100">
        <v>12.83</v>
      </c>
      <c r="N13" s="83" t="s">
        <v>279</v>
      </c>
      <c r="O13" s="101">
        <v>16.760000000000002</v>
      </c>
      <c r="P13" s="86" t="s">
        <v>280</v>
      </c>
      <c r="Q13" s="77"/>
      <c r="R13">
        <v>14</v>
      </c>
      <c r="S13">
        <f t="shared" si="0"/>
        <v>1.5393804002589984</v>
      </c>
      <c r="T13" t="s">
        <v>534</v>
      </c>
    </row>
    <row r="14" spans="2:20">
      <c r="B14" s="77"/>
      <c r="C14" s="99">
        <v>13</v>
      </c>
      <c r="D14" s="100">
        <v>2.1800000000000002</v>
      </c>
      <c r="E14" s="83" t="s">
        <v>281</v>
      </c>
      <c r="F14" s="100">
        <v>2.1800000000000002</v>
      </c>
      <c r="G14" s="101">
        <v>3.87</v>
      </c>
      <c r="H14" s="84" t="s">
        <v>282</v>
      </c>
      <c r="I14" s="100">
        <v>6.04</v>
      </c>
      <c r="J14" s="83" t="s">
        <v>283</v>
      </c>
      <c r="K14" s="101">
        <v>8.6999999999999993</v>
      </c>
      <c r="L14" s="84" t="s">
        <v>284</v>
      </c>
      <c r="M14" s="100">
        <v>11.84</v>
      </c>
      <c r="N14" s="83" t="s">
        <v>285</v>
      </c>
      <c r="O14" s="101">
        <v>15.47</v>
      </c>
      <c r="P14" s="86" t="s">
        <v>286</v>
      </c>
      <c r="Q14" s="77"/>
      <c r="R14">
        <v>16</v>
      </c>
      <c r="S14">
        <f t="shared" si="0"/>
        <v>2.0106192982974678</v>
      </c>
      <c r="T14" t="s">
        <v>534</v>
      </c>
    </row>
    <row r="15" spans="2:20">
      <c r="B15" s="77"/>
      <c r="C15" s="99">
        <v>14</v>
      </c>
      <c r="D15" s="100">
        <v>2.02</v>
      </c>
      <c r="E15" s="83" t="s">
        <v>287</v>
      </c>
      <c r="F15" s="100">
        <v>2.02</v>
      </c>
      <c r="G15" s="101">
        <v>3.59</v>
      </c>
      <c r="H15" s="84" t="s">
        <v>288</v>
      </c>
      <c r="I15" s="100">
        <v>5.61</v>
      </c>
      <c r="J15" s="83" t="s">
        <v>289</v>
      </c>
      <c r="K15" s="101">
        <v>8.08</v>
      </c>
      <c r="L15" s="84" t="s">
        <v>290</v>
      </c>
      <c r="M15" s="100">
        <v>11</v>
      </c>
      <c r="N15" s="83" t="s">
        <v>291</v>
      </c>
      <c r="O15" s="101">
        <v>14.36</v>
      </c>
      <c r="P15" s="86" t="s">
        <v>292</v>
      </c>
      <c r="Q15" s="77"/>
      <c r="R15">
        <v>18</v>
      </c>
      <c r="S15">
        <f t="shared" si="0"/>
        <v>2.5446900494077327</v>
      </c>
      <c r="T15" t="s">
        <v>534</v>
      </c>
    </row>
    <row r="16" spans="2:20">
      <c r="B16" s="77"/>
      <c r="C16" s="99">
        <v>15</v>
      </c>
      <c r="D16" s="100">
        <v>1.89</v>
      </c>
      <c r="E16" s="83" t="s">
        <v>257</v>
      </c>
      <c r="F16" s="100">
        <v>1.89</v>
      </c>
      <c r="G16" s="101">
        <v>3.35</v>
      </c>
      <c r="H16" s="84" t="s">
        <v>293</v>
      </c>
      <c r="I16" s="100">
        <v>5.23</v>
      </c>
      <c r="J16" s="83" t="s">
        <v>294</v>
      </c>
      <c r="K16" s="101">
        <v>7.54</v>
      </c>
      <c r="L16" s="84" t="s">
        <v>295</v>
      </c>
      <c r="M16" s="100">
        <v>10.26</v>
      </c>
      <c r="N16" s="83" t="s">
        <v>296</v>
      </c>
      <c r="O16" s="101">
        <v>13.41</v>
      </c>
      <c r="P16" s="86" t="s">
        <v>297</v>
      </c>
      <c r="Q16" s="77"/>
      <c r="R16">
        <v>20</v>
      </c>
      <c r="S16">
        <f t="shared" si="0"/>
        <v>3.1415926535897931</v>
      </c>
      <c r="T16" t="s">
        <v>534</v>
      </c>
    </row>
    <row r="17" spans="1:20">
      <c r="A17" s="75"/>
      <c r="B17" s="77"/>
      <c r="C17" s="99">
        <v>20</v>
      </c>
      <c r="D17" s="100">
        <v>1.41</v>
      </c>
      <c r="E17" s="83" t="s">
        <v>255</v>
      </c>
      <c r="F17" s="100">
        <v>1.41</v>
      </c>
      <c r="G17" s="101">
        <v>2.5099999999999998</v>
      </c>
      <c r="H17" s="84" t="s">
        <v>298</v>
      </c>
      <c r="I17" s="100">
        <v>3.93</v>
      </c>
      <c r="J17" s="83" t="s">
        <v>299</v>
      </c>
      <c r="K17" s="101">
        <v>5.65</v>
      </c>
      <c r="L17" s="84" t="s">
        <v>300</v>
      </c>
      <c r="M17" s="100">
        <v>7.69</v>
      </c>
      <c r="N17" s="83" t="s">
        <v>301</v>
      </c>
      <c r="O17" s="101">
        <v>10.050000000000001</v>
      </c>
      <c r="P17" s="86" t="s">
        <v>302</v>
      </c>
      <c r="Q17" s="77"/>
      <c r="R17">
        <v>22</v>
      </c>
      <c r="S17">
        <f t="shared" si="0"/>
        <v>3.8013271108436504</v>
      </c>
      <c r="T17" t="s">
        <v>534</v>
      </c>
    </row>
    <row r="18" spans="1:20">
      <c r="A18" s="75"/>
      <c r="B18" s="77"/>
      <c r="C18" s="102"/>
      <c r="D18" s="103"/>
      <c r="E18" s="104"/>
      <c r="F18" s="103"/>
      <c r="G18" s="88"/>
      <c r="H18" s="88"/>
      <c r="I18" s="88"/>
      <c r="J18" s="88"/>
      <c r="K18" s="88"/>
      <c r="L18" s="88"/>
      <c r="M18" s="88"/>
      <c r="N18" s="88"/>
      <c r="O18" s="88"/>
      <c r="P18" s="77"/>
      <c r="Q18" s="77"/>
    </row>
    <row r="19" spans="1:20">
      <c r="A19" s="75"/>
      <c r="B19" s="77"/>
      <c r="C19" s="105"/>
      <c r="D19" s="106">
        <v>8</v>
      </c>
      <c r="E19" s="107"/>
      <c r="F19" s="106">
        <v>8</v>
      </c>
      <c r="G19" s="88"/>
      <c r="H19" s="88"/>
      <c r="I19" s="88"/>
      <c r="J19" s="88"/>
      <c r="K19" s="88"/>
      <c r="L19" s="88"/>
      <c r="M19" s="88"/>
      <c r="N19" s="88"/>
      <c r="O19" s="88"/>
      <c r="P19" s="77"/>
      <c r="Q19" s="77"/>
    </row>
    <row r="20" spans="1:20" ht="14.5">
      <c r="A20" s="76">
        <v>5.65</v>
      </c>
      <c r="B20" s="77" t="s">
        <v>300</v>
      </c>
      <c r="C20" s="99">
        <v>10</v>
      </c>
      <c r="D20" s="101">
        <v>5.03</v>
      </c>
      <c r="E20" s="84" t="s">
        <v>264</v>
      </c>
      <c r="F20" s="101">
        <v>5.03</v>
      </c>
      <c r="G20" s="88"/>
      <c r="H20" s="88"/>
      <c r="I20" s="88"/>
      <c r="J20" s="88"/>
      <c r="K20" s="88"/>
      <c r="L20" s="88"/>
      <c r="M20" s="88"/>
      <c r="N20" s="88"/>
      <c r="O20" s="88"/>
      <c r="P20" s="77"/>
      <c r="Q20" s="77"/>
    </row>
    <row r="21" spans="1:20">
      <c r="A21" s="75"/>
      <c r="B21" s="77"/>
      <c r="C21" s="99">
        <v>11</v>
      </c>
      <c r="D21" s="101">
        <v>4.57</v>
      </c>
      <c r="E21" s="84" t="s">
        <v>270</v>
      </c>
      <c r="F21" s="101">
        <v>4.57</v>
      </c>
      <c r="G21" s="88"/>
      <c r="H21" s="88"/>
      <c r="I21" s="88"/>
      <c r="J21" s="88"/>
      <c r="K21" s="88"/>
      <c r="L21" s="88"/>
      <c r="M21" s="88"/>
      <c r="N21" s="88"/>
      <c r="O21" s="88"/>
      <c r="P21" s="77"/>
      <c r="Q21" s="77"/>
    </row>
    <row r="22" spans="1:20">
      <c r="A22" s="75"/>
      <c r="B22" s="77"/>
      <c r="C22" s="99">
        <v>12</v>
      </c>
      <c r="D22" s="101">
        <v>4.1900000000000004</v>
      </c>
      <c r="E22" s="84" t="s">
        <v>276</v>
      </c>
      <c r="F22" s="101">
        <v>4.1900000000000004</v>
      </c>
      <c r="G22" s="88"/>
      <c r="H22" s="88"/>
      <c r="I22" s="88"/>
      <c r="J22" s="88"/>
      <c r="K22" s="88"/>
      <c r="L22" s="88"/>
      <c r="M22" s="88"/>
      <c r="N22" s="88"/>
      <c r="O22" s="88"/>
      <c r="P22" s="77"/>
      <c r="Q22" s="77"/>
    </row>
    <row r="23" spans="1:20">
      <c r="A23" s="75"/>
      <c r="B23" s="77"/>
      <c r="C23" s="99">
        <v>13</v>
      </c>
      <c r="D23" s="101">
        <v>3.87</v>
      </c>
      <c r="E23" s="84" t="s">
        <v>282</v>
      </c>
      <c r="F23" s="101">
        <v>3.87</v>
      </c>
      <c r="G23" s="88"/>
      <c r="H23" s="88"/>
      <c r="I23" s="88"/>
      <c r="J23" s="88"/>
      <c r="K23" s="88"/>
      <c r="L23" s="88"/>
      <c r="M23" s="88"/>
      <c r="N23" s="88"/>
      <c r="O23" s="88"/>
      <c r="P23" s="77"/>
      <c r="Q23" s="77"/>
    </row>
    <row r="24" spans="1:20">
      <c r="A24" s="75"/>
      <c r="B24" s="77"/>
      <c r="C24" s="99">
        <v>14</v>
      </c>
      <c r="D24" s="101">
        <v>3.59</v>
      </c>
      <c r="E24" s="84" t="s">
        <v>288</v>
      </c>
      <c r="F24" s="101">
        <v>3.59</v>
      </c>
      <c r="G24" s="88"/>
      <c r="H24" s="88"/>
      <c r="I24" s="88"/>
      <c r="J24" s="88"/>
      <c r="K24" s="88"/>
      <c r="L24" s="88"/>
      <c r="M24" s="88"/>
      <c r="N24" s="88"/>
      <c r="O24" s="88"/>
      <c r="P24" s="77"/>
      <c r="Q24" s="77"/>
    </row>
    <row r="25" spans="1:20">
      <c r="A25" s="75"/>
      <c r="B25" s="77"/>
      <c r="C25" s="99">
        <v>15</v>
      </c>
      <c r="D25" s="101">
        <v>3.35</v>
      </c>
      <c r="E25" s="84" t="s">
        <v>293</v>
      </c>
      <c r="F25" s="101">
        <v>3.35</v>
      </c>
      <c r="G25" s="88"/>
      <c r="H25" s="88"/>
      <c r="I25" s="88"/>
      <c r="J25" s="88"/>
      <c r="K25" s="88"/>
      <c r="L25" s="88"/>
      <c r="M25" s="88"/>
      <c r="N25" s="88"/>
      <c r="O25" s="88"/>
      <c r="P25" s="77"/>
      <c r="Q25" s="77"/>
    </row>
    <row r="26" spans="1:20">
      <c r="A26" s="75"/>
      <c r="B26" s="77"/>
      <c r="C26" s="99">
        <v>20</v>
      </c>
      <c r="D26" s="101">
        <v>2.5099999999999998</v>
      </c>
      <c r="E26" s="84" t="s">
        <v>298</v>
      </c>
      <c r="F26" s="101">
        <v>2.5099999999999998</v>
      </c>
      <c r="G26" s="88"/>
      <c r="H26" s="88"/>
      <c r="I26" s="88"/>
      <c r="J26" s="88"/>
      <c r="K26" s="88"/>
      <c r="L26" s="88"/>
      <c r="M26" s="88"/>
      <c r="N26" s="88"/>
      <c r="O26" s="88"/>
      <c r="P26" s="77"/>
      <c r="Q26" s="77"/>
    </row>
    <row r="27" spans="1:20">
      <c r="A27" s="75"/>
      <c r="B27" s="77"/>
      <c r="C27" s="102"/>
      <c r="D27" s="103"/>
      <c r="E27" s="104"/>
      <c r="F27" s="103"/>
      <c r="G27" s="88"/>
      <c r="H27" s="88"/>
      <c r="I27" s="88"/>
      <c r="J27" s="88"/>
      <c r="K27" s="88"/>
      <c r="L27" s="88"/>
      <c r="M27" s="88"/>
      <c r="N27" s="88"/>
      <c r="O27" s="88"/>
      <c r="P27" s="77"/>
      <c r="Q27" s="77"/>
    </row>
    <row r="28" spans="1:20">
      <c r="A28" s="75"/>
      <c r="B28" s="77"/>
      <c r="C28" s="105"/>
      <c r="D28" s="106">
        <v>10</v>
      </c>
      <c r="E28" s="107"/>
      <c r="F28" s="106">
        <v>10</v>
      </c>
      <c r="G28" s="88"/>
      <c r="H28" s="88"/>
      <c r="I28" s="88"/>
      <c r="J28" s="88"/>
      <c r="K28" s="88"/>
      <c r="L28" s="88"/>
      <c r="M28" s="88"/>
      <c r="N28" s="88"/>
      <c r="O28" s="88"/>
      <c r="P28" s="77"/>
      <c r="Q28" s="77"/>
    </row>
    <row r="29" spans="1:20">
      <c r="A29" s="75"/>
      <c r="B29" s="77"/>
      <c r="C29" s="99">
        <v>10</v>
      </c>
      <c r="D29" s="100">
        <v>7.85</v>
      </c>
      <c r="E29" s="83" t="s">
        <v>265</v>
      </c>
      <c r="F29" s="100">
        <v>7.85</v>
      </c>
      <c r="G29" s="88"/>
      <c r="H29" s="88"/>
      <c r="I29" s="88"/>
      <c r="J29" s="88"/>
      <c r="K29" s="88"/>
      <c r="L29" s="88"/>
      <c r="M29" s="88"/>
      <c r="N29" s="88"/>
      <c r="O29" s="88"/>
      <c r="P29" s="77"/>
      <c r="Q29" s="77"/>
    </row>
    <row r="30" spans="1:20">
      <c r="A30" s="75"/>
      <c r="B30" s="77"/>
      <c r="C30" s="99">
        <v>11</v>
      </c>
      <c r="D30" s="100">
        <v>7.14</v>
      </c>
      <c r="E30" s="83" t="s">
        <v>271</v>
      </c>
      <c r="F30" s="100">
        <v>7.14</v>
      </c>
      <c r="G30" s="88"/>
      <c r="H30" s="88"/>
      <c r="I30" s="88"/>
      <c r="J30" s="88"/>
      <c r="K30" s="88"/>
      <c r="L30" s="88"/>
      <c r="M30" s="88"/>
      <c r="N30" s="88"/>
      <c r="O30" s="88"/>
      <c r="P30" s="77"/>
      <c r="Q30" s="77"/>
    </row>
    <row r="31" spans="1:20">
      <c r="A31" s="75"/>
      <c r="B31" s="77"/>
      <c r="C31" s="99">
        <v>12</v>
      </c>
      <c r="D31" s="100">
        <v>6.54</v>
      </c>
      <c r="E31" s="83" t="s">
        <v>277</v>
      </c>
      <c r="F31" s="100">
        <v>6.54</v>
      </c>
      <c r="G31" s="88"/>
      <c r="H31" s="88"/>
      <c r="I31" s="88"/>
      <c r="J31" s="88"/>
      <c r="K31" s="88"/>
      <c r="L31" s="88"/>
      <c r="M31" s="88"/>
      <c r="N31" s="88"/>
      <c r="O31" s="88"/>
      <c r="P31" s="77"/>
      <c r="Q31" s="77"/>
    </row>
    <row r="32" spans="1:20">
      <c r="A32" s="75"/>
      <c r="B32" s="77"/>
      <c r="C32" s="99">
        <v>13</v>
      </c>
      <c r="D32" s="100">
        <v>6.04</v>
      </c>
      <c r="E32" s="83" t="s">
        <v>283</v>
      </c>
      <c r="F32" s="100">
        <v>6.04</v>
      </c>
      <c r="G32" s="88"/>
      <c r="H32" s="88"/>
      <c r="I32" s="88"/>
      <c r="J32" s="88"/>
      <c r="K32" s="88"/>
      <c r="L32" s="88"/>
      <c r="M32" s="88"/>
      <c r="N32" s="88"/>
      <c r="O32" s="88"/>
      <c r="P32" s="77"/>
      <c r="Q32" s="77"/>
    </row>
    <row r="33" spans="2:17">
      <c r="B33" s="77"/>
      <c r="C33" s="99">
        <v>14</v>
      </c>
      <c r="D33" s="100">
        <v>5.61</v>
      </c>
      <c r="E33" s="83" t="s">
        <v>289</v>
      </c>
      <c r="F33" s="100">
        <v>5.61</v>
      </c>
      <c r="G33" s="88"/>
      <c r="H33" s="88"/>
      <c r="I33" s="88"/>
      <c r="J33" s="88"/>
      <c r="K33" s="88"/>
      <c r="L33" s="88"/>
      <c r="M33" s="88"/>
      <c r="N33" s="88"/>
      <c r="O33" s="88"/>
      <c r="P33" s="77"/>
      <c r="Q33" s="77"/>
    </row>
    <row r="34" spans="2:17">
      <c r="B34" s="77"/>
      <c r="C34" s="99">
        <v>15</v>
      </c>
      <c r="D34" s="100">
        <v>5.23</v>
      </c>
      <c r="E34" s="83" t="s">
        <v>294</v>
      </c>
      <c r="F34" s="100">
        <v>5.23</v>
      </c>
      <c r="G34" s="88"/>
      <c r="H34" s="88"/>
      <c r="I34" s="88"/>
      <c r="J34" s="88"/>
      <c r="K34" s="88"/>
      <c r="L34" s="88"/>
      <c r="M34" s="88"/>
      <c r="N34" s="88"/>
      <c r="O34" s="88"/>
      <c r="P34" s="77"/>
      <c r="Q34" s="77"/>
    </row>
    <row r="35" spans="2:17">
      <c r="B35" s="77"/>
      <c r="C35" s="99">
        <v>20</v>
      </c>
      <c r="D35" s="100">
        <v>3.93</v>
      </c>
      <c r="E35" s="83" t="s">
        <v>299</v>
      </c>
      <c r="F35" s="100">
        <v>3.93</v>
      </c>
      <c r="G35" s="88"/>
      <c r="H35" s="88"/>
      <c r="I35" s="88"/>
      <c r="J35" s="88"/>
      <c r="K35" s="88"/>
      <c r="L35" s="88"/>
      <c r="M35" s="88"/>
      <c r="N35" s="88"/>
      <c r="O35" s="88"/>
      <c r="P35" s="77"/>
      <c r="Q35" s="77"/>
    </row>
    <row r="36" spans="2:17">
      <c r="B36" s="77"/>
      <c r="C36" s="102"/>
      <c r="D36" s="103"/>
      <c r="E36" s="104"/>
      <c r="F36" s="103"/>
      <c r="G36" s="88"/>
      <c r="H36" s="88"/>
      <c r="I36" s="88"/>
      <c r="J36" s="88"/>
      <c r="K36" s="88"/>
      <c r="L36" s="88"/>
      <c r="M36" s="88"/>
      <c r="N36" s="88"/>
      <c r="O36" s="88"/>
      <c r="P36" s="77"/>
      <c r="Q36" s="77"/>
    </row>
    <row r="37" spans="2:17">
      <c r="B37" s="77"/>
      <c r="C37" s="105"/>
      <c r="D37" s="106">
        <v>12</v>
      </c>
      <c r="E37" s="107"/>
      <c r="F37" s="106">
        <v>12</v>
      </c>
      <c r="G37" s="88"/>
      <c r="H37" s="88"/>
      <c r="I37" s="88"/>
      <c r="J37" s="88"/>
      <c r="K37" s="88"/>
      <c r="L37" s="88"/>
      <c r="M37" s="88"/>
      <c r="N37" s="88"/>
      <c r="O37" s="88"/>
      <c r="P37" s="77"/>
      <c r="Q37" s="77"/>
    </row>
    <row r="38" spans="2:17">
      <c r="B38" s="77"/>
      <c r="C38" s="99">
        <v>10</v>
      </c>
      <c r="D38" s="101">
        <v>11.31</v>
      </c>
      <c r="E38" s="84" t="s">
        <v>266</v>
      </c>
      <c r="F38" s="101">
        <v>11.31</v>
      </c>
      <c r="G38" s="88"/>
      <c r="H38" s="88"/>
      <c r="I38" s="88"/>
      <c r="J38" s="88"/>
      <c r="K38" s="88"/>
      <c r="L38" s="88"/>
      <c r="M38" s="88"/>
      <c r="N38" s="88"/>
      <c r="O38" s="88"/>
      <c r="P38" s="77"/>
      <c r="Q38" s="77"/>
    </row>
    <row r="39" spans="2:17">
      <c r="B39" s="77"/>
      <c r="C39" s="99">
        <v>11</v>
      </c>
      <c r="D39" s="101">
        <v>10.28</v>
      </c>
      <c r="E39" s="84" t="s">
        <v>272</v>
      </c>
      <c r="F39" s="101">
        <v>10.28</v>
      </c>
      <c r="G39" s="88"/>
      <c r="H39" s="88"/>
      <c r="I39" s="88"/>
      <c r="J39" s="88"/>
      <c r="K39" s="88"/>
      <c r="L39" s="88"/>
      <c r="M39" s="88"/>
      <c r="N39" s="88"/>
      <c r="O39" s="88"/>
      <c r="P39" s="77"/>
      <c r="Q39" s="77"/>
    </row>
    <row r="40" spans="2:17">
      <c r="B40" s="77"/>
      <c r="C40" s="99">
        <v>12</v>
      </c>
      <c r="D40" s="101">
        <v>9.42</v>
      </c>
      <c r="E40" s="84" t="s">
        <v>278</v>
      </c>
      <c r="F40" s="101">
        <v>9.42</v>
      </c>
      <c r="G40" s="88"/>
      <c r="H40" s="88"/>
      <c r="I40" s="88"/>
      <c r="J40" s="88"/>
      <c r="K40" s="88"/>
      <c r="L40" s="88"/>
      <c r="M40" s="88"/>
      <c r="N40" s="88"/>
      <c r="O40" s="88"/>
      <c r="P40" s="77"/>
      <c r="Q40" s="77"/>
    </row>
    <row r="41" spans="2:17">
      <c r="B41" s="77"/>
      <c r="C41" s="99">
        <v>13</v>
      </c>
      <c r="D41" s="101">
        <v>8.6999999999999993</v>
      </c>
      <c r="E41" s="84" t="s">
        <v>284</v>
      </c>
      <c r="F41" s="101">
        <v>8.6999999999999993</v>
      </c>
      <c r="G41" s="88"/>
      <c r="H41" s="88"/>
      <c r="I41" s="88"/>
      <c r="J41" s="88"/>
      <c r="K41" s="88"/>
      <c r="L41" s="88"/>
      <c r="M41" s="88"/>
      <c r="N41" s="88"/>
      <c r="O41" s="88"/>
      <c r="P41" s="77"/>
      <c r="Q41" s="77"/>
    </row>
    <row r="42" spans="2:17">
      <c r="B42" s="77"/>
      <c r="C42" s="99">
        <v>14</v>
      </c>
      <c r="D42" s="101">
        <v>8.08</v>
      </c>
      <c r="E42" s="84" t="s">
        <v>290</v>
      </c>
      <c r="F42" s="101">
        <v>8.08</v>
      </c>
      <c r="G42" s="88"/>
      <c r="H42" s="88"/>
      <c r="I42" s="88"/>
      <c r="J42" s="88"/>
      <c r="K42" s="88"/>
      <c r="L42" s="88"/>
      <c r="M42" s="88"/>
      <c r="N42" s="88"/>
      <c r="O42" s="88"/>
      <c r="P42" s="77"/>
      <c r="Q42" s="77"/>
    </row>
    <row r="43" spans="2:17">
      <c r="B43" s="77"/>
      <c r="C43" s="99">
        <v>15</v>
      </c>
      <c r="D43" s="101">
        <v>7.54</v>
      </c>
      <c r="E43" s="84" t="s">
        <v>295</v>
      </c>
      <c r="F43" s="101">
        <v>7.54</v>
      </c>
      <c r="G43" s="88"/>
      <c r="H43" s="88"/>
      <c r="I43" s="88"/>
      <c r="J43" s="88"/>
      <c r="K43" s="88"/>
      <c r="L43" s="88"/>
      <c r="M43" s="88"/>
      <c r="N43" s="88"/>
      <c r="O43" s="88"/>
      <c r="P43" s="77"/>
      <c r="Q43" s="77"/>
    </row>
    <row r="44" spans="2:17">
      <c r="B44" s="77"/>
      <c r="C44" s="99">
        <v>20</v>
      </c>
      <c r="D44" s="101">
        <v>5.65</v>
      </c>
      <c r="E44" s="84" t="s">
        <v>300</v>
      </c>
      <c r="F44" s="101">
        <v>5.65</v>
      </c>
      <c r="G44" s="88"/>
      <c r="H44" s="88"/>
      <c r="I44" s="88"/>
      <c r="J44" s="88"/>
      <c r="K44" s="88"/>
      <c r="L44" s="88"/>
      <c r="M44" s="88"/>
      <c r="N44" s="88"/>
      <c r="O44" s="88"/>
      <c r="P44" s="77"/>
      <c r="Q44" s="77"/>
    </row>
    <row r="45" spans="2:17">
      <c r="B45" s="77"/>
      <c r="C45" s="102"/>
      <c r="D45" s="103"/>
      <c r="E45" s="104"/>
      <c r="F45" s="103"/>
      <c r="G45" s="88"/>
      <c r="H45" s="88"/>
      <c r="I45" s="88"/>
      <c r="J45" s="88"/>
      <c r="K45" s="88"/>
      <c r="L45" s="88"/>
      <c r="M45" s="88"/>
      <c r="N45" s="88"/>
      <c r="O45" s="88"/>
      <c r="P45" s="77"/>
      <c r="Q45" s="77"/>
    </row>
    <row r="46" spans="2:17">
      <c r="B46" s="77"/>
      <c r="C46" s="105"/>
      <c r="D46" s="106">
        <v>14</v>
      </c>
      <c r="E46" s="107"/>
      <c r="F46" s="106">
        <v>14</v>
      </c>
      <c r="G46" s="88"/>
      <c r="H46" s="88"/>
      <c r="I46" s="88"/>
      <c r="J46" s="88"/>
      <c r="K46" s="88"/>
      <c r="L46" s="88"/>
      <c r="M46" s="88"/>
      <c r="N46" s="88"/>
      <c r="O46" s="88"/>
      <c r="P46" s="77"/>
      <c r="Q46" s="77"/>
    </row>
    <row r="47" spans="2:17">
      <c r="B47" s="77"/>
      <c r="C47" s="99">
        <v>10</v>
      </c>
      <c r="D47" s="100">
        <v>15.39</v>
      </c>
      <c r="E47" s="83" t="s">
        <v>267</v>
      </c>
      <c r="F47" s="100">
        <v>15.39</v>
      </c>
      <c r="G47" s="88"/>
      <c r="H47" s="88"/>
      <c r="I47" s="88"/>
      <c r="J47" s="88"/>
      <c r="K47" s="88"/>
      <c r="L47" s="88"/>
      <c r="M47" s="88"/>
      <c r="N47" s="88"/>
      <c r="O47" s="88"/>
      <c r="P47" s="77"/>
      <c r="Q47" s="77"/>
    </row>
    <row r="48" spans="2:17">
      <c r="B48" s="77"/>
      <c r="C48" s="99">
        <v>11</v>
      </c>
      <c r="D48" s="100">
        <v>13.99</v>
      </c>
      <c r="E48" s="83" t="s">
        <v>273</v>
      </c>
      <c r="F48" s="100">
        <v>13.99</v>
      </c>
      <c r="G48" s="88"/>
      <c r="H48" s="88"/>
      <c r="I48" s="88"/>
      <c r="J48" s="88"/>
      <c r="K48" s="88"/>
      <c r="L48" s="88"/>
      <c r="M48" s="88"/>
      <c r="N48" s="88"/>
      <c r="O48" s="88"/>
      <c r="P48" s="77"/>
      <c r="Q48" s="77"/>
    </row>
    <row r="49" spans="2:17">
      <c r="B49" s="77"/>
      <c r="C49" s="99">
        <v>12</v>
      </c>
      <c r="D49" s="100">
        <v>12.83</v>
      </c>
      <c r="E49" s="83" t="s">
        <v>279</v>
      </c>
      <c r="F49" s="100">
        <v>12.83</v>
      </c>
      <c r="G49" s="88"/>
      <c r="H49" s="88"/>
      <c r="I49" s="88"/>
      <c r="J49" s="88"/>
      <c r="K49" s="88"/>
      <c r="L49" s="88"/>
      <c r="M49" s="88"/>
      <c r="N49" s="88"/>
      <c r="O49" s="88"/>
      <c r="P49" s="77"/>
      <c r="Q49" s="77"/>
    </row>
    <row r="50" spans="2:17">
      <c r="B50" s="77"/>
      <c r="C50" s="99">
        <v>13</v>
      </c>
      <c r="D50" s="100">
        <v>11.84</v>
      </c>
      <c r="E50" s="83" t="s">
        <v>285</v>
      </c>
      <c r="F50" s="100">
        <v>11.84</v>
      </c>
      <c r="G50" s="88"/>
      <c r="H50" s="88"/>
      <c r="I50" s="88"/>
      <c r="J50" s="88"/>
      <c r="K50" s="88"/>
      <c r="L50" s="88"/>
      <c r="M50" s="88"/>
      <c r="N50" s="88"/>
      <c r="O50" s="88"/>
      <c r="P50" s="77"/>
      <c r="Q50" s="77"/>
    </row>
    <row r="51" spans="2:17">
      <c r="B51" s="77"/>
      <c r="C51" s="99">
        <v>14</v>
      </c>
      <c r="D51" s="100">
        <v>11</v>
      </c>
      <c r="E51" s="83" t="s">
        <v>291</v>
      </c>
      <c r="F51" s="100">
        <v>11</v>
      </c>
      <c r="G51" s="88"/>
      <c r="H51" s="88"/>
      <c r="I51" s="88"/>
      <c r="J51" s="88"/>
      <c r="K51" s="88"/>
      <c r="L51" s="88"/>
      <c r="M51" s="88"/>
      <c r="N51" s="88"/>
      <c r="O51" s="88"/>
      <c r="P51" s="77"/>
      <c r="Q51" s="77"/>
    </row>
    <row r="52" spans="2:17">
      <c r="B52" s="77"/>
      <c r="C52" s="99">
        <v>15</v>
      </c>
      <c r="D52" s="100">
        <v>10.26</v>
      </c>
      <c r="E52" s="83" t="s">
        <v>296</v>
      </c>
      <c r="F52" s="100">
        <v>10.26</v>
      </c>
      <c r="G52" s="88"/>
      <c r="H52" s="88"/>
      <c r="I52" s="88"/>
      <c r="J52" s="88"/>
      <c r="K52" s="88"/>
      <c r="L52" s="88"/>
      <c r="M52" s="88"/>
      <c r="N52" s="88"/>
      <c r="O52" s="88"/>
      <c r="P52" s="77"/>
      <c r="Q52" s="77"/>
    </row>
    <row r="53" spans="2:17">
      <c r="B53" s="77"/>
      <c r="C53" s="99">
        <v>20</v>
      </c>
      <c r="D53" s="100">
        <v>7.69</v>
      </c>
      <c r="E53" s="83" t="s">
        <v>301</v>
      </c>
      <c r="F53" s="100">
        <v>7.69</v>
      </c>
      <c r="G53" s="88"/>
      <c r="H53" s="88"/>
      <c r="I53" s="88"/>
      <c r="J53" s="88"/>
      <c r="K53" s="88"/>
      <c r="L53" s="88"/>
      <c r="M53" s="88"/>
      <c r="N53" s="88"/>
      <c r="O53" s="88"/>
      <c r="P53" s="77"/>
      <c r="Q53" s="77"/>
    </row>
    <row r="54" spans="2:17">
      <c r="B54" s="77"/>
      <c r="C54" s="102"/>
      <c r="D54" s="103"/>
      <c r="E54" s="104"/>
      <c r="F54" s="103"/>
      <c r="G54" s="88"/>
      <c r="H54" s="88"/>
      <c r="I54" s="88"/>
      <c r="J54" s="88"/>
      <c r="K54" s="88"/>
      <c r="L54" s="88"/>
      <c r="M54" s="88"/>
      <c r="N54" s="88"/>
      <c r="O54" s="88"/>
      <c r="P54" s="77"/>
      <c r="Q54" s="77"/>
    </row>
    <row r="55" spans="2:17">
      <c r="B55" s="77"/>
      <c r="C55" s="105"/>
      <c r="D55" s="106">
        <v>16</v>
      </c>
      <c r="E55" s="108"/>
      <c r="F55" s="106">
        <v>16</v>
      </c>
      <c r="G55" s="88"/>
      <c r="H55" s="88"/>
      <c r="I55" s="88"/>
      <c r="J55" s="88"/>
      <c r="K55" s="88"/>
      <c r="L55" s="88"/>
      <c r="M55" s="88"/>
      <c r="N55" s="88"/>
      <c r="O55" s="88"/>
      <c r="P55" s="77"/>
      <c r="Q55" s="77"/>
    </row>
    <row r="56" spans="2:17">
      <c r="B56" s="77"/>
      <c r="C56" s="99">
        <v>10</v>
      </c>
      <c r="D56" s="101">
        <v>20.100000000000001</v>
      </c>
      <c r="E56" s="87" t="s">
        <v>268</v>
      </c>
      <c r="F56" s="101">
        <v>20.100000000000001</v>
      </c>
      <c r="G56" s="88"/>
      <c r="H56" s="88"/>
      <c r="I56" s="88"/>
      <c r="J56" s="88"/>
      <c r="K56" s="88"/>
      <c r="L56" s="88"/>
      <c r="M56" s="88"/>
      <c r="N56" s="88"/>
      <c r="O56" s="88"/>
      <c r="P56" s="77"/>
      <c r="Q56" s="77"/>
    </row>
    <row r="57" spans="2:17">
      <c r="B57" s="77"/>
      <c r="C57" s="99">
        <v>11</v>
      </c>
      <c r="D57" s="101">
        <v>18.28</v>
      </c>
      <c r="E57" s="84" t="s">
        <v>274</v>
      </c>
      <c r="F57" s="101">
        <v>18.28</v>
      </c>
      <c r="G57" s="88"/>
      <c r="H57" s="88"/>
      <c r="I57" s="88"/>
      <c r="J57" s="88"/>
      <c r="K57" s="88"/>
      <c r="L57" s="88"/>
      <c r="M57" s="88"/>
      <c r="N57" s="88"/>
      <c r="O57" s="88"/>
      <c r="P57" s="77"/>
      <c r="Q57" s="77"/>
    </row>
    <row r="58" spans="2:17">
      <c r="B58" s="77"/>
      <c r="C58" s="99">
        <v>12</v>
      </c>
      <c r="D58" s="101">
        <v>16.760000000000002</v>
      </c>
      <c r="E58" s="84" t="s">
        <v>280</v>
      </c>
      <c r="F58" s="101">
        <v>16.760000000000002</v>
      </c>
      <c r="G58" s="88"/>
      <c r="H58" s="88"/>
      <c r="I58" s="88"/>
      <c r="J58" s="88"/>
      <c r="K58" s="88"/>
      <c r="L58" s="88"/>
      <c r="M58" s="88"/>
      <c r="N58" s="88"/>
      <c r="O58" s="88"/>
      <c r="P58" s="77"/>
      <c r="Q58" s="77"/>
    </row>
    <row r="59" spans="2:17">
      <c r="B59" s="77"/>
      <c r="C59" s="99">
        <v>13</v>
      </c>
      <c r="D59" s="101">
        <v>15.47</v>
      </c>
      <c r="E59" s="84" t="s">
        <v>286</v>
      </c>
      <c r="F59" s="101">
        <v>15.47</v>
      </c>
      <c r="G59" s="88"/>
      <c r="H59" s="88"/>
      <c r="I59" s="88"/>
      <c r="J59" s="88"/>
      <c r="K59" s="88"/>
      <c r="L59" s="88"/>
      <c r="M59" s="88"/>
      <c r="N59" s="88"/>
      <c r="O59" s="88"/>
      <c r="P59" s="77"/>
      <c r="Q59" s="77"/>
    </row>
    <row r="60" spans="2:17">
      <c r="B60" s="77"/>
      <c r="C60" s="99">
        <v>14</v>
      </c>
      <c r="D60" s="101">
        <v>14.36</v>
      </c>
      <c r="E60" s="84" t="s">
        <v>292</v>
      </c>
      <c r="F60" s="101">
        <v>14.36</v>
      </c>
      <c r="G60" s="88"/>
      <c r="H60" s="88"/>
      <c r="I60" s="88"/>
      <c r="J60" s="88"/>
      <c r="K60" s="88"/>
      <c r="L60" s="88"/>
      <c r="M60" s="88"/>
      <c r="N60" s="88"/>
      <c r="O60" s="88"/>
      <c r="P60" s="77"/>
      <c r="Q60" s="77"/>
    </row>
    <row r="61" spans="2:17">
      <c r="B61" s="77"/>
      <c r="C61" s="99">
        <v>15</v>
      </c>
      <c r="D61" s="101">
        <v>13.41</v>
      </c>
      <c r="E61" s="84" t="s">
        <v>297</v>
      </c>
      <c r="F61" s="101">
        <v>13.41</v>
      </c>
      <c r="G61" s="88"/>
      <c r="H61" s="88"/>
      <c r="I61" s="88"/>
      <c r="J61" s="88"/>
      <c r="K61" s="88"/>
      <c r="L61" s="88"/>
      <c r="M61" s="88"/>
      <c r="N61" s="88"/>
      <c r="O61" s="88"/>
      <c r="P61" s="77"/>
      <c r="Q61" s="77"/>
    </row>
    <row r="62" spans="2:17">
      <c r="B62" s="77"/>
      <c r="C62" s="99">
        <v>20</v>
      </c>
      <c r="D62" s="101">
        <v>10.050000000000001</v>
      </c>
      <c r="E62" s="84" t="s">
        <v>302</v>
      </c>
      <c r="F62" s="101">
        <v>10.050000000000001</v>
      </c>
      <c r="G62" s="88"/>
      <c r="H62" s="88"/>
      <c r="I62" s="88"/>
      <c r="J62" s="88"/>
      <c r="K62" s="88"/>
      <c r="L62" s="88"/>
      <c r="M62" s="88"/>
      <c r="N62" s="88"/>
      <c r="O62" s="88"/>
      <c r="P62" s="77"/>
      <c r="Q62" s="77"/>
    </row>
    <row r="63" spans="2:17">
      <c r="B63" s="77"/>
      <c r="C63" s="88"/>
      <c r="D63" s="88"/>
      <c r="E63" s="88"/>
      <c r="F63" s="88"/>
      <c r="G63" s="88"/>
      <c r="H63" s="88"/>
      <c r="I63" s="88"/>
      <c r="J63" s="88"/>
      <c r="K63" s="88"/>
      <c r="L63" s="88"/>
      <c r="M63" s="88"/>
      <c r="N63" s="88"/>
      <c r="O63" s="88"/>
      <c r="P63" s="77"/>
      <c r="Q63" s="77"/>
    </row>
    <row r="64" spans="2:17">
      <c r="B64" s="77"/>
      <c r="C64" s="88"/>
      <c r="D64" s="88"/>
      <c r="E64" s="88"/>
      <c r="F64" s="88"/>
      <c r="G64" s="88"/>
      <c r="H64" s="88"/>
      <c r="I64" s="88"/>
      <c r="J64" s="88"/>
      <c r="K64" s="88"/>
      <c r="L64" s="88"/>
      <c r="M64" s="88"/>
      <c r="N64" s="88"/>
      <c r="O64" s="88"/>
      <c r="P64" s="77"/>
      <c r="Q64" s="77"/>
    </row>
    <row r="65" spans="2:17">
      <c r="B65" s="77"/>
      <c r="C65" s="88"/>
      <c r="D65" s="88"/>
      <c r="E65" s="88"/>
      <c r="F65" s="88"/>
      <c r="G65" s="88"/>
      <c r="H65" s="88"/>
      <c r="I65" s="88"/>
      <c r="J65" s="88"/>
      <c r="K65" s="88"/>
      <c r="L65" s="88"/>
      <c r="M65" s="88"/>
      <c r="N65" s="88"/>
      <c r="O65" s="88"/>
      <c r="P65" s="77"/>
      <c r="Q65" s="77"/>
    </row>
    <row r="66" spans="2:17">
      <c r="B66" s="77"/>
      <c r="C66" s="77"/>
      <c r="D66" s="77"/>
      <c r="E66" s="77"/>
      <c r="F66" s="77"/>
      <c r="G66" s="77"/>
      <c r="H66" s="77"/>
      <c r="I66" s="77"/>
      <c r="J66" s="77"/>
      <c r="K66" s="77"/>
      <c r="L66" s="77"/>
      <c r="M66" s="77"/>
      <c r="N66" s="77"/>
      <c r="O66" s="77"/>
      <c r="P66" s="77"/>
      <c r="Q66" s="77"/>
    </row>
  </sheetData>
  <mergeCells count="1">
    <mergeCell ref="D7:E7"/>
  </mergeCells>
  <phoneticPr fontId="47"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6A2BD-0C46-4A74-9450-8E48075937B3}">
  <sheetPr codeName="Sheet39"/>
  <dimension ref="A1:T31"/>
  <sheetViews>
    <sheetView topLeftCell="D1" workbookViewId="0">
      <selection activeCell="T2" sqref="T2"/>
    </sheetView>
  </sheetViews>
  <sheetFormatPr defaultColWidth="8.83203125" defaultRowHeight="14"/>
  <cols>
    <col min="1" max="1" width="10.4140625" bestFit="1" customWidth="1"/>
    <col min="2" max="2" width="14.4140625" bestFit="1" customWidth="1"/>
    <col min="3" max="3" width="12.83203125" bestFit="1" customWidth="1"/>
    <col min="4" max="5" width="5.08203125" bestFit="1" customWidth="1"/>
    <col min="9" max="9" width="13.83203125" customWidth="1"/>
    <col min="10" max="10" width="13.83203125" bestFit="1" customWidth="1"/>
    <col min="13" max="13" width="9.08203125" style="6"/>
    <col min="17" max="17" width="12" style="6" customWidth="1"/>
  </cols>
  <sheetData>
    <row r="1" spans="1:20">
      <c r="A1" t="s">
        <v>96</v>
      </c>
      <c r="B1" t="s">
        <v>97</v>
      </c>
      <c r="C1" t="s">
        <v>98</v>
      </c>
      <c r="D1" t="s">
        <v>99</v>
      </c>
      <c r="E1" t="s">
        <v>100</v>
      </c>
      <c r="F1" t="s">
        <v>111</v>
      </c>
      <c r="G1" t="s">
        <v>118</v>
      </c>
      <c r="H1" t="s">
        <v>180</v>
      </c>
      <c r="I1" t="s">
        <v>181</v>
      </c>
      <c r="J1" t="s">
        <v>112</v>
      </c>
      <c r="K1" t="s">
        <v>116</v>
      </c>
      <c r="L1" t="s">
        <v>117</v>
      </c>
      <c r="M1" s="6" t="s">
        <v>177</v>
      </c>
      <c r="P1" t="s">
        <v>182</v>
      </c>
      <c r="Q1" s="6" t="s">
        <v>179</v>
      </c>
      <c r="R1" t="s">
        <v>116</v>
      </c>
      <c r="S1" t="s">
        <v>117</v>
      </c>
      <c r="T1" t="s">
        <v>183</v>
      </c>
    </row>
    <row r="2" spans="1:20">
      <c r="A2" t="s">
        <v>119</v>
      </c>
      <c r="B2" t="s">
        <v>120</v>
      </c>
      <c r="C2" t="s">
        <v>199</v>
      </c>
      <c r="D2">
        <v>2000</v>
      </c>
      <c r="E2">
        <v>3800</v>
      </c>
      <c r="F2">
        <f>D2*E2/1000000</f>
        <v>7.6</v>
      </c>
      <c r="G2">
        <v>4</v>
      </c>
      <c r="H2" s="11">
        <f>D2</f>
        <v>2000</v>
      </c>
      <c r="I2" s="9">
        <f>E2</f>
        <v>3800</v>
      </c>
      <c r="J2" s="9">
        <f>MAX(F2:F31)</f>
        <v>22.04</v>
      </c>
      <c r="K2" s="10">
        <f>VLOOKUP(J2,$F$2:$I$31,3,FALSE)</f>
        <v>3800</v>
      </c>
      <c r="L2" s="10">
        <f>VLOOKUP(J2,$F$2:$I$31,4,FALSE)</f>
        <v>5800</v>
      </c>
      <c r="M2" s="6">
        <f>I2/H2</f>
        <v>1.9</v>
      </c>
      <c r="N2">
        <f>H2</f>
        <v>2000</v>
      </c>
      <c r="O2">
        <f>I2</f>
        <v>3800</v>
      </c>
      <c r="P2" t="str">
        <f>C2</f>
        <v>S1A</v>
      </c>
      <c r="Q2" s="6">
        <f>M4</f>
        <v>2.7142857142857144</v>
      </c>
      <c r="R2" s="10">
        <f>VLOOKUP(Q2,M2:O31,2,FALSE)</f>
        <v>1400</v>
      </c>
      <c r="S2" s="10">
        <f>VLOOKUP(Q2,M2:O31,3,FALSE)</f>
        <v>3800</v>
      </c>
      <c r="T2" t="str">
        <f>VLOOKUP(Q2,M2:P31,4,FALSE)</f>
        <v>S1C</v>
      </c>
    </row>
    <row r="3" spans="1:20">
      <c r="A3" t="s">
        <v>121</v>
      </c>
      <c r="B3" t="s">
        <v>120</v>
      </c>
      <c r="C3" t="s">
        <v>202</v>
      </c>
      <c r="D3">
        <v>3800</v>
      </c>
      <c r="E3">
        <v>5800</v>
      </c>
      <c r="F3">
        <f t="shared" ref="F3:F31" si="0">D3*E3/1000000</f>
        <v>22.04</v>
      </c>
      <c r="G3">
        <v>14</v>
      </c>
      <c r="H3" s="11">
        <f t="shared" ref="H3:H31" si="1">D3</f>
        <v>3800</v>
      </c>
      <c r="I3" s="9">
        <f t="shared" ref="I3:I31" si="2">E3</f>
        <v>5800</v>
      </c>
      <c r="M3" s="6">
        <f t="shared" ref="M3:M31" si="3">I3/H3</f>
        <v>1.5263157894736843</v>
      </c>
      <c r="N3">
        <f t="shared" ref="N3:O31" si="4">H3</f>
        <v>3800</v>
      </c>
      <c r="O3">
        <f t="shared" si="4"/>
        <v>5800</v>
      </c>
      <c r="P3" t="str">
        <f t="shared" ref="P3:P31" si="5">C3</f>
        <v>S1B</v>
      </c>
    </row>
    <row r="4" spans="1:20">
      <c r="A4" t="s">
        <v>121</v>
      </c>
      <c r="B4" t="s">
        <v>120</v>
      </c>
      <c r="C4" t="s">
        <v>999</v>
      </c>
      <c r="D4">
        <v>1400</v>
      </c>
      <c r="E4">
        <v>3800</v>
      </c>
      <c r="F4">
        <f t="shared" ref="F4" si="6">D4*E4/1000000</f>
        <v>5.32</v>
      </c>
      <c r="G4">
        <v>14</v>
      </c>
      <c r="H4" s="11">
        <f t="shared" ref="H4" si="7">D4</f>
        <v>1400</v>
      </c>
      <c r="I4" s="9">
        <f t="shared" ref="I4" si="8">E4</f>
        <v>3800</v>
      </c>
      <c r="M4" s="6">
        <f t="shared" ref="M4" si="9">I4/H4</f>
        <v>2.7142857142857144</v>
      </c>
      <c r="N4">
        <f t="shared" ref="N4" si="10">H4</f>
        <v>1400</v>
      </c>
      <c r="O4">
        <f t="shared" ref="O4" si="11">I4</f>
        <v>3800</v>
      </c>
      <c r="P4" t="str">
        <f t="shared" ref="P4" si="12">C4</f>
        <v>S1C</v>
      </c>
    </row>
    <row r="5" spans="1:20">
      <c r="A5" t="s">
        <v>122</v>
      </c>
      <c r="B5" t="s">
        <v>120</v>
      </c>
      <c r="C5" t="s">
        <v>103</v>
      </c>
      <c r="D5">
        <v>3800</v>
      </c>
      <c r="E5">
        <v>5800</v>
      </c>
      <c r="F5">
        <f t="shared" si="0"/>
        <v>22.04</v>
      </c>
      <c r="G5">
        <v>18</v>
      </c>
      <c r="H5" s="11">
        <f t="shared" si="1"/>
        <v>3800</v>
      </c>
      <c r="I5" s="9">
        <f t="shared" si="2"/>
        <v>5800</v>
      </c>
      <c r="M5" s="6">
        <f t="shared" si="3"/>
        <v>1.5263157894736843</v>
      </c>
      <c r="N5">
        <f t="shared" si="4"/>
        <v>3800</v>
      </c>
      <c r="O5">
        <f t="shared" si="4"/>
        <v>5800</v>
      </c>
      <c r="P5" t="str">
        <f t="shared" si="5"/>
        <v>S1</v>
      </c>
    </row>
    <row r="6" spans="1:20">
      <c r="A6" t="s">
        <v>123</v>
      </c>
      <c r="B6" t="s">
        <v>120</v>
      </c>
      <c r="C6" t="s">
        <v>103</v>
      </c>
      <c r="D6">
        <v>3800</v>
      </c>
      <c r="E6">
        <v>5800</v>
      </c>
      <c r="F6">
        <f t="shared" si="0"/>
        <v>22.04</v>
      </c>
      <c r="G6">
        <v>19</v>
      </c>
      <c r="H6" s="11">
        <f t="shared" si="1"/>
        <v>3800</v>
      </c>
      <c r="I6" s="9">
        <f t="shared" si="2"/>
        <v>5800</v>
      </c>
      <c r="M6" s="6">
        <f t="shared" si="3"/>
        <v>1.5263157894736843</v>
      </c>
      <c r="N6">
        <f t="shared" si="4"/>
        <v>3800</v>
      </c>
      <c r="O6">
        <f t="shared" si="4"/>
        <v>5800</v>
      </c>
      <c r="P6" t="str">
        <f t="shared" si="5"/>
        <v>S1</v>
      </c>
    </row>
    <row r="7" spans="1:20">
      <c r="A7" t="s">
        <v>124</v>
      </c>
      <c r="B7" t="s">
        <v>120</v>
      </c>
      <c r="C7" t="s">
        <v>103</v>
      </c>
      <c r="D7">
        <v>3800</v>
      </c>
      <c r="E7">
        <v>5800</v>
      </c>
      <c r="F7">
        <f t="shared" si="0"/>
        <v>22.04</v>
      </c>
      <c r="G7">
        <v>25</v>
      </c>
      <c r="H7" s="11">
        <f t="shared" si="1"/>
        <v>3800</v>
      </c>
      <c r="I7" s="9">
        <f t="shared" si="2"/>
        <v>5800</v>
      </c>
      <c r="M7" s="6">
        <f t="shared" si="3"/>
        <v>1.5263157894736843</v>
      </c>
      <c r="N7">
        <f t="shared" si="4"/>
        <v>3800</v>
      </c>
      <c r="O7">
        <f t="shared" si="4"/>
        <v>5800</v>
      </c>
      <c r="P7" t="str">
        <f t="shared" si="5"/>
        <v>S1</v>
      </c>
    </row>
    <row r="8" spans="1:20">
      <c r="A8" t="s">
        <v>125</v>
      </c>
      <c r="B8" t="s">
        <v>120</v>
      </c>
      <c r="C8" t="s">
        <v>103</v>
      </c>
      <c r="D8">
        <v>3800</v>
      </c>
      <c r="E8">
        <v>5800</v>
      </c>
      <c r="F8">
        <f t="shared" si="0"/>
        <v>22.04</v>
      </c>
      <c r="G8">
        <v>26</v>
      </c>
      <c r="H8" s="11">
        <f t="shared" si="1"/>
        <v>3800</v>
      </c>
      <c r="I8" s="9">
        <f t="shared" si="2"/>
        <v>5800</v>
      </c>
      <c r="M8" s="6">
        <f t="shared" si="3"/>
        <v>1.5263157894736843</v>
      </c>
      <c r="N8">
        <f t="shared" si="4"/>
        <v>3800</v>
      </c>
      <c r="O8">
        <f t="shared" si="4"/>
        <v>5800</v>
      </c>
      <c r="P8" t="str">
        <f t="shared" si="5"/>
        <v>S1</v>
      </c>
    </row>
    <row r="9" spans="1:20">
      <c r="A9" t="s">
        <v>126</v>
      </c>
      <c r="B9" t="s">
        <v>127</v>
      </c>
      <c r="C9" t="s">
        <v>102</v>
      </c>
      <c r="D9">
        <v>3800</v>
      </c>
      <c r="E9">
        <v>5300</v>
      </c>
      <c r="F9">
        <f t="shared" si="0"/>
        <v>20.14</v>
      </c>
      <c r="G9">
        <v>1</v>
      </c>
      <c r="H9" s="11">
        <f t="shared" si="1"/>
        <v>3800</v>
      </c>
      <c r="I9" s="9">
        <f t="shared" si="2"/>
        <v>5300</v>
      </c>
      <c r="M9" s="6">
        <f t="shared" si="3"/>
        <v>1.3947368421052631</v>
      </c>
      <c r="N9">
        <f t="shared" si="4"/>
        <v>3800</v>
      </c>
      <c r="O9">
        <f t="shared" si="4"/>
        <v>5300</v>
      </c>
      <c r="P9" t="str">
        <f t="shared" si="5"/>
        <v>S3</v>
      </c>
    </row>
    <row r="10" spans="1:20">
      <c r="A10" t="s">
        <v>128</v>
      </c>
      <c r="B10" t="s">
        <v>129</v>
      </c>
      <c r="C10" t="s">
        <v>102</v>
      </c>
      <c r="D10">
        <v>3800</v>
      </c>
      <c r="E10">
        <v>5300</v>
      </c>
      <c r="F10">
        <f t="shared" si="0"/>
        <v>20.14</v>
      </c>
      <c r="G10">
        <v>5</v>
      </c>
      <c r="H10" s="11">
        <f t="shared" si="1"/>
        <v>3800</v>
      </c>
      <c r="I10" s="9">
        <f t="shared" si="2"/>
        <v>5300</v>
      </c>
      <c r="M10" s="6">
        <f t="shared" si="3"/>
        <v>1.3947368421052631</v>
      </c>
      <c r="N10">
        <f t="shared" si="4"/>
        <v>3800</v>
      </c>
      <c r="O10">
        <f t="shared" si="4"/>
        <v>5300</v>
      </c>
      <c r="P10" t="str">
        <f t="shared" si="5"/>
        <v>S3</v>
      </c>
    </row>
    <row r="11" spans="1:20">
      <c r="A11" t="s">
        <v>130</v>
      </c>
      <c r="B11" t="s">
        <v>127</v>
      </c>
      <c r="C11" t="s">
        <v>102</v>
      </c>
      <c r="D11">
        <v>3800</v>
      </c>
      <c r="E11">
        <v>5300</v>
      </c>
      <c r="F11">
        <f t="shared" si="0"/>
        <v>20.14</v>
      </c>
      <c r="G11">
        <v>11</v>
      </c>
      <c r="H11" s="11">
        <f t="shared" si="1"/>
        <v>3800</v>
      </c>
      <c r="I11" s="9">
        <f t="shared" si="2"/>
        <v>5300</v>
      </c>
      <c r="M11" s="6">
        <f t="shared" si="3"/>
        <v>1.3947368421052631</v>
      </c>
      <c r="N11">
        <f t="shared" si="4"/>
        <v>3800</v>
      </c>
      <c r="O11">
        <f t="shared" si="4"/>
        <v>5300</v>
      </c>
      <c r="P11" t="str">
        <f t="shared" si="5"/>
        <v>S3</v>
      </c>
    </row>
    <row r="12" spans="1:20">
      <c r="A12" t="s">
        <v>131</v>
      </c>
      <c r="B12" t="s">
        <v>129</v>
      </c>
      <c r="C12" t="s">
        <v>102</v>
      </c>
      <c r="D12">
        <v>3800</v>
      </c>
      <c r="E12">
        <v>5300</v>
      </c>
      <c r="F12">
        <f t="shared" si="0"/>
        <v>20.14</v>
      </c>
      <c r="G12">
        <v>15</v>
      </c>
      <c r="H12" s="11">
        <f t="shared" si="1"/>
        <v>3800</v>
      </c>
      <c r="I12" s="9">
        <f t="shared" si="2"/>
        <v>5300</v>
      </c>
      <c r="M12" s="6">
        <f t="shared" si="3"/>
        <v>1.3947368421052631</v>
      </c>
      <c r="N12">
        <f t="shared" si="4"/>
        <v>3800</v>
      </c>
      <c r="O12">
        <f t="shared" si="4"/>
        <v>5300</v>
      </c>
      <c r="P12" t="str">
        <f t="shared" si="5"/>
        <v>S3</v>
      </c>
    </row>
    <row r="13" spans="1:20">
      <c r="A13" t="s">
        <v>132</v>
      </c>
      <c r="B13" t="s">
        <v>133</v>
      </c>
      <c r="C13" t="s">
        <v>108</v>
      </c>
      <c r="D13">
        <v>3800</v>
      </c>
      <c r="E13">
        <v>3800</v>
      </c>
      <c r="F13">
        <f t="shared" si="0"/>
        <v>14.44</v>
      </c>
      <c r="G13">
        <v>22</v>
      </c>
      <c r="H13" s="11">
        <f t="shared" si="1"/>
        <v>3800</v>
      </c>
      <c r="I13" s="9">
        <f t="shared" si="2"/>
        <v>3800</v>
      </c>
      <c r="M13" s="6">
        <f t="shared" si="3"/>
        <v>1</v>
      </c>
      <c r="N13">
        <f t="shared" si="4"/>
        <v>3800</v>
      </c>
      <c r="O13">
        <f t="shared" si="4"/>
        <v>3800</v>
      </c>
      <c r="P13" t="str">
        <f t="shared" si="5"/>
        <v>S8</v>
      </c>
    </row>
    <row r="14" spans="1:20">
      <c r="A14" t="s">
        <v>134</v>
      </c>
      <c r="B14" t="s">
        <v>135</v>
      </c>
      <c r="C14" t="s">
        <v>101</v>
      </c>
      <c r="D14">
        <v>2800</v>
      </c>
      <c r="E14">
        <v>3800</v>
      </c>
      <c r="F14">
        <f t="shared" si="0"/>
        <v>10.64</v>
      </c>
      <c r="G14">
        <v>2</v>
      </c>
      <c r="H14" s="11">
        <f t="shared" si="1"/>
        <v>2800</v>
      </c>
      <c r="I14" s="9">
        <f t="shared" si="2"/>
        <v>3800</v>
      </c>
      <c r="M14" s="6">
        <f t="shared" si="3"/>
        <v>1.3571428571428572</v>
      </c>
      <c r="N14">
        <f t="shared" si="4"/>
        <v>2800</v>
      </c>
      <c r="O14">
        <f t="shared" si="4"/>
        <v>3800</v>
      </c>
      <c r="P14" t="str">
        <f t="shared" si="5"/>
        <v>S2</v>
      </c>
    </row>
    <row r="15" spans="1:20">
      <c r="A15" t="s">
        <v>136</v>
      </c>
      <c r="B15" t="s">
        <v>135</v>
      </c>
      <c r="C15" t="s">
        <v>101</v>
      </c>
      <c r="D15">
        <v>2800</v>
      </c>
      <c r="E15">
        <v>3800</v>
      </c>
      <c r="F15">
        <f t="shared" si="0"/>
        <v>10.64</v>
      </c>
      <c r="G15">
        <v>12</v>
      </c>
      <c r="H15" s="11">
        <f t="shared" si="1"/>
        <v>2800</v>
      </c>
      <c r="I15" s="9">
        <f t="shared" si="2"/>
        <v>3800</v>
      </c>
      <c r="M15" s="6">
        <f t="shared" si="3"/>
        <v>1.3571428571428572</v>
      </c>
      <c r="N15">
        <f t="shared" si="4"/>
        <v>2800</v>
      </c>
      <c r="O15">
        <f t="shared" si="4"/>
        <v>3800</v>
      </c>
      <c r="P15" t="str">
        <f t="shared" si="5"/>
        <v>S2</v>
      </c>
    </row>
    <row r="16" spans="1:20">
      <c r="A16" t="s">
        <v>137</v>
      </c>
      <c r="B16" t="s">
        <v>135</v>
      </c>
      <c r="C16" t="s">
        <v>101</v>
      </c>
      <c r="D16">
        <v>2800</v>
      </c>
      <c r="E16">
        <v>3800</v>
      </c>
      <c r="F16">
        <f t="shared" si="0"/>
        <v>10.64</v>
      </c>
      <c r="G16">
        <v>20</v>
      </c>
      <c r="H16" s="11">
        <f t="shared" si="1"/>
        <v>2800</v>
      </c>
      <c r="I16" s="9">
        <f t="shared" si="2"/>
        <v>3800</v>
      </c>
      <c r="M16" s="6">
        <f t="shared" si="3"/>
        <v>1.3571428571428572</v>
      </c>
      <c r="N16">
        <f t="shared" si="4"/>
        <v>2800</v>
      </c>
      <c r="O16">
        <f t="shared" si="4"/>
        <v>3800</v>
      </c>
      <c r="P16" t="str">
        <f t="shared" si="5"/>
        <v>S2</v>
      </c>
    </row>
    <row r="17" spans="1:16">
      <c r="A17" t="s">
        <v>138</v>
      </c>
      <c r="B17" t="s">
        <v>135</v>
      </c>
      <c r="C17" t="s">
        <v>101</v>
      </c>
      <c r="D17">
        <v>2800</v>
      </c>
      <c r="E17">
        <v>3800</v>
      </c>
      <c r="F17">
        <f t="shared" si="0"/>
        <v>10.64</v>
      </c>
      <c r="G17">
        <v>23</v>
      </c>
      <c r="H17" s="11">
        <f t="shared" si="1"/>
        <v>2800</v>
      </c>
      <c r="I17" s="9">
        <f t="shared" si="2"/>
        <v>3800</v>
      </c>
      <c r="M17" s="6">
        <f t="shared" si="3"/>
        <v>1.3571428571428572</v>
      </c>
      <c r="N17">
        <f t="shared" si="4"/>
        <v>2800</v>
      </c>
      <c r="O17">
        <f t="shared" si="4"/>
        <v>3800</v>
      </c>
      <c r="P17" t="str">
        <f t="shared" si="5"/>
        <v>S2</v>
      </c>
    </row>
    <row r="18" spans="1:16">
      <c r="A18" t="s">
        <v>139</v>
      </c>
      <c r="B18" t="s">
        <v>140</v>
      </c>
      <c r="C18" t="s">
        <v>106</v>
      </c>
      <c r="D18">
        <v>1800</v>
      </c>
      <c r="E18">
        <v>5800</v>
      </c>
      <c r="F18">
        <f t="shared" si="0"/>
        <v>10.44</v>
      </c>
      <c r="G18">
        <v>3</v>
      </c>
      <c r="H18" s="11">
        <f t="shared" si="1"/>
        <v>1800</v>
      </c>
      <c r="I18" s="9">
        <f t="shared" si="2"/>
        <v>5800</v>
      </c>
      <c r="M18" s="6">
        <f t="shared" si="3"/>
        <v>3.2222222222222223</v>
      </c>
      <c r="N18">
        <f t="shared" si="4"/>
        <v>1800</v>
      </c>
      <c r="O18">
        <f t="shared" si="4"/>
        <v>5800</v>
      </c>
      <c r="P18" t="str">
        <f t="shared" si="5"/>
        <v>S4</v>
      </c>
    </row>
    <row r="19" spans="1:16">
      <c r="A19" t="s">
        <v>141</v>
      </c>
      <c r="B19" t="s">
        <v>140</v>
      </c>
      <c r="C19" t="s">
        <v>106</v>
      </c>
      <c r="D19">
        <v>1800</v>
      </c>
      <c r="E19">
        <v>5800</v>
      </c>
      <c r="F19">
        <f t="shared" si="0"/>
        <v>10.44</v>
      </c>
      <c r="G19">
        <v>13</v>
      </c>
      <c r="H19" s="11">
        <f t="shared" si="1"/>
        <v>1800</v>
      </c>
      <c r="I19" s="9">
        <f t="shared" si="2"/>
        <v>5800</v>
      </c>
      <c r="M19" s="6">
        <f t="shared" si="3"/>
        <v>3.2222222222222223</v>
      </c>
      <c r="N19">
        <f t="shared" si="4"/>
        <v>1800</v>
      </c>
      <c r="O19">
        <f t="shared" si="4"/>
        <v>5800</v>
      </c>
      <c r="P19" t="str">
        <f t="shared" si="5"/>
        <v>S4</v>
      </c>
    </row>
    <row r="20" spans="1:16">
      <c r="A20" t="s">
        <v>142</v>
      </c>
      <c r="B20" t="s">
        <v>143</v>
      </c>
      <c r="C20" t="s">
        <v>109</v>
      </c>
      <c r="D20">
        <v>2700</v>
      </c>
      <c r="E20">
        <v>3800</v>
      </c>
      <c r="F20">
        <f t="shared" si="0"/>
        <v>10.26</v>
      </c>
      <c r="G20">
        <v>10</v>
      </c>
      <c r="H20" s="11">
        <f t="shared" si="1"/>
        <v>2700</v>
      </c>
      <c r="I20" s="9">
        <f t="shared" si="2"/>
        <v>3800</v>
      </c>
      <c r="M20" s="6">
        <f t="shared" si="3"/>
        <v>1.4074074074074074</v>
      </c>
      <c r="N20">
        <f t="shared" si="4"/>
        <v>2700</v>
      </c>
      <c r="O20">
        <f t="shared" si="4"/>
        <v>3800</v>
      </c>
      <c r="P20" t="str">
        <f t="shared" si="5"/>
        <v>S10</v>
      </c>
    </row>
    <row r="21" spans="1:16">
      <c r="A21" t="s">
        <v>144</v>
      </c>
      <c r="B21" t="s">
        <v>145</v>
      </c>
      <c r="C21" t="s">
        <v>104</v>
      </c>
      <c r="D21">
        <v>1800</v>
      </c>
      <c r="E21">
        <v>5300</v>
      </c>
      <c r="F21">
        <f t="shared" si="0"/>
        <v>9.5399999999999991</v>
      </c>
      <c r="G21">
        <v>6</v>
      </c>
      <c r="H21" s="11">
        <f t="shared" si="1"/>
        <v>1800</v>
      </c>
      <c r="I21" s="9">
        <f t="shared" si="2"/>
        <v>5300</v>
      </c>
      <c r="M21" s="6">
        <f t="shared" si="3"/>
        <v>2.9444444444444446</v>
      </c>
      <c r="N21">
        <f t="shared" si="4"/>
        <v>1800</v>
      </c>
      <c r="O21">
        <f t="shared" si="4"/>
        <v>5300</v>
      </c>
      <c r="P21" t="str">
        <f t="shared" si="5"/>
        <v>S6</v>
      </c>
    </row>
    <row r="22" spans="1:16">
      <c r="A22" t="s">
        <v>146</v>
      </c>
      <c r="B22" t="s">
        <v>145</v>
      </c>
      <c r="C22" t="s">
        <v>104</v>
      </c>
      <c r="D22">
        <v>1800</v>
      </c>
      <c r="E22">
        <v>5300</v>
      </c>
      <c r="F22">
        <f t="shared" si="0"/>
        <v>9.5399999999999991</v>
      </c>
      <c r="G22">
        <v>16</v>
      </c>
      <c r="H22" s="11">
        <f t="shared" si="1"/>
        <v>1800</v>
      </c>
      <c r="I22" s="9">
        <f t="shared" si="2"/>
        <v>5300</v>
      </c>
      <c r="M22" s="6">
        <f t="shared" si="3"/>
        <v>2.9444444444444446</v>
      </c>
      <c r="N22">
        <f t="shared" si="4"/>
        <v>1800</v>
      </c>
      <c r="O22">
        <f t="shared" si="4"/>
        <v>5300</v>
      </c>
      <c r="P22" t="str">
        <f t="shared" si="5"/>
        <v>S6</v>
      </c>
    </row>
    <row r="23" spans="1:16">
      <c r="A23" t="s">
        <v>147</v>
      </c>
      <c r="B23" t="s">
        <v>148</v>
      </c>
      <c r="C23" t="s">
        <v>107</v>
      </c>
      <c r="D23">
        <v>1800</v>
      </c>
      <c r="E23">
        <v>3800</v>
      </c>
      <c r="F23">
        <f t="shared" si="0"/>
        <v>6.84</v>
      </c>
      <c r="G23">
        <v>8</v>
      </c>
      <c r="H23" s="11">
        <f t="shared" si="1"/>
        <v>1800</v>
      </c>
      <c r="I23" s="9">
        <f t="shared" si="2"/>
        <v>3800</v>
      </c>
      <c r="M23" s="6">
        <f t="shared" si="3"/>
        <v>2.1111111111111112</v>
      </c>
      <c r="N23">
        <f t="shared" si="4"/>
        <v>1800</v>
      </c>
      <c r="O23">
        <f t="shared" si="4"/>
        <v>3800</v>
      </c>
      <c r="P23" t="str">
        <f t="shared" si="5"/>
        <v>S7</v>
      </c>
    </row>
    <row r="24" spans="1:16">
      <c r="A24" t="s">
        <v>149</v>
      </c>
      <c r="B24" t="s">
        <v>148</v>
      </c>
      <c r="C24" t="s">
        <v>107</v>
      </c>
      <c r="D24">
        <v>1800</v>
      </c>
      <c r="E24">
        <v>3800</v>
      </c>
      <c r="F24">
        <f t="shared" si="0"/>
        <v>6.84</v>
      </c>
      <c r="G24">
        <v>9</v>
      </c>
      <c r="H24" s="11">
        <f t="shared" si="1"/>
        <v>1800</v>
      </c>
      <c r="I24" s="9">
        <f t="shared" si="2"/>
        <v>3800</v>
      </c>
      <c r="M24" s="6">
        <f t="shared" si="3"/>
        <v>2.1111111111111112</v>
      </c>
      <c r="N24">
        <f t="shared" si="4"/>
        <v>1800</v>
      </c>
      <c r="O24">
        <f t="shared" si="4"/>
        <v>3800</v>
      </c>
      <c r="P24" t="str">
        <f t="shared" si="5"/>
        <v>S7</v>
      </c>
    </row>
    <row r="25" spans="1:16">
      <c r="A25" t="s">
        <v>150</v>
      </c>
      <c r="B25" t="s">
        <v>151</v>
      </c>
      <c r="C25" t="s">
        <v>105</v>
      </c>
      <c r="D25">
        <v>1800</v>
      </c>
      <c r="E25">
        <v>2800</v>
      </c>
      <c r="F25">
        <f t="shared" si="0"/>
        <v>5.04</v>
      </c>
      <c r="G25">
        <v>7</v>
      </c>
      <c r="H25" s="11">
        <f t="shared" si="1"/>
        <v>1800</v>
      </c>
      <c r="I25" s="9">
        <f t="shared" si="2"/>
        <v>2800</v>
      </c>
      <c r="M25" s="6">
        <f t="shared" si="3"/>
        <v>1.5555555555555556</v>
      </c>
      <c r="N25">
        <f t="shared" si="4"/>
        <v>1800</v>
      </c>
      <c r="O25">
        <f t="shared" si="4"/>
        <v>2800</v>
      </c>
      <c r="P25" t="str">
        <f t="shared" si="5"/>
        <v>S5</v>
      </c>
    </row>
    <row r="26" spans="1:16">
      <c r="A26" t="s">
        <v>152</v>
      </c>
      <c r="B26" t="s">
        <v>151</v>
      </c>
      <c r="C26" t="s">
        <v>105</v>
      </c>
      <c r="D26">
        <v>1800</v>
      </c>
      <c r="E26">
        <v>2800</v>
      </c>
      <c r="F26">
        <f t="shared" si="0"/>
        <v>5.04</v>
      </c>
      <c r="G26">
        <v>17</v>
      </c>
      <c r="H26" s="11">
        <f t="shared" si="1"/>
        <v>1800</v>
      </c>
      <c r="I26" s="9">
        <f t="shared" si="2"/>
        <v>2800</v>
      </c>
      <c r="M26" s="6">
        <f t="shared" si="3"/>
        <v>1.5555555555555556</v>
      </c>
      <c r="N26">
        <f t="shared" si="4"/>
        <v>1800</v>
      </c>
      <c r="O26">
        <f t="shared" si="4"/>
        <v>2800</v>
      </c>
      <c r="P26" t="str">
        <f t="shared" si="5"/>
        <v>S5</v>
      </c>
    </row>
    <row r="27" spans="1:16">
      <c r="A27" t="s">
        <v>153</v>
      </c>
      <c r="B27" t="s">
        <v>154</v>
      </c>
      <c r="C27" t="s">
        <v>110</v>
      </c>
      <c r="D27">
        <v>1800</v>
      </c>
      <c r="E27">
        <v>2500</v>
      </c>
      <c r="F27">
        <f t="shared" si="0"/>
        <v>4.5</v>
      </c>
      <c r="G27">
        <v>21</v>
      </c>
      <c r="H27" s="11">
        <f t="shared" si="1"/>
        <v>1800</v>
      </c>
      <c r="I27" s="9">
        <f t="shared" si="2"/>
        <v>2500</v>
      </c>
      <c r="M27" s="6">
        <f t="shared" si="3"/>
        <v>1.3888888888888888</v>
      </c>
      <c r="N27">
        <f t="shared" si="4"/>
        <v>1800</v>
      </c>
      <c r="O27">
        <f t="shared" si="4"/>
        <v>2500</v>
      </c>
      <c r="P27" t="str">
        <f t="shared" si="5"/>
        <v>S9</v>
      </c>
    </row>
    <row r="28" spans="1:16">
      <c r="A28" t="s">
        <v>454</v>
      </c>
      <c r="B28" t="s">
        <v>550</v>
      </c>
      <c r="C28" t="s">
        <v>452</v>
      </c>
      <c r="D28">
        <v>700</v>
      </c>
      <c r="E28">
        <v>4200</v>
      </c>
      <c r="F28">
        <f t="shared" si="0"/>
        <v>2.94</v>
      </c>
      <c r="G28" s="11"/>
      <c r="H28" s="11">
        <f t="shared" si="1"/>
        <v>700</v>
      </c>
      <c r="I28" s="9">
        <f t="shared" si="2"/>
        <v>4200</v>
      </c>
      <c r="M28" s="6">
        <f t="shared" si="3"/>
        <v>6</v>
      </c>
      <c r="N28">
        <f t="shared" si="4"/>
        <v>700</v>
      </c>
      <c r="O28">
        <f t="shared" si="4"/>
        <v>4200</v>
      </c>
      <c r="P28" t="str">
        <f t="shared" si="5"/>
        <v>S11</v>
      </c>
    </row>
    <row r="29" spans="1:16">
      <c r="A29" t="s">
        <v>456</v>
      </c>
      <c r="B29" t="s">
        <v>455</v>
      </c>
      <c r="C29" t="s">
        <v>453</v>
      </c>
      <c r="D29">
        <v>700</v>
      </c>
      <c r="E29">
        <v>3600</v>
      </c>
      <c r="F29">
        <f t="shared" si="0"/>
        <v>2.52</v>
      </c>
      <c r="G29" s="11"/>
      <c r="H29" s="11">
        <f t="shared" si="1"/>
        <v>700</v>
      </c>
      <c r="I29" s="9">
        <f t="shared" si="2"/>
        <v>3600</v>
      </c>
      <c r="M29" s="6">
        <f t="shared" si="3"/>
        <v>5.1428571428571432</v>
      </c>
      <c r="N29">
        <f t="shared" si="4"/>
        <v>700</v>
      </c>
      <c r="O29">
        <f t="shared" si="4"/>
        <v>3600</v>
      </c>
      <c r="P29" t="str">
        <f t="shared" si="5"/>
        <v>S12</v>
      </c>
    </row>
    <row r="30" spans="1:16">
      <c r="A30" t="s">
        <v>457</v>
      </c>
      <c r="B30" t="s">
        <v>455</v>
      </c>
      <c r="C30" t="s">
        <v>453</v>
      </c>
      <c r="D30">
        <v>700</v>
      </c>
      <c r="E30">
        <v>3600</v>
      </c>
      <c r="F30">
        <f t="shared" si="0"/>
        <v>2.52</v>
      </c>
      <c r="G30" s="11"/>
      <c r="H30" s="11">
        <f t="shared" si="1"/>
        <v>700</v>
      </c>
      <c r="I30" s="9">
        <f t="shared" si="2"/>
        <v>3600</v>
      </c>
      <c r="M30" s="6">
        <f t="shared" si="3"/>
        <v>5.1428571428571432</v>
      </c>
      <c r="N30">
        <f t="shared" si="4"/>
        <v>700</v>
      </c>
      <c r="O30">
        <f t="shared" si="4"/>
        <v>3600</v>
      </c>
      <c r="P30" t="str">
        <f t="shared" si="5"/>
        <v>S12</v>
      </c>
    </row>
    <row r="31" spans="1:16">
      <c r="A31" t="s">
        <v>155</v>
      </c>
      <c r="B31" t="s">
        <v>154</v>
      </c>
      <c r="C31" t="s">
        <v>110</v>
      </c>
      <c r="D31">
        <v>1800</v>
      </c>
      <c r="E31">
        <v>2500</v>
      </c>
      <c r="F31">
        <f t="shared" si="0"/>
        <v>4.5</v>
      </c>
      <c r="G31">
        <v>24</v>
      </c>
      <c r="H31" s="11">
        <f t="shared" si="1"/>
        <v>1800</v>
      </c>
      <c r="I31" s="9">
        <f t="shared" si="2"/>
        <v>2500</v>
      </c>
      <c r="M31" s="6">
        <f t="shared" si="3"/>
        <v>1.3888888888888888</v>
      </c>
      <c r="N31">
        <f t="shared" si="4"/>
        <v>1800</v>
      </c>
      <c r="O31">
        <f t="shared" si="4"/>
        <v>2500</v>
      </c>
      <c r="P31" t="str">
        <f t="shared" si="5"/>
        <v>S9</v>
      </c>
    </row>
  </sheetData>
  <conditionalFormatting sqref="Q2">
    <cfRule type="cellIs" dxfId="0" priority="1" operator="lessThan">
      <formula>2</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549B9-D7A8-4EAF-8BDF-0C28663E4EF7}">
  <sheetPr codeName="Sheet40"/>
  <dimension ref="A1:E30"/>
  <sheetViews>
    <sheetView topLeftCell="A2" workbookViewId="0">
      <selection activeCell="S23" sqref="S23"/>
    </sheetView>
  </sheetViews>
  <sheetFormatPr defaultColWidth="8.83203125" defaultRowHeight="14"/>
  <sheetData>
    <row r="1" spans="1:5">
      <c r="A1" t="s">
        <v>96</v>
      </c>
      <c r="B1" t="s">
        <v>97</v>
      </c>
      <c r="C1" t="s">
        <v>98</v>
      </c>
      <c r="D1" t="s">
        <v>99</v>
      </c>
      <c r="E1" t="s">
        <v>100</v>
      </c>
    </row>
    <row r="2" spans="1:5">
      <c r="A2" t="s">
        <v>126</v>
      </c>
      <c r="B2" t="s">
        <v>537</v>
      </c>
      <c r="C2" t="s">
        <v>102</v>
      </c>
      <c r="D2">
        <v>3800</v>
      </c>
      <c r="E2">
        <v>5300</v>
      </c>
    </row>
    <row r="3" spans="1:5">
      <c r="A3" t="s">
        <v>134</v>
      </c>
      <c r="B3" t="s">
        <v>538</v>
      </c>
      <c r="C3" t="s">
        <v>101</v>
      </c>
      <c r="D3">
        <v>2800</v>
      </c>
      <c r="E3">
        <v>3800</v>
      </c>
    </row>
    <row r="4" spans="1:5">
      <c r="A4" t="s">
        <v>139</v>
      </c>
      <c r="B4" t="s">
        <v>539</v>
      </c>
      <c r="C4" t="s">
        <v>106</v>
      </c>
      <c r="D4">
        <v>1800</v>
      </c>
      <c r="E4">
        <v>5800</v>
      </c>
    </row>
    <row r="5" spans="1:5">
      <c r="A5" t="s">
        <v>119</v>
      </c>
      <c r="B5" t="s">
        <v>540</v>
      </c>
      <c r="C5" t="s">
        <v>103</v>
      </c>
      <c r="D5">
        <v>3800</v>
      </c>
      <c r="E5">
        <v>5800</v>
      </c>
    </row>
    <row r="6" spans="1:5">
      <c r="A6" t="s">
        <v>128</v>
      </c>
      <c r="B6" t="s">
        <v>541</v>
      </c>
      <c r="C6" t="s">
        <v>102</v>
      </c>
      <c r="D6">
        <v>3800</v>
      </c>
      <c r="E6">
        <v>5300</v>
      </c>
    </row>
    <row r="7" spans="1:5">
      <c r="A7" t="s">
        <v>144</v>
      </c>
      <c r="B7" t="s">
        <v>542</v>
      </c>
      <c r="C7" t="s">
        <v>104</v>
      </c>
      <c r="D7">
        <v>1800</v>
      </c>
      <c r="E7">
        <v>5300</v>
      </c>
    </row>
    <row r="8" spans="1:5">
      <c r="A8" t="s">
        <v>150</v>
      </c>
      <c r="B8" t="s">
        <v>543</v>
      </c>
      <c r="C8" t="s">
        <v>105</v>
      </c>
      <c r="D8">
        <v>1800</v>
      </c>
      <c r="E8">
        <v>2800</v>
      </c>
    </row>
    <row r="9" spans="1:5">
      <c r="A9" t="s">
        <v>147</v>
      </c>
      <c r="B9" t="s">
        <v>544</v>
      </c>
      <c r="C9" t="s">
        <v>107</v>
      </c>
      <c r="D9">
        <v>1800</v>
      </c>
      <c r="E9">
        <v>3800</v>
      </c>
    </row>
    <row r="10" spans="1:5">
      <c r="A10" t="s">
        <v>149</v>
      </c>
      <c r="B10" t="s">
        <v>544</v>
      </c>
      <c r="C10" t="s">
        <v>107</v>
      </c>
      <c r="D10">
        <v>1800</v>
      </c>
      <c r="E10">
        <v>3800</v>
      </c>
    </row>
    <row r="11" spans="1:5">
      <c r="A11" t="s">
        <v>142</v>
      </c>
      <c r="B11" t="s">
        <v>545</v>
      </c>
      <c r="C11" t="s">
        <v>109</v>
      </c>
      <c r="D11">
        <v>2700</v>
      </c>
      <c r="E11">
        <v>3800</v>
      </c>
    </row>
    <row r="12" spans="1:5">
      <c r="A12" t="s">
        <v>130</v>
      </c>
      <c r="B12" t="s">
        <v>537</v>
      </c>
      <c r="C12" t="s">
        <v>102</v>
      </c>
      <c r="D12">
        <v>3800</v>
      </c>
      <c r="E12">
        <v>5300</v>
      </c>
    </row>
    <row r="13" spans="1:5">
      <c r="A13" t="s">
        <v>136</v>
      </c>
      <c r="B13" t="s">
        <v>538</v>
      </c>
      <c r="C13" t="s">
        <v>101</v>
      </c>
      <c r="D13">
        <v>2800</v>
      </c>
      <c r="E13">
        <v>3800</v>
      </c>
    </row>
    <row r="14" spans="1:5">
      <c r="A14" t="s">
        <v>141</v>
      </c>
      <c r="B14" t="s">
        <v>539</v>
      </c>
      <c r="C14" t="s">
        <v>106</v>
      </c>
      <c r="D14">
        <v>1800</v>
      </c>
      <c r="E14">
        <v>5800</v>
      </c>
    </row>
    <row r="15" spans="1:5">
      <c r="A15" t="s">
        <v>121</v>
      </c>
      <c r="B15" t="s">
        <v>540</v>
      </c>
      <c r="C15" t="s">
        <v>103</v>
      </c>
      <c r="D15">
        <v>3800</v>
      </c>
      <c r="E15">
        <v>5800</v>
      </c>
    </row>
    <row r="16" spans="1:5">
      <c r="A16" t="s">
        <v>131</v>
      </c>
      <c r="B16" t="s">
        <v>541</v>
      </c>
      <c r="C16" t="s">
        <v>102</v>
      </c>
      <c r="D16">
        <v>3800</v>
      </c>
      <c r="E16">
        <v>5300</v>
      </c>
    </row>
    <row r="17" spans="1:5">
      <c r="A17" t="s">
        <v>146</v>
      </c>
      <c r="B17" t="s">
        <v>542</v>
      </c>
      <c r="C17" t="s">
        <v>104</v>
      </c>
      <c r="D17">
        <v>1800</v>
      </c>
      <c r="E17">
        <v>5300</v>
      </c>
    </row>
    <row r="18" spans="1:5">
      <c r="A18" t="s">
        <v>152</v>
      </c>
      <c r="B18" t="s">
        <v>543</v>
      </c>
      <c r="C18" t="s">
        <v>105</v>
      </c>
      <c r="D18">
        <v>1800</v>
      </c>
      <c r="E18">
        <v>2800</v>
      </c>
    </row>
    <row r="19" spans="1:5">
      <c r="A19" t="s">
        <v>122</v>
      </c>
      <c r="B19" t="s">
        <v>540</v>
      </c>
      <c r="C19" t="s">
        <v>103</v>
      </c>
      <c r="D19">
        <v>3800</v>
      </c>
      <c r="E19">
        <v>5800</v>
      </c>
    </row>
    <row r="20" spans="1:5">
      <c r="A20" t="s">
        <v>123</v>
      </c>
      <c r="B20" t="s">
        <v>540</v>
      </c>
      <c r="C20" t="s">
        <v>103</v>
      </c>
      <c r="D20">
        <v>3800</v>
      </c>
      <c r="E20">
        <v>5800</v>
      </c>
    </row>
    <row r="21" spans="1:5">
      <c r="A21" t="s">
        <v>137</v>
      </c>
      <c r="B21" t="s">
        <v>538</v>
      </c>
      <c r="C21" t="s">
        <v>101</v>
      </c>
      <c r="D21">
        <v>2800</v>
      </c>
      <c r="E21">
        <v>3800</v>
      </c>
    </row>
    <row r="22" spans="1:5">
      <c r="A22" t="s">
        <v>153</v>
      </c>
      <c r="B22" t="s">
        <v>546</v>
      </c>
      <c r="C22" t="s">
        <v>110</v>
      </c>
      <c r="D22">
        <v>1800</v>
      </c>
      <c r="E22">
        <v>2500</v>
      </c>
    </row>
    <row r="23" spans="1:5">
      <c r="A23" t="s">
        <v>132</v>
      </c>
      <c r="B23" t="s">
        <v>547</v>
      </c>
      <c r="C23" t="s">
        <v>108</v>
      </c>
      <c r="D23">
        <v>3800</v>
      </c>
      <c r="E23">
        <v>3800</v>
      </c>
    </row>
    <row r="24" spans="1:5">
      <c r="A24" t="s">
        <v>138</v>
      </c>
      <c r="B24" t="s">
        <v>538</v>
      </c>
      <c r="C24" t="s">
        <v>101</v>
      </c>
      <c r="D24">
        <v>2800</v>
      </c>
      <c r="E24">
        <v>3800</v>
      </c>
    </row>
    <row r="25" spans="1:5">
      <c r="A25" t="s">
        <v>155</v>
      </c>
      <c r="B25" t="s">
        <v>546</v>
      </c>
      <c r="C25" t="s">
        <v>110</v>
      </c>
      <c r="D25">
        <v>1800</v>
      </c>
      <c r="E25">
        <v>2500</v>
      </c>
    </row>
    <row r="26" spans="1:5">
      <c r="A26" t="s">
        <v>124</v>
      </c>
      <c r="B26" t="s">
        <v>540</v>
      </c>
      <c r="C26" t="s">
        <v>548</v>
      </c>
      <c r="D26">
        <v>3800</v>
      </c>
      <c r="E26">
        <v>5800</v>
      </c>
    </row>
    <row r="27" spans="1:5">
      <c r="A27" t="s">
        <v>125</v>
      </c>
      <c r="B27" t="s">
        <v>540</v>
      </c>
      <c r="C27" t="s">
        <v>549</v>
      </c>
      <c r="D27">
        <v>3800</v>
      </c>
      <c r="E27">
        <v>5800</v>
      </c>
    </row>
    <row r="28" spans="1:5">
      <c r="A28" t="s">
        <v>454</v>
      </c>
      <c r="B28" t="s">
        <v>550</v>
      </c>
      <c r="C28" t="s">
        <v>452</v>
      </c>
      <c r="D28">
        <v>700</v>
      </c>
      <c r="E28">
        <v>4200</v>
      </c>
    </row>
    <row r="29" spans="1:5">
      <c r="A29" t="s">
        <v>456</v>
      </c>
      <c r="B29" t="s">
        <v>455</v>
      </c>
      <c r="C29" t="s">
        <v>453</v>
      </c>
      <c r="D29">
        <v>700</v>
      </c>
      <c r="E29">
        <v>3600</v>
      </c>
    </row>
    <row r="30" spans="1:5">
      <c r="A30" t="s">
        <v>457</v>
      </c>
      <c r="B30" t="s">
        <v>455</v>
      </c>
      <c r="C30" t="s">
        <v>453</v>
      </c>
      <c r="D30">
        <v>700</v>
      </c>
      <c r="E30">
        <v>3600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A4033E-9B4A-4649-829F-9052EB4CE1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28</vt:i4>
      </vt:variant>
    </vt:vector>
  </HeadingPairs>
  <TitlesOfParts>
    <vt:vector size="69" baseType="lpstr">
      <vt:lpstr>momen 1p</vt:lpstr>
      <vt:lpstr>thepsan 1p</vt:lpstr>
      <vt:lpstr>SĐD_1 Phương</vt:lpstr>
      <vt:lpstr>TH</vt:lpstr>
      <vt:lpstr>TinhMong</vt:lpstr>
      <vt:lpstr>TinhMongM2XXX</vt:lpstr>
      <vt:lpstr>TinhMongM2</vt:lpstr>
      <vt:lpstr>TinhMongM2 (tinh tam giac)</vt:lpstr>
      <vt:lpstr>Co Ly dat</vt:lpstr>
      <vt:lpstr>Suc khang than coc</vt:lpstr>
      <vt:lpstr>Bangtinhmong</vt:lpstr>
      <vt:lpstr>Bangtra</vt:lpstr>
      <vt:lpstr>Giatricotdienhinh</vt:lpstr>
      <vt:lpstr>Tầng theo</vt:lpstr>
      <vt:lpstr>Tinh cot</vt:lpstr>
      <vt:lpstr>Sheet2</vt:lpstr>
      <vt:lpstr>SĐĐH_2 Phương</vt:lpstr>
      <vt:lpstr>thepsan</vt:lpstr>
      <vt:lpstr>BANGTINHCOT</vt:lpstr>
      <vt:lpstr>momensan</vt:lpstr>
      <vt:lpstr>Thong so vat lieu</vt:lpstr>
      <vt:lpstr>Bảng tra_VL</vt:lpstr>
      <vt:lpstr>Bảng tra hệ số ĐH</vt:lpstr>
      <vt:lpstr>config</vt:lpstr>
      <vt:lpstr>Cotthep</vt:lpstr>
      <vt:lpstr>betong</vt:lpstr>
      <vt:lpstr>tinhtai_san</vt:lpstr>
      <vt:lpstr>hoattai_san</vt:lpstr>
      <vt:lpstr>tải sàn</vt:lpstr>
      <vt:lpstr>dam loai 1 T2</vt:lpstr>
      <vt:lpstr>dam loai 2 T2</vt:lpstr>
      <vt:lpstr>dam loai 3 T2</vt:lpstr>
      <vt:lpstr>TONG HOP T2</vt:lpstr>
      <vt:lpstr>dam loai 1 TD</vt:lpstr>
      <vt:lpstr>dam loai 2 TD</vt:lpstr>
      <vt:lpstr>dam loai 3 TD</vt:lpstr>
      <vt:lpstr>TONG HOP TD</vt:lpstr>
      <vt:lpstr>du lieu</vt:lpstr>
      <vt:lpstr>tra thep</vt:lpstr>
      <vt:lpstr>TINH TOAN</vt:lpstr>
      <vt:lpstr>Sheet1</vt:lpstr>
      <vt:lpstr>BANGTINHCOT!_Hlk46077046</vt:lpstr>
      <vt:lpstr>TH!_Toc445542596</vt:lpstr>
      <vt:lpstr>TH!_Toc445542641</vt:lpstr>
      <vt:lpstr>TH!_Toc44590596</vt:lpstr>
      <vt:lpstr>TH!_Toc44590676</vt:lpstr>
      <vt:lpstr>TinhMong!_Toc44590707</vt:lpstr>
      <vt:lpstr>TinhMongM2!_Toc44590707</vt:lpstr>
      <vt:lpstr>'TinhMongM2 (tinh tam giac)'!_Toc44590707</vt:lpstr>
      <vt:lpstr>TinhMongM2XXX!_Toc44590707</vt:lpstr>
      <vt:lpstr>TinhMong!_Toc44590737</vt:lpstr>
      <vt:lpstr>TinhMong!_Toc44590739</vt:lpstr>
      <vt:lpstr>TinhMong!_Toc44590740</vt:lpstr>
      <vt:lpstr>B_BT</vt:lpstr>
      <vt:lpstr>B_CT</vt:lpstr>
      <vt:lpstr>Ebt</vt:lpstr>
      <vt:lpstr>h0_san</vt:lpstr>
      <vt:lpstr>KH_SAN</vt:lpstr>
      <vt:lpstr>KH_SAN2</vt:lpstr>
      <vt:lpstr>MBT</vt:lpstr>
      <vt:lpstr>MT</vt:lpstr>
      <vt:lpstr>Rb</vt:lpstr>
      <vt:lpstr>Rbt</vt:lpstr>
      <vt:lpstr>Rs_1</vt:lpstr>
      <vt:lpstr>Rs_2</vt:lpstr>
      <vt:lpstr>Rsc_1</vt:lpstr>
      <vt:lpstr>Rsc_2</vt:lpstr>
      <vt:lpstr>solethapphan</vt:lpstr>
      <vt:lpstr>tb_colydat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Minh Thành</dc:creator>
  <cp:lastModifiedBy>Cao Minh Thành</cp:lastModifiedBy>
  <dcterms:created xsi:type="dcterms:W3CDTF">2015-06-05T18:17:20Z</dcterms:created>
  <dcterms:modified xsi:type="dcterms:W3CDTF">2021-09-18T06:39:00Z</dcterms:modified>
</cp:coreProperties>
</file>