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embeddings/oleObject17.bin" ContentType="application/vnd.openxmlformats-officedocument.oleObject"/>
  <Override PartName="/xl/drawings/drawing6.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1. Sàn" sheetId="1" r:id="rId1"/>
    <sheet name="2. D.phụ" sheetId="5" r:id="rId2"/>
    <sheet name="3.1. D.chính 4 nhịp" sheetId="6" r:id="rId3"/>
    <sheet name="CĐ Thep-BT" sheetId="2" state="hidden" r:id="rId4"/>
    <sheet name="Bang Tra" sheetId="4" state="hidden" r:id="rId5"/>
  </sheets>
  <definedNames>
    <definedName name="_xlnm.Print_Area" localSheetId="0">'1. Sàn'!$A$1:$I$184</definedName>
    <definedName name="_xlnm.Print_Area" localSheetId="1">'2. D.phụ'!$A$1:$J$147</definedName>
    <definedName name="_xlnm.Print_Area" localSheetId="2">'3.1. D.chính 4 nhịp'!$A$1:$I$461</definedName>
    <definedName name="_xlnm.Print_Area" localSheetId="3">'CĐ Thep-BT'!$A$1:$O$58</definedName>
  </definedNames>
  <calcPr calcId="144525"/>
</workbook>
</file>

<file path=xl/calcChain.xml><?xml version="1.0" encoding="utf-8"?>
<calcChain xmlns="http://schemas.openxmlformats.org/spreadsheetml/2006/main">
  <c r="L125" i="5" l="1"/>
  <c r="M125" i="5"/>
  <c r="N125" i="5"/>
  <c r="O125" i="5"/>
  <c r="P125" i="5"/>
  <c r="Q125" i="5"/>
  <c r="R125" i="5"/>
  <c r="S125" i="5"/>
  <c r="T125" i="5"/>
  <c r="U125" i="5"/>
  <c r="V125" i="5"/>
  <c r="L126" i="5"/>
  <c r="M126" i="5"/>
  <c r="N126" i="5"/>
  <c r="O126" i="5"/>
  <c r="P126" i="5"/>
  <c r="Q126" i="5"/>
  <c r="R126" i="5"/>
  <c r="S126" i="5"/>
  <c r="T126" i="5"/>
  <c r="U126" i="5"/>
  <c r="V126" i="5"/>
  <c r="L127" i="5"/>
  <c r="M127" i="5"/>
  <c r="N127" i="5"/>
  <c r="O127" i="5"/>
  <c r="P127" i="5"/>
  <c r="Q127" i="5"/>
  <c r="R127" i="5"/>
  <c r="S127" i="5"/>
  <c r="T127" i="5"/>
  <c r="U127" i="5"/>
  <c r="V127" i="5"/>
  <c r="L128" i="5"/>
  <c r="M128" i="5"/>
  <c r="N128" i="5"/>
  <c r="O128" i="5"/>
  <c r="P128" i="5"/>
  <c r="Q128" i="5"/>
  <c r="R128" i="5"/>
  <c r="S128" i="5"/>
  <c r="T128" i="5"/>
  <c r="U128" i="5"/>
  <c r="V128" i="5"/>
  <c r="D136" i="5"/>
  <c r="D132" i="5"/>
  <c r="K153" i="1" l="1"/>
  <c r="K155" i="1"/>
  <c r="K151" i="1"/>
  <c r="J153" i="1" l="1"/>
  <c r="J155" i="1"/>
  <c r="J151" i="1"/>
  <c r="D316" i="6" l="1"/>
  <c r="D317" i="6" s="1"/>
  <c r="D315" i="6"/>
  <c r="D318" i="6" s="1"/>
  <c r="D314" i="6"/>
  <c r="D319" i="6" s="1"/>
  <c r="D313" i="6"/>
  <c r="D320" i="6" s="1"/>
  <c r="D303" i="6"/>
  <c r="D306" i="6" s="1"/>
  <c r="D302" i="6"/>
  <c r="D307" i="6" s="1"/>
  <c r="D308" i="6"/>
  <c r="D305" i="6"/>
  <c r="D292" i="6"/>
  <c r="D293" i="6" s="1"/>
  <c r="D291" i="6"/>
  <c r="D294" i="6" s="1"/>
  <c r="D290" i="6"/>
  <c r="D289" i="6"/>
  <c r="D296" i="6" s="1"/>
  <c r="D280" i="6"/>
  <c r="D279" i="6"/>
  <c r="D282" i="6" s="1"/>
  <c r="D278" i="6"/>
  <c r="D277" i="6"/>
  <c r="D284" i="6" s="1"/>
  <c r="D268" i="6"/>
  <c r="D269" i="6" s="1"/>
  <c r="D267" i="6"/>
  <c r="D270" i="6" s="1"/>
  <c r="D266" i="6"/>
  <c r="D265" i="6"/>
  <c r="D272" i="6" s="1"/>
  <c r="D255" i="6"/>
  <c r="D258" i="6" s="1"/>
  <c r="D254" i="6"/>
  <c r="D259" i="6" s="1"/>
  <c r="D253" i="6"/>
  <c r="D260" i="6" s="1"/>
  <c r="D295" i="6" l="1"/>
  <c r="D281" i="6"/>
  <c r="D283" i="6"/>
  <c r="D271" i="6"/>
  <c r="D243" i="6"/>
  <c r="D244" i="6" s="1"/>
  <c r="D242" i="6"/>
  <c r="D245" i="6" s="1"/>
  <c r="D241" i="6"/>
  <c r="D246" i="6" s="1"/>
  <c r="D240" i="6"/>
  <c r="D247" i="6" s="1"/>
  <c r="C244" i="6"/>
  <c r="C243" i="6"/>
  <c r="C242" i="6"/>
  <c r="C241" i="6"/>
  <c r="C240" i="6"/>
  <c r="D187" i="6"/>
  <c r="D184" i="6"/>
  <c r="D193" i="6"/>
  <c r="D192" i="6"/>
  <c r="D191" i="6"/>
  <c r="D189" i="6"/>
  <c r="D188" i="6"/>
  <c r="D171" i="6"/>
  <c r="D172" i="6"/>
  <c r="D170" i="6"/>
  <c r="D167" i="6"/>
  <c r="D176" i="6"/>
  <c r="D174" i="6"/>
  <c r="D159" i="6"/>
  <c r="D155" i="6"/>
  <c r="D154" i="6"/>
  <c r="D142" i="6"/>
  <c r="D141" i="6"/>
  <c r="D140" i="6"/>
  <c r="D138" i="6"/>
  <c r="D137" i="6"/>
  <c r="D153" i="6"/>
  <c r="D150" i="6"/>
  <c r="D156" i="6" s="1"/>
  <c r="D149" i="6"/>
  <c r="D148" i="6"/>
  <c r="D158" i="6" s="1"/>
  <c r="D136" i="6"/>
  <c r="D133" i="6"/>
  <c r="D139" i="6" s="1"/>
  <c r="D119" i="6"/>
  <c r="D118" i="6"/>
  <c r="D120" i="6" s="1"/>
  <c r="D117" i="6"/>
  <c r="D116" i="6"/>
  <c r="D122" i="6" s="1"/>
  <c r="D115" i="6"/>
  <c r="D123" i="6" s="1"/>
  <c r="D114" i="6"/>
  <c r="D124" i="6" s="1"/>
  <c r="D102" i="6"/>
  <c r="D101" i="6"/>
  <c r="D103" i="6" s="1"/>
  <c r="D100" i="6"/>
  <c r="D104" i="6" s="1"/>
  <c r="D99" i="6"/>
  <c r="D105" i="6" s="1"/>
  <c r="D98" i="6"/>
  <c r="D106" i="6" s="1"/>
  <c r="D97" i="6"/>
  <c r="D107" i="6" s="1"/>
  <c r="D96" i="6"/>
  <c r="D108" i="6" s="1"/>
  <c r="I7" i="6"/>
  <c r="D91" i="6"/>
  <c r="D85" i="6"/>
  <c r="D84" i="6"/>
  <c r="D86" i="6" s="1"/>
  <c r="D83" i="6"/>
  <c r="D87" i="6" s="1"/>
  <c r="D82" i="6"/>
  <c r="D88" i="6" s="1"/>
  <c r="D81" i="6"/>
  <c r="D89" i="6" s="1"/>
  <c r="D80" i="6"/>
  <c r="D90" i="6" s="1"/>
  <c r="C30" i="6"/>
  <c r="C407" i="6" l="1"/>
  <c r="G407" i="6"/>
  <c r="D407" i="6"/>
  <c r="F407" i="6"/>
  <c r="B407" i="6"/>
  <c r="H407" i="6"/>
  <c r="E407" i="6"/>
  <c r="I407" i="6"/>
  <c r="D157" i="6"/>
  <c r="D190" i="6"/>
  <c r="D173" i="6"/>
  <c r="D175" i="6"/>
  <c r="D121" i="6"/>
  <c r="D125" i="6"/>
  <c r="C6" i="6" l="1"/>
  <c r="C5" i="6"/>
  <c r="L117" i="5"/>
  <c r="P117" i="5"/>
  <c r="N117" i="5"/>
  <c r="F75" i="1"/>
  <c r="E75" i="1"/>
  <c r="D75" i="1"/>
  <c r="C75" i="1"/>
  <c r="F72" i="1"/>
  <c r="E72" i="1"/>
  <c r="D72" i="1"/>
  <c r="C72" i="1"/>
  <c r="A73" i="1"/>
  <c r="A70" i="1"/>
  <c r="A67" i="1"/>
  <c r="G156" i="1"/>
  <c r="G154" i="1"/>
  <c r="G152" i="1"/>
  <c r="I139" i="5"/>
  <c r="I137" i="5"/>
  <c r="I135" i="5"/>
  <c r="I133" i="5"/>
  <c r="M49" i="1" l="1"/>
  <c r="F123" i="5" s="1"/>
  <c r="K134" i="5" l="1"/>
  <c r="K136" i="5"/>
  <c r="K138" i="5"/>
  <c r="K132" i="5"/>
  <c r="C132" i="5"/>
  <c r="C134" i="5"/>
  <c r="C138" i="5"/>
  <c r="L118" i="5"/>
  <c r="L119" i="5"/>
  <c r="J49" i="1"/>
  <c r="L120" i="5" s="1"/>
  <c r="L114" i="5" s="1"/>
  <c r="L121" i="5"/>
  <c r="I147" i="5" s="1"/>
  <c r="J147" i="5" s="1"/>
  <c r="L122" i="5"/>
  <c r="L123" i="5"/>
  <c r="C136" i="5"/>
  <c r="F13" i="2"/>
  <c r="G13" i="2"/>
  <c r="H13" i="2"/>
  <c r="I13" i="2"/>
  <c r="J13" i="2"/>
  <c r="K13" i="2"/>
  <c r="L13" i="2"/>
  <c r="M13" i="2"/>
  <c r="N13" i="2"/>
  <c r="D13" i="2"/>
  <c r="E13" i="2"/>
  <c r="I144" i="5" l="1"/>
  <c r="L132" i="5"/>
  <c r="G138" i="5"/>
  <c r="G134" i="5"/>
  <c r="C127" i="5"/>
  <c r="C126" i="5"/>
  <c r="C116" i="5"/>
  <c r="C117" i="5"/>
  <c r="F95" i="1" l="1"/>
  <c r="J54" i="1" l="1"/>
  <c r="J52" i="1"/>
  <c r="J53" i="1"/>
  <c r="E144" i="1" s="1"/>
  <c r="F99" i="1"/>
  <c r="G15" i="5" l="1"/>
  <c r="E15" i="5"/>
  <c r="B69" i="5"/>
  <c r="B68" i="5"/>
  <c r="B67" i="5"/>
  <c r="B66" i="5"/>
  <c r="E66" i="5" s="1"/>
  <c r="B65" i="5"/>
  <c r="E65" i="5" s="1"/>
  <c r="B64" i="5"/>
  <c r="E64" i="5" s="1"/>
  <c r="B63" i="5"/>
  <c r="E63" i="5" s="1"/>
  <c r="B62" i="5"/>
  <c r="E62" i="5" s="1"/>
  <c r="B61" i="5"/>
  <c r="E61" i="5" s="1"/>
  <c r="B60" i="5"/>
  <c r="E60" i="5" s="1"/>
  <c r="B59" i="5"/>
  <c r="E59" i="5" s="1"/>
  <c r="B58" i="5"/>
  <c r="E58" i="5" s="1"/>
  <c r="B57" i="5"/>
  <c r="E57" i="5" s="1"/>
  <c r="B56" i="5"/>
  <c r="E56" i="5" s="1"/>
  <c r="B55" i="5"/>
  <c r="E55" i="5" s="1"/>
  <c r="Y50" i="4"/>
  <c r="X50" i="4"/>
  <c r="W50" i="4"/>
  <c r="V50" i="4"/>
  <c r="F17" i="5"/>
  <c r="C17" i="5"/>
  <c r="H15" i="5"/>
  <c r="B15" i="5"/>
  <c r="F9" i="5"/>
  <c r="H49" i="5" s="1"/>
  <c r="D9" i="5"/>
  <c r="D8" i="5"/>
  <c r="E8" i="5"/>
  <c r="H50" i="5" s="1"/>
  <c r="E6" i="5"/>
  <c r="E5" i="5"/>
  <c r="E68" i="5" l="1"/>
  <c r="E67" i="5"/>
  <c r="C15" i="5"/>
  <c r="A13" i="5"/>
  <c r="F15" i="5"/>
  <c r="E69" i="5"/>
  <c r="H51" i="5"/>
  <c r="F27" i="5"/>
  <c r="C54" i="5"/>
  <c r="H47" i="5"/>
  <c r="C61" i="5"/>
  <c r="C67" i="5"/>
  <c r="G11" i="5"/>
  <c r="F118" i="1" l="1"/>
  <c r="F119" i="1"/>
  <c r="F120" i="1"/>
  <c r="F117" i="1"/>
  <c r="F121" i="1"/>
  <c r="F31" i="5" s="1"/>
  <c r="D33" i="6" s="1"/>
  <c r="E313" i="6" l="1"/>
  <c r="E289" i="6"/>
  <c r="E265" i="6"/>
  <c r="E96" i="6"/>
  <c r="E181" i="6"/>
  <c r="E301" i="6"/>
  <c r="E277" i="6"/>
  <c r="E164" i="6"/>
  <c r="E130" i="6"/>
  <c r="E253" i="6"/>
  <c r="E113" i="6"/>
  <c r="E147" i="6"/>
  <c r="F122" i="1"/>
  <c r="D58" i="1"/>
  <c r="F98" i="6" l="1"/>
  <c r="F102" i="6"/>
  <c r="F101" i="6"/>
  <c r="F103" i="6"/>
  <c r="F106" i="6"/>
  <c r="F105" i="6"/>
  <c r="F97" i="6"/>
  <c r="F100" i="6"/>
  <c r="F99" i="6"/>
  <c r="F96" i="6"/>
  <c r="F107" i="6"/>
  <c r="F108" i="6"/>
  <c r="F104" i="6"/>
  <c r="F116" i="6"/>
  <c r="F121" i="6"/>
  <c r="F122" i="6"/>
  <c r="F123" i="6"/>
  <c r="F120" i="6"/>
  <c r="F125" i="6"/>
  <c r="F113" i="6"/>
  <c r="F124" i="6"/>
  <c r="F114" i="6"/>
  <c r="F115" i="6"/>
  <c r="F117" i="6"/>
  <c r="F118" i="6"/>
  <c r="F119" i="6"/>
  <c r="F281" i="6"/>
  <c r="F278" i="6"/>
  <c r="F277" i="6"/>
  <c r="F279" i="6"/>
  <c r="F283" i="6"/>
  <c r="F282" i="6"/>
  <c r="F284" i="6"/>
  <c r="F280" i="6"/>
  <c r="F270" i="6"/>
  <c r="F272" i="6"/>
  <c r="F269" i="6"/>
  <c r="F267" i="6"/>
  <c r="F271" i="6"/>
  <c r="F266" i="6"/>
  <c r="F268" i="6"/>
  <c r="F265" i="6"/>
  <c r="F257" i="6"/>
  <c r="F255" i="6"/>
  <c r="F256" i="6"/>
  <c r="F253" i="6"/>
  <c r="F260" i="6"/>
  <c r="F254" i="6"/>
  <c r="F259" i="6"/>
  <c r="F258" i="6"/>
  <c r="F304" i="6"/>
  <c r="F302" i="6"/>
  <c r="F308" i="6"/>
  <c r="F306" i="6"/>
  <c r="F303" i="6"/>
  <c r="F305" i="6"/>
  <c r="F307" i="6"/>
  <c r="F301" i="6"/>
  <c r="F290" i="6"/>
  <c r="F295" i="6"/>
  <c r="F292" i="6"/>
  <c r="F293" i="6"/>
  <c r="F291" i="6"/>
  <c r="F289" i="6"/>
  <c r="F294" i="6"/>
  <c r="F296" i="6"/>
  <c r="F167" i="6"/>
  <c r="F191" i="6"/>
  <c r="F139" i="6"/>
  <c r="F154" i="6"/>
  <c r="F141" i="6"/>
  <c r="F158" i="6"/>
  <c r="F142" i="6"/>
  <c r="F169" i="6"/>
  <c r="F135" i="6"/>
  <c r="F168" i="6"/>
  <c r="F131" i="6"/>
  <c r="F133" i="6"/>
  <c r="F164" i="6"/>
  <c r="F174" i="6"/>
  <c r="F136" i="6"/>
  <c r="F156" i="6"/>
  <c r="F173" i="6"/>
  <c r="F182" i="6"/>
  <c r="F148" i="6"/>
  <c r="F186" i="6"/>
  <c r="F153" i="6"/>
  <c r="F193" i="6"/>
  <c r="F165" i="6"/>
  <c r="F137" i="6"/>
  <c r="F140" i="6"/>
  <c r="F138" i="6"/>
  <c r="F187" i="6"/>
  <c r="F175" i="6"/>
  <c r="F149" i="6"/>
  <c r="F188" i="6"/>
  <c r="F166" i="6"/>
  <c r="F132" i="6"/>
  <c r="F181" i="6"/>
  <c r="F147" i="6"/>
  <c r="F189" i="6"/>
  <c r="F157" i="6"/>
  <c r="F183" i="6"/>
  <c r="F155" i="6"/>
  <c r="F150" i="6"/>
  <c r="F171" i="6"/>
  <c r="F184" i="6"/>
  <c r="F192" i="6"/>
  <c r="F170" i="6"/>
  <c r="F159" i="6"/>
  <c r="F130" i="6"/>
  <c r="F172" i="6"/>
  <c r="F134" i="6"/>
  <c r="F185" i="6"/>
  <c r="F152" i="6"/>
  <c r="F176" i="6"/>
  <c r="F151" i="6"/>
  <c r="F190" i="6"/>
  <c r="F314" i="6"/>
  <c r="F316" i="6"/>
  <c r="F318" i="6"/>
  <c r="F320" i="6"/>
  <c r="F315" i="6"/>
  <c r="F317" i="6"/>
  <c r="F319" i="6"/>
  <c r="F313" i="6"/>
  <c r="F123" i="1"/>
  <c r="F29" i="5"/>
  <c r="F30" i="5" s="1"/>
  <c r="D29" i="6" s="1"/>
  <c r="C31" i="6" s="1"/>
  <c r="C162" i="1"/>
  <c r="C159" i="1"/>
  <c r="B140" i="1"/>
  <c r="D140" i="1"/>
  <c r="C160" i="1" s="1"/>
  <c r="C163" i="1" s="1"/>
  <c r="E106" i="1"/>
  <c r="B180" i="1" s="1"/>
  <c r="C106" i="1"/>
  <c r="E105" i="1"/>
  <c r="B184" i="1" s="1"/>
  <c r="C105" i="1"/>
  <c r="B99" i="1"/>
  <c r="D99" i="1"/>
  <c r="C99" i="1"/>
  <c r="A99" i="1"/>
  <c r="H97" i="1"/>
  <c r="C100" i="1"/>
  <c r="E100" i="1"/>
  <c r="E79" i="6" l="1"/>
  <c r="E240" i="6"/>
  <c r="F32" i="5"/>
  <c r="D54" i="5"/>
  <c r="G29" i="5"/>
  <c r="E159" i="1"/>
  <c r="G159" i="1" s="1"/>
  <c r="B176" i="1"/>
  <c r="B178" i="1"/>
  <c r="B182" i="1"/>
  <c r="E162" i="1"/>
  <c r="G162" i="1" s="1"/>
  <c r="F246" i="6" l="1"/>
  <c r="F240" i="6"/>
  <c r="F247" i="6"/>
  <c r="F244" i="6"/>
  <c r="F241" i="6"/>
  <c r="F243" i="6"/>
  <c r="F245" i="6"/>
  <c r="F242" i="6"/>
  <c r="F81" i="6"/>
  <c r="F89" i="6"/>
  <c r="F83" i="6"/>
  <c r="F86" i="6"/>
  <c r="F88" i="6"/>
  <c r="F91" i="6"/>
  <c r="F82" i="6"/>
  <c r="F80" i="6"/>
  <c r="F87" i="6"/>
  <c r="F85" i="6"/>
  <c r="F90" i="6"/>
  <c r="F84" i="6"/>
  <c r="F79" i="6"/>
  <c r="G31" i="5"/>
  <c r="Q41" i="4"/>
  <c r="Q37" i="4"/>
  <c r="Q45" i="4"/>
  <c r="Q39" i="4"/>
  <c r="Q40" i="4"/>
  <c r="Q38" i="4"/>
  <c r="Q43" i="4"/>
  <c r="Q44" i="4"/>
  <c r="Q42" i="4"/>
  <c r="H59" i="5"/>
  <c r="H63" i="5"/>
  <c r="F61" i="5"/>
  <c r="F68" i="5"/>
  <c r="F66" i="5"/>
  <c r="H54" i="5"/>
  <c r="H56" i="5"/>
  <c r="F55" i="5"/>
  <c r="F56" i="5"/>
  <c r="F57" i="5"/>
  <c r="F67" i="5"/>
  <c r="H58" i="5"/>
  <c r="H69" i="5"/>
  <c r="F59" i="5"/>
  <c r="F60" i="5"/>
  <c r="F54" i="5"/>
  <c r="F58" i="5"/>
  <c r="H55" i="5"/>
  <c r="H57" i="5"/>
  <c r="F63" i="5"/>
  <c r="F64" i="5"/>
  <c r="F65" i="5"/>
  <c r="F62" i="5"/>
  <c r="F81" i="5"/>
  <c r="B145" i="5" s="1"/>
  <c r="F80" i="5"/>
  <c r="B144" i="5" s="1"/>
  <c r="F82" i="5"/>
  <c r="B146" i="5" s="1"/>
  <c r="B151" i="1"/>
  <c r="B155" i="1"/>
  <c r="B153" i="1"/>
  <c r="E138" i="5" l="1"/>
  <c r="G135" i="6"/>
  <c r="G152" i="6"/>
  <c r="G186" i="6"/>
  <c r="G118" i="6"/>
  <c r="G169" i="6"/>
  <c r="G101" i="6"/>
  <c r="G165" i="6"/>
  <c r="G97" i="6"/>
  <c r="G148" i="6"/>
  <c r="G114" i="6"/>
  <c r="G131" i="6"/>
  <c r="G182" i="6"/>
  <c r="G120" i="6"/>
  <c r="G154" i="6"/>
  <c r="G188" i="6"/>
  <c r="G171" i="6"/>
  <c r="G137" i="6"/>
  <c r="G103" i="6"/>
  <c r="G255" i="6"/>
  <c r="G303" i="6"/>
  <c r="G315" i="6"/>
  <c r="G279" i="6"/>
  <c r="G267" i="6"/>
  <c r="G291" i="6"/>
  <c r="G305" i="6"/>
  <c r="G269" i="6"/>
  <c r="G293" i="6"/>
  <c r="G317" i="6"/>
  <c r="G281" i="6"/>
  <c r="G257" i="6"/>
  <c r="G141" i="6"/>
  <c r="G158" i="6"/>
  <c r="G175" i="6"/>
  <c r="G192" i="6"/>
  <c r="G124" i="6"/>
  <c r="G107" i="6"/>
  <c r="G150" i="6"/>
  <c r="G133" i="6"/>
  <c r="G116" i="6"/>
  <c r="G167" i="6"/>
  <c r="G99" i="6"/>
  <c r="G184" i="6"/>
  <c r="G168" i="6"/>
  <c r="G100" i="6"/>
  <c r="G117" i="6"/>
  <c r="G151" i="6"/>
  <c r="G134" i="6"/>
  <c r="G185" i="6"/>
  <c r="G306" i="6"/>
  <c r="G318" i="6"/>
  <c r="G270" i="6"/>
  <c r="G282" i="6"/>
  <c r="G294" i="6"/>
  <c r="G258" i="6"/>
  <c r="G296" i="6"/>
  <c r="G320" i="6"/>
  <c r="G284" i="6"/>
  <c r="G260" i="6"/>
  <c r="G308" i="6"/>
  <c r="G272" i="6"/>
  <c r="G102" i="6"/>
  <c r="G136" i="6"/>
  <c r="G187" i="6"/>
  <c r="G153" i="6"/>
  <c r="G170" i="6"/>
  <c r="G119" i="6"/>
  <c r="G142" i="6"/>
  <c r="G193" i="6"/>
  <c r="G108" i="6"/>
  <c r="G176" i="6"/>
  <c r="G125" i="6"/>
  <c r="G159" i="6"/>
  <c r="G191" i="6"/>
  <c r="G140" i="6"/>
  <c r="G123" i="6"/>
  <c r="G157" i="6"/>
  <c r="G174" i="6"/>
  <c r="G106" i="6"/>
  <c r="G304" i="6"/>
  <c r="G268" i="6"/>
  <c r="G316" i="6"/>
  <c r="G256" i="6"/>
  <c r="G280" i="6"/>
  <c r="G292" i="6"/>
  <c r="G265" i="6"/>
  <c r="G277" i="6"/>
  <c r="G253" i="6"/>
  <c r="G313" i="6"/>
  <c r="G301" i="6"/>
  <c r="G289" i="6"/>
  <c r="G181" i="6"/>
  <c r="G96" i="6"/>
  <c r="G147" i="6"/>
  <c r="G113" i="6"/>
  <c r="G164" i="6"/>
  <c r="G130" i="6"/>
  <c r="G172" i="6"/>
  <c r="G155" i="6"/>
  <c r="G138" i="6"/>
  <c r="G121" i="6"/>
  <c r="G189" i="6"/>
  <c r="G104" i="6"/>
  <c r="G190" i="6"/>
  <c r="G139" i="6"/>
  <c r="G105" i="6"/>
  <c r="G173" i="6"/>
  <c r="G156" i="6"/>
  <c r="G122" i="6"/>
  <c r="G98" i="6"/>
  <c r="G183" i="6"/>
  <c r="G166" i="6"/>
  <c r="G149" i="6"/>
  <c r="G115" i="6"/>
  <c r="G132" i="6"/>
  <c r="G302" i="6"/>
  <c r="G314" i="6"/>
  <c r="G290" i="6"/>
  <c r="G254" i="6"/>
  <c r="G278" i="6"/>
  <c r="G266" i="6"/>
  <c r="G271" i="6"/>
  <c r="G259" i="6"/>
  <c r="G283" i="6"/>
  <c r="G295" i="6"/>
  <c r="G319" i="6"/>
  <c r="G307" i="6"/>
  <c r="E132" i="5"/>
  <c r="E136" i="5"/>
  <c r="C122" i="5"/>
  <c r="W43" i="4"/>
  <c r="S43" i="4"/>
  <c r="T43" i="4"/>
  <c r="V43" i="4"/>
  <c r="U43" i="4"/>
  <c r="R43" i="4"/>
  <c r="X43" i="4"/>
  <c r="Y43" i="4"/>
  <c r="Z43" i="4"/>
  <c r="S45" i="4"/>
  <c r="Y45" i="4"/>
  <c r="T45" i="4"/>
  <c r="R45" i="4"/>
  <c r="X45" i="4"/>
  <c r="V45" i="4"/>
  <c r="W45" i="4"/>
  <c r="U45" i="4"/>
  <c r="Z45" i="4"/>
  <c r="S38" i="4"/>
  <c r="R38" i="4"/>
  <c r="X38" i="4"/>
  <c r="W38" i="4"/>
  <c r="Z38" i="4"/>
  <c r="T38" i="4"/>
  <c r="U38" i="4"/>
  <c r="Y38" i="4"/>
  <c r="V38" i="4"/>
  <c r="W42" i="4"/>
  <c r="U42" i="4"/>
  <c r="Y42" i="4"/>
  <c r="S42" i="4"/>
  <c r="V42" i="4"/>
  <c r="Z42" i="4"/>
  <c r="X42" i="4"/>
  <c r="R42" i="4"/>
  <c r="T42" i="4"/>
  <c r="S40" i="4"/>
  <c r="U40" i="4"/>
  <c r="V40" i="4"/>
  <c r="R40" i="4"/>
  <c r="Z40" i="4"/>
  <c r="T40" i="4"/>
  <c r="X40" i="4"/>
  <c r="W40" i="4"/>
  <c r="Y40" i="4"/>
  <c r="W41" i="4"/>
  <c r="Z41" i="4"/>
  <c r="T41" i="4"/>
  <c r="Y41" i="4"/>
  <c r="V41" i="4"/>
  <c r="U41" i="4"/>
  <c r="R41" i="4"/>
  <c r="S41" i="4"/>
  <c r="X41" i="4"/>
  <c r="Z44" i="4"/>
  <c r="T44" i="4"/>
  <c r="W44" i="4"/>
  <c r="X44" i="4"/>
  <c r="S44" i="4"/>
  <c r="U44" i="4"/>
  <c r="V44" i="4"/>
  <c r="R44" i="4"/>
  <c r="Y44" i="4"/>
  <c r="D81" i="1"/>
  <c r="F69" i="1"/>
  <c r="E69" i="1"/>
  <c r="D69" i="1"/>
  <c r="C69" i="1"/>
  <c r="A59" i="1"/>
  <c r="A64" i="1"/>
  <c r="E66" i="1"/>
  <c r="D66" i="1"/>
  <c r="D123" i="5" s="1"/>
  <c r="C66" i="1"/>
  <c r="L116" i="5" s="1"/>
  <c r="E144" i="5" s="1"/>
  <c r="D83" i="1"/>
  <c r="D84" i="1" s="1"/>
  <c r="G84" i="1" s="1"/>
  <c r="D80" i="1"/>
  <c r="H80" i="1" s="1"/>
  <c r="D45" i="2"/>
  <c r="D46" i="2" s="1"/>
  <c r="E45" i="2"/>
  <c r="E46" i="2" s="1"/>
  <c r="F45" i="2"/>
  <c r="F46" i="2" s="1"/>
  <c r="G45" i="2"/>
  <c r="G46" i="2" s="1"/>
  <c r="H45" i="2"/>
  <c r="H46" i="2" s="1"/>
  <c r="I45" i="2"/>
  <c r="I46" i="2" s="1"/>
  <c r="J45" i="2"/>
  <c r="J46" i="2" s="1"/>
  <c r="K45" i="2"/>
  <c r="K46" i="2" s="1"/>
  <c r="L45" i="2"/>
  <c r="L46" i="2" s="1"/>
  <c r="M45" i="2"/>
  <c r="M46" i="2" s="1"/>
  <c r="N45" i="2"/>
  <c r="N46" i="2" s="1"/>
  <c r="O45" i="2"/>
  <c r="O46" i="2" s="1"/>
  <c r="C45" i="2"/>
  <c r="C58" i="2" s="1"/>
  <c r="F325" i="6" l="1"/>
  <c r="D325" i="6"/>
  <c r="D324" i="6"/>
  <c r="F324" i="6"/>
  <c r="D326" i="6"/>
  <c r="F326" i="6"/>
  <c r="D330" i="6"/>
  <c r="F330" i="6"/>
  <c r="D328" i="6"/>
  <c r="F328" i="6"/>
  <c r="F327" i="6"/>
  <c r="D327" i="6"/>
  <c r="F329" i="6"/>
  <c r="D329" i="6"/>
  <c r="D345" i="6"/>
  <c r="F323" i="6"/>
  <c r="D197" i="6"/>
  <c r="K197" i="6" s="1"/>
  <c r="F197" i="6"/>
  <c r="L197" i="6" s="1"/>
  <c r="D201" i="6"/>
  <c r="K201" i="6" s="1"/>
  <c r="F201" i="6"/>
  <c r="L201" i="6" s="1"/>
  <c r="D208" i="6"/>
  <c r="K208" i="6" s="1"/>
  <c r="F208" i="6"/>
  <c r="L208" i="6" s="1"/>
  <c r="F198" i="6"/>
  <c r="L198" i="6" s="1"/>
  <c r="D198" i="6"/>
  <c r="K198" i="6" s="1"/>
  <c r="D323" i="6"/>
  <c r="F205" i="6"/>
  <c r="L205" i="6" s="1"/>
  <c r="D205" i="6"/>
  <c r="K205" i="6" s="1"/>
  <c r="D207" i="6"/>
  <c r="K207" i="6" s="1"/>
  <c r="F207" i="6"/>
  <c r="L207" i="6" s="1"/>
  <c r="D204" i="6"/>
  <c r="K204" i="6" s="1"/>
  <c r="F204" i="6"/>
  <c r="L204" i="6" s="1"/>
  <c r="D202" i="6"/>
  <c r="K202" i="6" s="1"/>
  <c r="F202" i="6"/>
  <c r="L202" i="6" s="1"/>
  <c r="D199" i="6"/>
  <c r="K199" i="6" s="1"/>
  <c r="F199" i="6"/>
  <c r="L199" i="6" s="1"/>
  <c r="F206" i="6"/>
  <c r="L206" i="6" s="1"/>
  <c r="D206" i="6"/>
  <c r="K206" i="6" s="1"/>
  <c r="F209" i="6"/>
  <c r="L209" i="6" s="1"/>
  <c r="D209" i="6"/>
  <c r="K209" i="6" s="1"/>
  <c r="F203" i="6"/>
  <c r="L203" i="6" s="1"/>
  <c r="D203" i="6"/>
  <c r="K203" i="6" s="1"/>
  <c r="F200" i="6"/>
  <c r="L200" i="6" s="1"/>
  <c r="D200" i="6"/>
  <c r="K200" i="6" s="1"/>
  <c r="H134" i="5"/>
  <c r="M134" i="5" s="1"/>
  <c r="H138" i="5"/>
  <c r="M138" i="5" s="1"/>
  <c r="L115" i="5"/>
  <c r="G136" i="5"/>
  <c r="H136" i="5" s="1"/>
  <c r="M136" i="5" s="1"/>
  <c r="F136" i="5"/>
  <c r="G132" i="5"/>
  <c r="H132" i="5" s="1"/>
  <c r="F132" i="5"/>
  <c r="C143" i="1"/>
  <c r="C151" i="1" s="1"/>
  <c r="D151" i="1" s="1"/>
  <c r="B124" i="5"/>
  <c r="C113" i="5"/>
  <c r="I151" i="1"/>
  <c r="G83" i="1"/>
  <c r="G81" i="1"/>
  <c r="D82" i="1"/>
  <c r="G82" i="1" s="1"/>
  <c r="H84" i="1"/>
  <c r="G91" i="1" s="1"/>
  <c r="G80" i="1"/>
  <c r="G87" i="1" s="1"/>
  <c r="H83" i="1"/>
  <c r="H81" i="1"/>
  <c r="C57" i="2"/>
  <c r="C53" i="2"/>
  <c r="C49" i="2"/>
  <c r="O58" i="2"/>
  <c r="K58" i="2"/>
  <c r="G58" i="2"/>
  <c r="O57" i="2"/>
  <c r="K57" i="2"/>
  <c r="G57" i="2"/>
  <c r="O56" i="2"/>
  <c r="K56" i="2"/>
  <c r="G56" i="2"/>
  <c r="O55" i="2"/>
  <c r="K55" i="2"/>
  <c r="G55" i="2"/>
  <c r="O54" i="2"/>
  <c r="K54" i="2"/>
  <c r="G54" i="2"/>
  <c r="O53" i="2"/>
  <c r="K53" i="2"/>
  <c r="G53" i="2"/>
  <c r="O52" i="2"/>
  <c r="K52" i="2"/>
  <c r="G52" i="2"/>
  <c r="O51" i="2"/>
  <c r="K51" i="2"/>
  <c r="G51" i="2"/>
  <c r="O50" i="2"/>
  <c r="K50" i="2"/>
  <c r="G50" i="2"/>
  <c r="O49" i="2"/>
  <c r="K49" i="2"/>
  <c r="G49" i="2"/>
  <c r="O48" i="2"/>
  <c r="K48" i="2"/>
  <c r="G48" i="2"/>
  <c r="O47" i="2"/>
  <c r="K47" i="2"/>
  <c r="G47" i="2"/>
  <c r="C56" i="2"/>
  <c r="C52" i="2"/>
  <c r="C48" i="2"/>
  <c r="N58" i="2"/>
  <c r="J58" i="2"/>
  <c r="F58" i="2"/>
  <c r="N57" i="2"/>
  <c r="J57" i="2"/>
  <c r="F57" i="2"/>
  <c r="N56" i="2"/>
  <c r="J56" i="2"/>
  <c r="F56" i="2"/>
  <c r="N55" i="2"/>
  <c r="J55" i="2"/>
  <c r="F55" i="2"/>
  <c r="N54" i="2"/>
  <c r="J54" i="2"/>
  <c r="F54" i="2"/>
  <c r="N53" i="2"/>
  <c r="J53" i="2"/>
  <c r="F53" i="2"/>
  <c r="N52" i="2"/>
  <c r="J52" i="2"/>
  <c r="F52" i="2"/>
  <c r="N51" i="2"/>
  <c r="J51" i="2"/>
  <c r="F51" i="2"/>
  <c r="N50" i="2"/>
  <c r="J50" i="2"/>
  <c r="F50" i="2"/>
  <c r="N49" i="2"/>
  <c r="J49" i="2"/>
  <c r="F49" i="2"/>
  <c r="N48" i="2"/>
  <c r="J48" i="2"/>
  <c r="F48" i="2"/>
  <c r="N47" i="2"/>
  <c r="J47" i="2"/>
  <c r="F47" i="2"/>
  <c r="C55" i="2"/>
  <c r="C51" i="2"/>
  <c r="C47" i="2"/>
  <c r="M58" i="2"/>
  <c r="I58" i="2"/>
  <c r="E58" i="2"/>
  <c r="M57" i="2"/>
  <c r="I57" i="2"/>
  <c r="E57" i="2"/>
  <c r="M56" i="2"/>
  <c r="I56" i="2"/>
  <c r="E56" i="2"/>
  <c r="M55" i="2"/>
  <c r="I55" i="2"/>
  <c r="E55" i="2"/>
  <c r="M54" i="2"/>
  <c r="I54" i="2"/>
  <c r="E54" i="2"/>
  <c r="M53" i="2"/>
  <c r="I53" i="2"/>
  <c r="E53" i="2"/>
  <c r="M52" i="2"/>
  <c r="I52" i="2"/>
  <c r="E52" i="2"/>
  <c r="M51" i="2"/>
  <c r="I51" i="2"/>
  <c r="E51" i="2"/>
  <c r="M50" i="2"/>
  <c r="I50" i="2"/>
  <c r="E50" i="2"/>
  <c r="M49" i="2"/>
  <c r="I49" i="2"/>
  <c r="E49" i="2"/>
  <c r="M48" i="2"/>
  <c r="I48" i="2"/>
  <c r="E48" i="2"/>
  <c r="M47" i="2"/>
  <c r="I47" i="2"/>
  <c r="E47" i="2"/>
  <c r="C46" i="2"/>
  <c r="C54" i="2"/>
  <c r="C50" i="2"/>
  <c r="L58" i="2"/>
  <c r="H58" i="2"/>
  <c r="D58" i="2"/>
  <c r="L57" i="2"/>
  <c r="H57" i="2"/>
  <c r="D57" i="2"/>
  <c r="L56" i="2"/>
  <c r="H56" i="2"/>
  <c r="D56" i="2"/>
  <c r="L55" i="2"/>
  <c r="H55" i="2"/>
  <c r="D55" i="2"/>
  <c r="L54" i="2"/>
  <c r="H54" i="2"/>
  <c r="D54" i="2"/>
  <c r="L53" i="2"/>
  <c r="H53" i="2"/>
  <c r="D53" i="2"/>
  <c r="L52" i="2"/>
  <c r="H52" i="2"/>
  <c r="D52" i="2"/>
  <c r="L51" i="2"/>
  <c r="H51" i="2"/>
  <c r="D51" i="2"/>
  <c r="L50" i="2"/>
  <c r="H50" i="2"/>
  <c r="D50" i="2"/>
  <c r="L49" i="2"/>
  <c r="H49" i="2"/>
  <c r="D49" i="2"/>
  <c r="L48" i="2"/>
  <c r="H48" i="2"/>
  <c r="D48" i="2"/>
  <c r="L47" i="2"/>
  <c r="H47" i="2"/>
  <c r="D47" i="2"/>
  <c r="D344" i="6" l="1"/>
  <c r="D348" i="6"/>
  <c r="D342" i="6"/>
  <c r="D341" i="6"/>
  <c r="D346" i="6"/>
  <c r="D347" i="6"/>
  <c r="D343" i="6"/>
  <c r="E346" i="6"/>
  <c r="E348" i="6"/>
  <c r="E343" i="6"/>
  <c r="E342" i="6"/>
  <c r="E347" i="6"/>
  <c r="E345" i="6"/>
  <c r="E344" i="6"/>
  <c r="E341" i="6"/>
  <c r="C155" i="1"/>
  <c r="D155" i="1" s="1"/>
  <c r="I153" i="1"/>
  <c r="C153" i="1"/>
  <c r="D153" i="1" s="1"/>
  <c r="I155" i="1"/>
  <c r="O132" i="5"/>
  <c r="M132" i="5"/>
  <c r="O138" i="5"/>
  <c r="N138" i="5"/>
  <c r="N134" i="5"/>
  <c r="O134" i="5"/>
  <c r="F144" i="5"/>
  <c r="H146" i="5"/>
  <c r="H145" i="5"/>
  <c r="G146" i="5"/>
  <c r="G145" i="5"/>
  <c r="J145" i="5" s="1"/>
  <c r="H144" i="5"/>
  <c r="G144" i="5"/>
  <c r="O136" i="5"/>
  <c r="N136" i="5"/>
  <c r="N132" i="5"/>
  <c r="B119" i="5"/>
  <c r="G88" i="1"/>
  <c r="G90" i="1"/>
  <c r="E153" i="1"/>
  <c r="F153" i="1" s="1"/>
  <c r="E151" i="1"/>
  <c r="F151" i="1" s="1"/>
  <c r="H82" i="1"/>
  <c r="G89" i="1" s="1"/>
  <c r="V37" i="4"/>
  <c r="G348" i="6" l="1"/>
  <c r="I460" i="6" s="1"/>
  <c r="F345" i="6"/>
  <c r="F353" i="6" s="1"/>
  <c r="G345" i="6"/>
  <c r="F460" i="6" s="1"/>
  <c r="G346" i="6"/>
  <c r="G460" i="6" s="1"/>
  <c r="F346" i="6"/>
  <c r="G353" i="6" s="1"/>
  <c r="F341" i="6"/>
  <c r="B353" i="6" s="1"/>
  <c r="G341" i="6"/>
  <c r="B460" i="6" s="1"/>
  <c r="G342" i="6"/>
  <c r="C460" i="6" s="1"/>
  <c r="F342" i="6"/>
  <c r="C353" i="6" s="1"/>
  <c r="G344" i="6"/>
  <c r="E460" i="6" s="1"/>
  <c r="F344" i="6"/>
  <c r="E353" i="6" s="1"/>
  <c r="G343" i="6"/>
  <c r="D460" i="6" s="1"/>
  <c r="F343" i="6"/>
  <c r="D353" i="6" s="1"/>
  <c r="F347" i="6"/>
  <c r="H353" i="6" s="1"/>
  <c r="G347" i="6"/>
  <c r="H460" i="6" s="1"/>
  <c r="F348" i="6"/>
  <c r="I353" i="6" s="1"/>
  <c r="D350" i="6"/>
  <c r="E349" i="6"/>
  <c r="E350" i="6"/>
  <c r="D349" i="6"/>
  <c r="E155" i="1"/>
  <c r="F155" i="1" s="1"/>
  <c r="J146" i="5"/>
  <c r="J144" i="5"/>
  <c r="U37" i="4"/>
  <c r="W37" i="4"/>
  <c r="S37" i="4"/>
  <c r="X37" i="4"/>
  <c r="T37" i="4"/>
  <c r="Z37" i="4"/>
  <c r="Y37" i="4"/>
  <c r="R37" i="4"/>
  <c r="F350" i="6" l="1"/>
  <c r="F349" i="6"/>
  <c r="G349" i="6"/>
  <c r="G350" i="6"/>
  <c r="H48" i="5"/>
  <c r="K354" i="6" l="1"/>
  <c r="K358" i="6"/>
  <c r="K362" i="6"/>
  <c r="K366" i="6"/>
  <c r="K370" i="6"/>
  <c r="K374" i="6"/>
  <c r="K378" i="6"/>
  <c r="K382" i="6"/>
  <c r="K386" i="6"/>
  <c r="K390" i="6"/>
  <c r="K394" i="6"/>
  <c r="K398" i="6"/>
  <c r="K402" i="6"/>
  <c r="K355" i="6"/>
  <c r="K359" i="6"/>
  <c r="K363" i="6"/>
  <c r="K367" i="6"/>
  <c r="K371" i="6"/>
  <c r="K375" i="6"/>
  <c r="K379" i="6"/>
  <c r="K383" i="6"/>
  <c r="K387" i="6"/>
  <c r="K391" i="6"/>
  <c r="K395" i="6"/>
  <c r="K399" i="6"/>
  <c r="K403" i="6"/>
  <c r="K356" i="6"/>
  <c r="K360" i="6"/>
  <c r="K364" i="6"/>
  <c r="K368" i="6"/>
  <c r="K372" i="6"/>
  <c r="K376" i="6"/>
  <c r="K380" i="6"/>
  <c r="K384" i="6"/>
  <c r="K388" i="6"/>
  <c r="K392" i="6"/>
  <c r="K396" i="6"/>
  <c r="K400" i="6"/>
  <c r="K404" i="6"/>
  <c r="K357" i="6"/>
  <c r="K361" i="6"/>
  <c r="K365" i="6"/>
  <c r="K369" i="6"/>
  <c r="K373" i="6"/>
  <c r="K377" i="6"/>
  <c r="K381" i="6"/>
  <c r="K385" i="6"/>
  <c r="K389" i="6"/>
  <c r="K393" i="6"/>
  <c r="K397" i="6"/>
  <c r="K401" i="6"/>
  <c r="K411" i="6"/>
  <c r="K415" i="6"/>
  <c r="K419" i="6"/>
  <c r="K423" i="6"/>
  <c r="K427" i="6"/>
  <c r="K431" i="6"/>
  <c r="K435" i="6"/>
  <c r="K439" i="6"/>
  <c r="K443" i="6"/>
  <c r="K447" i="6"/>
  <c r="K451" i="6"/>
  <c r="K455" i="6"/>
  <c r="K459" i="6"/>
  <c r="K412" i="6"/>
  <c r="K416" i="6"/>
  <c r="K420" i="6"/>
  <c r="K424" i="6"/>
  <c r="K428" i="6"/>
  <c r="K432" i="6"/>
  <c r="K436" i="6"/>
  <c r="K440" i="6"/>
  <c r="K444" i="6"/>
  <c r="K448" i="6"/>
  <c r="K452" i="6"/>
  <c r="K456" i="6"/>
  <c r="K413" i="6"/>
  <c r="K417" i="6"/>
  <c r="K421" i="6"/>
  <c r="K425" i="6"/>
  <c r="K429" i="6"/>
  <c r="K433" i="6"/>
  <c r="K437" i="6"/>
  <c r="K441" i="6"/>
  <c r="K445" i="6"/>
  <c r="K449" i="6"/>
  <c r="K453" i="6"/>
  <c r="K457" i="6"/>
  <c r="K410" i="6"/>
  <c r="K414" i="6"/>
  <c r="K418" i="6"/>
  <c r="K422" i="6"/>
  <c r="K426" i="6"/>
  <c r="K430" i="6"/>
  <c r="K434" i="6"/>
  <c r="K438" i="6"/>
  <c r="K442" i="6"/>
  <c r="K446" i="6"/>
  <c r="K450" i="6"/>
  <c r="K454" i="6"/>
  <c r="K458" i="6"/>
  <c r="K408" i="6"/>
  <c r="K409" i="6"/>
  <c r="K405" i="6"/>
  <c r="U39" i="4"/>
  <c r="G64" i="5" s="1"/>
  <c r="H64" i="5" s="1"/>
  <c r="V39" i="4"/>
  <c r="G65" i="5" s="1"/>
  <c r="H65" i="5" s="1"/>
  <c r="R39" i="4"/>
  <c r="G60" i="5" s="1"/>
  <c r="H60" i="5" s="1"/>
  <c r="E134" i="5" s="1"/>
  <c r="W39" i="4"/>
  <c r="G66" i="5" s="1"/>
  <c r="H66" i="5" s="1"/>
  <c r="Y39" i="4"/>
  <c r="G68" i="5" s="1"/>
  <c r="H68" i="5" s="1"/>
  <c r="S39" i="4"/>
  <c r="G61" i="5" s="1"/>
  <c r="H61" i="5" s="1"/>
  <c r="X39" i="4"/>
  <c r="G67" i="5" s="1"/>
  <c r="H67" i="5" s="1"/>
  <c r="Z39" i="4"/>
  <c r="T39" i="4"/>
  <c r="G62" i="5" s="1"/>
  <c r="H62" i="5" s="1"/>
  <c r="C392" i="6" l="1"/>
  <c r="G392" i="6"/>
  <c r="E392" i="6"/>
  <c r="F392" i="6"/>
  <c r="H392" i="6"/>
  <c r="D392" i="6"/>
  <c r="I392" i="6"/>
  <c r="B392" i="6"/>
  <c r="C372" i="6"/>
  <c r="G372" i="6"/>
  <c r="D372" i="6"/>
  <c r="H372" i="6"/>
  <c r="E372" i="6"/>
  <c r="I372" i="6"/>
  <c r="F372" i="6"/>
  <c r="B372" i="6"/>
  <c r="C396" i="6"/>
  <c r="G396" i="6"/>
  <c r="D396" i="6"/>
  <c r="H396" i="6"/>
  <c r="E396" i="6"/>
  <c r="I396" i="6"/>
  <c r="F396" i="6"/>
  <c r="B396" i="6"/>
  <c r="F403" i="6"/>
  <c r="C403" i="6"/>
  <c r="G403" i="6"/>
  <c r="I403" i="6"/>
  <c r="D403" i="6"/>
  <c r="H403" i="6"/>
  <c r="E403" i="6"/>
  <c r="B403" i="6"/>
  <c r="F367" i="6"/>
  <c r="C367" i="6"/>
  <c r="G367" i="6"/>
  <c r="D367" i="6"/>
  <c r="H367" i="6"/>
  <c r="E367" i="6"/>
  <c r="I367" i="6"/>
  <c r="B367" i="6"/>
  <c r="D394" i="6"/>
  <c r="H394" i="6"/>
  <c r="E394" i="6"/>
  <c r="I394" i="6"/>
  <c r="F394" i="6"/>
  <c r="C394" i="6"/>
  <c r="G394" i="6"/>
  <c r="B394" i="6"/>
  <c r="E378" i="6"/>
  <c r="I378" i="6"/>
  <c r="F378" i="6"/>
  <c r="C378" i="6"/>
  <c r="G378" i="6"/>
  <c r="D378" i="6"/>
  <c r="H378" i="6"/>
  <c r="B378" i="6"/>
  <c r="E362" i="6"/>
  <c r="I362" i="6"/>
  <c r="F362" i="6"/>
  <c r="C362" i="6"/>
  <c r="G362" i="6"/>
  <c r="D362" i="6"/>
  <c r="H362" i="6"/>
  <c r="B362" i="6"/>
  <c r="F391" i="6"/>
  <c r="C391" i="6"/>
  <c r="D391" i="6"/>
  <c r="E391" i="6"/>
  <c r="G391" i="6"/>
  <c r="H391" i="6"/>
  <c r="I391" i="6"/>
  <c r="B391" i="6"/>
  <c r="F355" i="6"/>
  <c r="C355" i="6"/>
  <c r="G355" i="6"/>
  <c r="D355" i="6"/>
  <c r="H355" i="6"/>
  <c r="E355" i="6"/>
  <c r="I355" i="6"/>
  <c r="B355" i="6"/>
  <c r="C393" i="6"/>
  <c r="G393" i="6"/>
  <c r="D393" i="6"/>
  <c r="H393" i="6"/>
  <c r="E393" i="6"/>
  <c r="I393" i="6"/>
  <c r="B393" i="6"/>
  <c r="F393" i="6"/>
  <c r="D377" i="6"/>
  <c r="H377" i="6"/>
  <c r="E377" i="6"/>
  <c r="I377" i="6"/>
  <c r="F377" i="6"/>
  <c r="C377" i="6"/>
  <c r="G377" i="6"/>
  <c r="B377" i="6"/>
  <c r="D361" i="6"/>
  <c r="H361" i="6"/>
  <c r="E361" i="6"/>
  <c r="I361" i="6"/>
  <c r="F361" i="6"/>
  <c r="C361" i="6"/>
  <c r="G361" i="6"/>
  <c r="B361" i="6"/>
  <c r="D455" i="6"/>
  <c r="H455" i="6"/>
  <c r="E455" i="6"/>
  <c r="I455" i="6"/>
  <c r="B455" i="6"/>
  <c r="F455" i="6"/>
  <c r="C455" i="6"/>
  <c r="G455" i="6"/>
  <c r="B415" i="6"/>
  <c r="F415" i="6"/>
  <c r="C415" i="6"/>
  <c r="G415" i="6"/>
  <c r="D415" i="6"/>
  <c r="H415" i="6"/>
  <c r="E415" i="6"/>
  <c r="I415" i="6"/>
  <c r="B438" i="6"/>
  <c r="F438" i="6"/>
  <c r="C438" i="6"/>
  <c r="G438" i="6"/>
  <c r="D438" i="6"/>
  <c r="H438" i="6"/>
  <c r="E438" i="6"/>
  <c r="I438" i="6"/>
  <c r="D453" i="6"/>
  <c r="H453" i="6"/>
  <c r="E453" i="6"/>
  <c r="I453" i="6"/>
  <c r="B453" i="6"/>
  <c r="F453" i="6"/>
  <c r="C453" i="6"/>
  <c r="G453" i="6"/>
  <c r="B437" i="6"/>
  <c r="F437" i="6"/>
  <c r="C437" i="6"/>
  <c r="G437" i="6"/>
  <c r="D437" i="6"/>
  <c r="H437" i="6"/>
  <c r="E437" i="6"/>
  <c r="I437" i="6"/>
  <c r="B421" i="6"/>
  <c r="F421" i="6"/>
  <c r="C421" i="6"/>
  <c r="G421" i="6"/>
  <c r="D421" i="6"/>
  <c r="H421" i="6"/>
  <c r="E421" i="6"/>
  <c r="I421" i="6"/>
  <c r="B447" i="6"/>
  <c r="F447" i="6"/>
  <c r="C447" i="6"/>
  <c r="G447" i="6"/>
  <c r="D447" i="6"/>
  <c r="H447" i="6"/>
  <c r="E447" i="6"/>
  <c r="I447" i="6"/>
  <c r="I408" i="6"/>
  <c r="H408" i="6"/>
  <c r="D408" i="6"/>
  <c r="E408" i="6"/>
  <c r="C408" i="6"/>
  <c r="B408" i="6"/>
  <c r="G408" i="6"/>
  <c r="F408" i="6"/>
  <c r="B444" i="6"/>
  <c r="F444" i="6"/>
  <c r="C444" i="6"/>
  <c r="G444" i="6"/>
  <c r="D444" i="6"/>
  <c r="H444" i="6"/>
  <c r="E444" i="6"/>
  <c r="I444" i="6"/>
  <c r="B428" i="6"/>
  <c r="F428" i="6"/>
  <c r="C428" i="6"/>
  <c r="G428" i="6"/>
  <c r="D428" i="6"/>
  <c r="H428" i="6"/>
  <c r="E428" i="6"/>
  <c r="I428" i="6"/>
  <c r="B412" i="6"/>
  <c r="F412" i="6"/>
  <c r="C412" i="6"/>
  <c r="G412" i="6"/>
  <c r="D412" i="6"/>
  <c r="H412" i="6"/>
  <c r="E412" i="6"/>
  <c r="I412" i="6"/>
  <c r="B451" i="6"/>
  <c r="C451" i="6"/>
  <c r="D451" i="6"/>
  <c r="H451" i="6"/>
  <c r="E451" i="6"/>
  <c r="I451" i="6"/>
  <c r="F451" i="6"/>
  <c r="G451" i="6"/>
  <c r="B442" i="6"/>
  <c r="F442" i="6"/>
  <c r="C442" i="6"/>
  <c r="G442" i="6"/>
  <c r="D442" i="6"/>
  <c r="H442" i="6"/>
  <c r="E442" i="6"/>
  <c r="I442" i="6"/>
  <c r="C376" i="6"/>
  <c r="G376" i="6"/>
  <c r="D376" i="6"/>
  <c r="H376" i="6"/>
  <c r="E376" i="6"/>
  <c r="I376" i="6"/>
  <c r="F376" i="6"/>
  <c r="B376" i="6"/>
  <c r="F400" i="6"/>
  <c r="C400" i="6"/>
  <c r="G400" i="6"/>
  <c r="D400" i="6"/>
  <c r="H400" i="6"/>
  <c r="E400" i="6"/>
  <c r="I400" i="6"/>
  <c r="B400" i="6"/>
  <c r="C380" i="6"/>
  <c r="G380" i="6"/>
  <c r="D380" i="6"/>
  <c r="H380" i="6"/>
  <c r="E380" i="6"/>
  <c r="I380" i="6"/>
  <c r="F380" i="6"/>
  <c r="B380" i="6"/>
  <c r="E395" i="6"/>
  <c r="I395" i="6"/>
  <c r="F395" i="6"/>
  <c r="C395" i="6"/>
  <c r="G395" i="6"/>
  <c r="D395" i="6"/>
  <c r="H395" i="6"/>
  <c r="B395" i="6"/>
  <c r="F359" i="6"/>
  <c r="C359" i="6"/>
  <c r="G359" i="6"/>
  <c r="D359" i="6"/>
  <c r="H359" i="6"/>
  <c r="E359" i="6"/>
  <c r="I359" i="6"/>
  <c r="B359" i="6"/>
  <c r="E390" i="6"/>
  <c r="I390" i="6"/>
  <c r="F390" i="6"/>
  <c r="C390" i="6"/>
  <c r="G390" i="6"/>
  <c r="D390" i="6"/>
  <c r="H390" i="6"/>
  <c r="B390" i="6"/>
  <c r="E374" i="6"/>
  <c r="I374" i="6"/>
  <c r="F374" i="6"/>
  <c r="C374" i="6"/>
  <c r="G374" i="6"/>
  <c r="D374" i="6"/>
  <c r="H374" i="6"/>
  <c r="B374" i="6"/>
  <c r="E358" i="6"/>
  <c r="I358" i="6"/>
  <c r="F358" i="6"/>
  <c r="C358" i="6"/>
  <c r="G358" i="6"/>
  <c r="D358" i="6"/>
  <c r="H358" i="6"/>
  <c r="B358" i="6"/>
  <c r="F383" i="6"/>
  <c r="C383" i="6"/>
  <c r="G383" i="6"/>
  <c r="D383" i="6"/>
  <c r="H383" i="6"/>
  <c r="E383" i="6"/>
  <c r="I383" i="6"/>
  <c r="B383" i="6"/>
  <c r="I405" i="6"/>
  <c r="H405" i="6"/>
  <c r="F405" i="6"/>
  <c r="E405" i="6"/>
  <c r="D405" i="6"/>
  <c r="B405" i="6"/>
  <c r="C405" i="6"/>
  <c r="G405" i="6"/>
  <c r="D389" i="6"/>
  <c r="H389" i="6"/>
  <c r="E389" i="6"/>
  <c r="I389" i="6"/>
  <c r="F389" i="6"/>
  <c r="C389" i="6"/>
  <c r="G389" i="6"/>
  <c r="B389" i="6"/>
  <c r="D373" i="6"/>
  <c r="H373" i="6"/>
  <c r="E373" i="6"/>
  <c r="I373" i="6"/>
  <c r="F373" i="6"/>
  <c r="C373" i="6"/>
  <c r="G373" i="6"/>
  <c r="B373" i="6"/>
  <c r="D357" i="6"/>
  <c r="H357" i="6"/>
  <c r="E357" i="6"/>
  <c r="I357" i="6"/>
  <c r="F357" i="6"/>
  <c r="C357" i="6"/>
  <c r="G357" i="6"/>
  <c r="B357" i="6"/>
  <c r="B443" i="6"/>
  <c r="F443" i="6"/>
  <c r="C443" i="6"/>
  <c r="G443" i="6"/>
  <c r="D443" i="6"/>
  <c r="H443" i="6"/>
  <c r="E443" i="6"/>
  <c r="I443" i="6"/>
  <c r="B411" i="6"/>
  <c r="F411" i="6"/>
  <c r="C411" i="6"/>
  <c r="G411" i="6"/>
  <c r="D411" i="6"/>
  <c r="H411" i="6"/>
  <c r="E411" i="6"/>
  <c r="I411" i="6"/>
  <c r="B426" i="6"/>
  <c r="F426" i="6"/>
  <c r="C426" i="6"/>
  <c r="G426" i="6"/>
  <c r="D426" i="6"/>
  <c r="H426" i="6"/>
  <c r="E426" i="6"/>
  <c r="I426" i="6"/>
  <c r="B449" i="6"/>
  <c r="F449" i="6"/>
  <c r="C449" i="6"/>
  <c r="G449" i="6"/>
  <c r="D449" i="6"/>
  <c r="H449" i="6"/>
  <c r="E449" i="6"/>
  <c r="I449" i="6"/>
  <c r="B433" i="6"/>
  <c r="F433" i="6"/>
  <c r="C433" i="6"/>
  <c r="G433" i="6"/>
  <c r="D433" i="6"/>
  <c r="H433" i="6"/>
  <c r="E433" i="6"/>
  <c r="I433" i="6"/>
  <c r="B417" i="6"/>
  <c r="F417" i="6"/>
  <c r="C417" i="6"/>
  <c r="G417" i="6"/>
  <c r="D417" i="6"/>
  <c r="H417" i="6"/>
  <c r="E417" i="6"/>
  <c r="I417" i="6"/>
  <c r="B450" i="6"/>
  <c r="F450" i="6"/>
  <c r="C450" i="6"/>
  <c r="G450" i="6"/>
  <c r="D450" i="6"/>
  <c r="H450" i="6"/>
  <c r="E450" i="6"/>
  <c r="I450" i="6"/>
  <c r="D456" i="6"/>
  <c r="H456" i="6"/>
  <c r="E456" i="6"/>
  <c r="I456" i="6"/>
  <c r="B456" i="6"/>
  <c r="F456" i="6"/>
  <c r="C456" i="6"/>
  <c r="G456" i="6"/>
  <c r="B440" i="6"/>
  <c r="F440" i="6"/>
  <c r="C440" i="6"/>
  <c r="G440" i="6"/>
  <c r="D440" i="6"/>
  <c r="H440" i="6"/>
  <c r="E440" i="6"/>
  <c r="I440" i="6"/>
  <c r="B424" i="6"/>
  <c r="F424" i="6"/>
  <c r="C424" i="6"/>
  <c r="G424" i="6"/>
  <c r="D424" i="6"/>
  <c r="H424" i="6"/>
  <c r="E424" i="6"/>
  <c r="I424" i="6"/>
  <c r="D459" i="6"/>
  <c r="H459" i="6"/>
  <c r="E459" i="6"/>
  <c r="I459" i="6"/>
  <c r="B459" i="6"/>
  <c r="F459" i="6"/>
  <c r="C459" i="6"/>
  <c r="G459" i="6"/>
  <c r="B435" i="6"/>
  <c r="F435" i="6"/>
  <c r="C435" i="6"/>
  <c r="G435" i="6"/>
  <c r="D435" i="6"/>
  <c r="H435" i="6"/>
  <c r="E435" i="6"/>
  <c r="I435" i="6"/>
  <c r="B430" i="6"/>
  <c r="F430" i="6"/>
  <c r="C430" i="6"/>
  <c r="G430" i="6"/>
  <c r="D430" i="6"/>
  <c r="H430" i="6"/>
  <c r="E430" i="6"/>
  <c r="I430" i="6"/>
  <c r="C384" i="6"/>
  <c r="G384" i="6"/>
  <c r="D384" i="6"/>
  <c r="H384" i="6"/>
  <c r="E384" i="6"/>
  <c r="I384" i="6"/>
  <c r="F384" i="6"/>
  <c r="B384" i="6"/>
  <c r="C364" i="6"/>
  <c r="G364" i="6"/>
  <c r="D364" i="6"/>
  <c r="H364" i="6"/>
  <c r="E364" i="6"/>
  <c r="I364" i="6"/>
  <c r="F364" i="6"/>
  <c r="B364" i="6"/>
  <c r="F387" i="6"/>
  <c r="C387" i="6"/>
  <c r="G387" i="6"/>
  <c r="D387" i="6"/>
  <c r="H387" i="6"/>
  <c r="E387" i="6"/>
  <c r="I387" i="6"/>
  <c r="B387" i="6"/>
  <c r="H402" i="6"/>
  <c r="E402" i="6"/>
  <c r="I402" i="6"/>
  <c r="F402" i="6"/>
  <c r="C402" i="6"/>
  <c r="G402" i="6"/>
  <c r="B402" i="6"/>
  <c r="D402" i="6"/>
  <c r="E386" i="6"/>
  <c r="I386" i="6"/>
  <c r="F386" i="6"/>
  <c r="C386" i="6"/>
  <c r="G386" i="6"/>
  <c r="D386" i="6"/>
  <c r="H386" i="6"/>
  <c r="B386" i="6"/>
  <c r="E370" i="6"/>
  <c r="I370" i="6"/>
  <c r="F370" i="6"/>
  <c r="C370" i="6"/>
  <c r="G370" i="6"/>
  <c r="D370" i="6"/>
  <c r="H370" i="6"/>
  <c r="B370" i="6"/>
  <c r="E354" i="6"/>
  <c r="I354" i="6"/>
  <c r="F354" i="6"/>
  <c r="C354" i="6"/>
  <c r="G354" i="6"/>
  <c r="D354" i="6"/>
  <c r="H354" i="6"/>
  <c r="B354" i="6"/>
  <c r="F375" i="6"/>
  <c r="C375" i="6"/>
  <c r="G375" i="6"/>
  <c r="D375" i="6"/>
  <c r="H375" i="6"/>
  <c r="E375" i="6"/>
  <c r="I375" i="6"/>
  <c r="B375" i="6"/>
  <c r="D401" i="6"/>
  <c r="H401" i="6"/>
  <c r="E401" i="6"/>
  <c r="I401" i="6"/>
  <c r="B401" i="6"/>
  <c r="G401" i="6"/>
  <c r="F401" i="6"/>
  <c r="C401" i="6"/>
  <c r="D385" i="6"/>
  <c r="H385" i="6"/>
  <c r="E385" i="6"/>
  <c r="I385" i="6"/>
  <c r="F385" i="6"/>
  <c r="C385" i="6"/>
  <c r="G385" i="6"/>
  <c r="B385" i="6"/>
  <c r="D369" i="6"/>
  <c r="H369" i="6"/>
  <c r="E369" i="6"/>
  <c r="I369" i="6"/>
  <c r="F369" i="6"/>
  <c r="C369" i="6"/>
  <c r="G369" i="6"/>
  <c r="B369" i="6"/>
  <c r="C360" i="6"/>
  <c r="G360" i="6"/>
  <c r="D360" i="6"/>
  <c r="H360" i="6"/>
  <c r="E360" i="6"/>
  <c r="I360" i="6"/>
  <c r="F360" i="6"/>
  <c r="B360" i="6"/>
  <c r="B431" i="6"/>
  <c r="F431" i="6"/>
  <c r="C431" i="6"/>
  <c r="G431" i="6"/>
  <c r="D431" i="6"/>
  <c r="H431" i="6"/>
  <c r="E431" i="6"/>
  <c r="I431" i="6"/>
  <c r="D454" i="6"/>
  <c r="H454" i="6"/>
  <c r="E454" i="6"/>
  <c r="I454" i="6"/>
  <c r="B454" i="6"/>
  <c r="F454" i="6"/>
  <c r="C454" i="6"/>
  <c r="G454" i="6"/>
  <c r="B418" i="6"/>
  <c r="F418" i="6"/>
  <c r="C418" i="6"/>
  <c r="G418" i="6"/>
  <c r="D418" i="6"/>
  <c r="H418" i="6"/>
  <c r="E418" i="6"/>
  <c r="I418" i="6"/>
  <c r="B445" i="6"/>
  <c r="F445" i="6"/>
  <c r="C445" i="6"/>
  <c r="G445" i="6"/>
  <c r="D445" i="6"/>
  <c r="H445" i="6"/>
  <c r="E445" i="6"/>
  <c r="I445" i="6"/>
  <c r="B429" i="6"/>
  <c r="F429" i="6"/>
  <c r="C429" i="6"/>
  <c r="G429" i="6"/>
  <c r="D429" i="6"/>
  <c r="H429" i="6"/>
  <c r="E429" i="6"/>
  <c r="I429" i="6"/>
  <c r="B413" i="6"/>
  <c r="F413" i="6"/>
  <c r="C413" i="6"/>
  <c r="G413" i="6"/>
  <c r="D413" i="6"/>
  <c r="H413" i="6"/>
  <c r="E413" i="6"/>
  <c r="I413" i="6"/>
  <c r="B434" i="6"/>
  <c r="F434" i="6"/>
  <c r="C434" i="6"/>
  <c r="G434" i="6"/>
  <c r="D434" i="6"/>
  <c r="H434" i="6"/>
  <c r="E434" i="6"/>
  <c r="I434" i="6"/>
  <c r="D452" i="6"/>
  <c r="H452" i="6"/>
  <c r="E452" i="6"/>
  <c r="I452" i="6"/>
  <c r="B452" i="6"/>
  <c r="F452" i="6"/>
  <c r="C452" i="6"/>
  <c r="G452" i="6"/>
  <c r="B436" i="6"/>
  <c r="F436" i="6"/>
  <c r="C436" i="6"/>
  <c r="G436" i="6"/>
  <c r="D436" i="6"/>
  <c r="H436" i="6"/>
  <c r="E436" i="6"/>
  <c r="I436" i="6"/>
  <c r="B420" i="6"/>
  <c r="F420" i="6"/>
  <c r="C420" i="6"/>
  <c r="G420" i="6"/>
  <c r="D420" i="6"/>
  <c r="H420" i="6"/>
  <c r="E420" i="6"/>
  <c r="I420" i="6"/>
  <c r="B439" i="6"/>
  <c r="F439" i="6"/>
  <c r="C439" i="6"/>
  <c r="G439" i="6"/>
  <c r="D439" i="6"/>
  <c r="H439" i="6"/>
  <c r="E439" i="6"/>
  <c r="I439" i="6"/>
  <c r="B419" i="6"/>
  <c r="F419" i="6"/>
  <c r="C419" i="6"/>
  <c r="G419" i="6"/>
  <c r="D419" i="6"/>
  <c r="H419" i="6"/>
  <c r="E419" i="6"/>
  <c r="I419" i="6"/>
  <c r="B414" i="6"/>
  <c r="F414" i="6"/>
  <c r="C414" i="6"/>
  <c r="G414" i="6"/>
  <c r="D414" i="6"/>
  <c r="H414" i="6"/>
  <c r="E414" i="6"/>
  <c r="I414" i="6"/>
  <c r="F404" i="6"/>
  <c r="C404" i="6"/>
  <c r="G404" i="6"/>
  <c r="D404" i="6"/>
  <c r="H404" i="6"/>
  <c r="E404" i="6"/>
  <c r="I404" i="6"/>
  <c r="B404" i="6"/>
  <c r="C388" i="6"/>
  <c r="G388" i="6"/>
  <c r="D388" i="6"/>
  <c r="H388" i="6"/>
  <c r="E388" i="6"/>
  <c r="I388" i="6"/>
  <c r="F388" i="6"/>
  <c r="B388" i="6"/>
  <c r="C368" i="6"/>
  <c r="G368" i="6"/>
  <c r="D368" i="6"/>
  <c r="H368" i="6"/>
  <c r="E368" i="6"/>
  <c r="I368" i="6"/>
  <c r="F368" i="6"/>
  <c r="B368" i="6"/>
  <c r="C356" i="6"/>
  <c r="G356" i="6"/>
  <c r="D356" i="6"/>
  <c r="H356" i="6"/>
  <c r="E356" i="6"/>
  <c r="I356" i="6"/>
  <c r="F356" i="6"/>
  <c r="B356" i="6"/>
  <c r="F379" i="6"/>
  <c r="C379" i="6"/>
  <c r="G379" i="6"/>
  <c r="D379" i="6"/>
  <c r="H379" i="6"/>
  <c r="E379" i="6"/>
  <c r="I379" i="6"/>
  <c r="B379" i="6"/>
  <c r="D398" i="6"/>
  <c r="H398" i="6"/>
  <c r="E398" i="6"/>
  <c r="I398" i="6"/>
  <c r="F398" i="6"/>
  <c r="C398" i="6"/>
  <c r="G398" i="6"/>
  <c r="B398" i="6"/>
  <c r="E382" i="6"/>
  <c r="I382" i="6"/>
  <c r="F382" i="6"/>
  <c r="C382" i="6"/>
  <c r="G382" i="6"/>
  <c r="D382" i="6"/>
  <c r="H382" i="6"/>
  <c r="B382" i="6"/>
  <c r="E366" i="6"/>
  <c r="I366" i="6"/>
  <c r="F366" i="6"/>
  <c r="C366" i="6"/>
  <c r="G366" i="6"/>
  <c r="D366" i="6"/>
  <c r="H366" i="6"/>
  <c r="B366" i="6"/>
  <c r="F399" i="6"/>
  <c r="C399" i="6"/>
  <c r="G399" i="6"/>
  <c r="I399" i="6"/>
  <c r="B399" i="6"/>
  <c r="D399" i="6"/>
  <c r="H399" i="6"/>
  <c r="E399" i="6"/>
  <c r="F363" i="6"/>
  <c r="C363" i="6"/>
  <c r="G363" i="6"/>
  <c r="D363" i="6"/>
  <c r="H363" i="6"/>
  <c r="E363" i="6"/>
  <c r="I363" i="6"/>
  <c r="B363" i="6"/>
  <c r="C397" i="6"/>
  <c r="D397" i="6"/>
  <c r="H397" i="6"/>
  <c r="E397" i="6"/>
  <c r="I397" i="6"/>
  <c r="B397" i="6"/>
  <c r="G397" i="6"/>
  <c r="F397" i="6"/>
  <c r="D381" i="6"/>
  <c r="H381" i="6"/>
  <c r="E381" i="6"/>
  <c r="I381" i="6"/>
  <c r="F381" i="6"/>
  <c r="C381" i="6"/>
  <c r="G381" i="6"/>
  <c r="B381" i="6"/>
  <c r="D365" i="6"/>
  <c r="H365" i="6"/>
  <c r="E365" i="6"/>
  <c r="I365" i="6"/>
  <c r="F365" i="6"/>
  <c r="C365" i="6"/>
  <c r="G365" i="6"/>
  <c r="B365" i="6"/>
  <c r="F371" i="6"/>
  <c r="C371" i="6"/>
  <c r="G371" i="6"/>
  <c r="D371" i="6"/>
  <c r="H371" i="6"/>
  <c r="E371" i="6"/>
  <c r="I371" i="6"/>
  <c r="B371" i="6"/>
  <c r="B423" i="6"/>
  <c r="F423" i="6"/>
  <c r="C423" i="6"/>
  <c r="G423" i="6"/>
  <c r="D423" i="6"/>
  <c r="H423" i="6"/>
  <c r="E423" i="6"/>
  <c r="I423" i="6"/>
  <c r="B446" i="6"/>
  <c r="F446" i="6"/>
  <c r="C446" i="6"/>
  <c r="G446" i="6"/>
  <c r="D446" i="6"/>
  <c r="H446" i="6"/>
  <c r="E446" i="6"/>
  <c r="I446" i="6"/>
  <c r="D457" i="6"/>
  <c r="H457" i="6"/>
  <c r="E457" i="6"/>
  <c r="I457" i="6"/>
  <c r="B457" i="6"/>
  <c r="F457" i="6"/>
  <c r="C457" i="6"/>
  <c r="G457" i="6"/>
  <c r="B441" i="6"/>
  <c r="F441" i="6"/>
  <c r="C441" i="6"/>
  <c r="G441" i="6"/>
  <c r="D441" i="6"/>
  <c r="H441" i="6"/>
  <c r="E441" i="6"/>
  <c r="I441" i="6"/>
  <c r="B425" i="6"/>
  <c r="F425" i="6"/>
  <c r="C425" i="6"/>
  <c r="G425" i="6"/>
  <c r="D425" i="6"/>
  <c r="H425" i="6"/>
  <c r="E425" i="6"/>
  <c r="I425" i="6"/>
  <c r="B409" i="6"/>
  <c r="F409" i="6"/>
  <c r="C409" i="6"/>
  <c r="G409" i="6"/>
  <c r="D409" i="6"/>
  <c r="H409" i="6"/>
  <c r="E409" i="6"/>
  <c r="I409" i="6"/>
  <c r="B422" i="6"/>
  <c r="F422" i="6"/>
  <c r="C422" i="6"/>
  <c r="G422" i="6"/>
  <c r="D422" i="6"/>
  <c r="H422" i="6"/>
  <c r="E422" i="6"/>
  <c r="I422" i="6"/>
  <c r="B448" i="6"/>
  <c r="F448" i="6"/>
  <c r="C448" i="6"/>
  <c r="G448" i="6"/>
  <c r="D448" i="6"/>
  <c r="H448" i="6"/>
  <c r="E448" i="6"/>
  <c r="I448" i="6"/>
  <c r="B432" i="6"/>
  <c r="F432" i="6"/>
  <c r="C432" i="6"/>
  <c r="G432" i="6"/>
  <c r="D432" i="6"/>
  <c r="H432" i="6"/>
  <c r="E432" i="6"/>
  <c r="I432" i="6"/>
  <c r="B416" i="6"/>
  <c r="F416" i="6"/>
  <c r="C416" i="6"/>
  <c r="G416" i="6"/>
  <c r="D416" i="6"/>
  <c r="H416" i="6"/>
  <c r="E416" i="6"/>
  <c r="I416" i="6"/>
  <c r="B427" i="6"/>
  <c r="F427" i="6"/>
  <c r="C427" i="6"/>
  <c r="G427" i="6"/>
  <c r="D427" i="6"/>
  <c r="H427" i="6"/>
  <c r="E427" i="6"/>
  <c r="I427" i="6"/>
  <c r="D458" i="6"/>
  <c r="H458" i="6"/>
  <c r="E458" i="6"/>
  <c r="I458" i="6"/>
  <c r="B458" i="6"/>
  <c r="F458" i="6"/>
  <c r="C458" i="6"/>
  <c r="G458" i="6"/>
  <c r="B410" i="6"/>
  <c r="F410" i="6"/>
  <c r="C410" i="6"/>
  <c r="G410" i="6"/>
  <c r="D410" i="6"/>
  <c r="H410" i="6"/>
  <c r="E410" i="6"/>
  <c r="I410" i="6"/>
</calcChain>
</file>

<file path=xl/comments1.xml><?xml version="1.0" encoding="utf-8"?>
<comments xmlns="http://schemas.openxmlformats.org/spreadsheetml/2006/main">
  <authors>
    <author>Author</author>
  </authors>
  <commentList>
    <comment ref="E144" authorId="0">
      <text>
        <r>
          <rPr>
            <b/>
            <sz val="9"/>
            <color indexed="81"/>
            <rFont val="Tahoma"/>
            <family val="2"/>
          </rPr>
          <t>Tra alpha r bảng 5 Bảng tra</t>
        </r>
      </text>
    </comment>
    <comment ref="G149" authorId="0">
      <text>
        <r>
          <rPr>
            <b/>
            <sz val="9"/>
            <color indexed="81"/>
            <rFont val="Tahoma"/>
            <family val="2"/>
          </rPr>
          <t>Tra bảng 3 (Bảng tra)</t>
        </r>
      </text>
    </comment>
  </commentList>
</comments>
</file>

<file path=xl/comments2.xml><?xml version="1.0" encoding="utf-8"?>
<comments xmlns="http://schemas.openxmlformats.org/spreadsheetml/2006/main">
  <authors>
    <author>Author</author>
  </authors>
  <commentList>
    <comment ref="G31" authorId="0">
      <text>
        <r>
          <rPr>
            <b/>
            <sz val="9"/>
            <color indexed="81"/>
            <rFont val="Tahoma"/>
            <family val="2"/>
          </rPr>
          <t>Tra bảng 6.1 sheet Bang Tra</t>
        </r>
      </text>
    </comment>
    <comment ref="E53" authorId="0">
      <text>
        <r>
          <rPr>
            <b/>
            <sz val="9"/>
            <color indexed="81"/>
            <rFont val="Tahoma"/>
            <family val="2"/>
          </rPr>
          <t>Tra bảng 6.2 Sheet bảng tra</t>
        </r>
      </text>
    </comment>
    <comment ref="G53" authorId="0">
      <text>
        <r>
          <rPr>
            <b/>
            <sz val="9"/>
            <color indexed="81"/>
            <rFont val="Tahoma"/>
            <family val="2"/>
          </rPr>
          <t>tra bảng 6.1 Sheet Bảng tra</t>
        </r>
      </text>
    </comment>
    <comment ref="B123" authorId="0">
      <text>
        <r>
          <rPr>
            <b/>
            <sz val="9"/>
            <color indexed="81"/>
            <rFont val="Tahoma"/>
            <family val="2"/>
          </rPr>
          <t>- Với bê tông nặng :
  Hệ số 0,6
- Với bê tông nặng :
  Hệ số 0,75</t>
        </r>
      </text>
    </comment>
    <comment ref="I130" authorId="0">
      <text>
        <r>
          <rPr>
            <b/>
            <sz val="9"/>
            <color indexed="81"/>
            <rFont val="Tahoma"/>
            <family val="2"/>
          </rPr>
          <t>Tra bảng 2 Bảng Tra</t>
        </r>
      </text>
    </comment>
  </commentList>
</comments>
</file>

<file path=xl/sharedStrings.xml><?xml version="1.0" encoding="utf-8"?>
<sst xmlns="http://schemas.openxmlformats.org/spreadsheetml/2006/main" count="662" uniqueCount="389">
  <si>
    <t>BAÛNG 1</t>
  </si>
  <si>
    <t>ÑAÏI LÖÔÏNG VAØ ÑÔN VÒ</t>
  </si>
  <si>
    <t>B12.5</t>
  </si>
  <si>
    <t>B15</t>
  </si>
  <si>
    <t>B20</t>
  </si>
  <si>
    <t>B25</t>
  </si>
  <si>
    <t>B30</t>
  </si>
  <si>
    <t>B35</t>
  </si>
  <si>
    <t>B40</t>
  </si>
  <si>
    <t>B45</t>
  </si>
  <si>
    <t>B50</t>
  </si>
  <si>
    <t>B55</t>
  </si>
  <si>
    <t>B60</t>
  </si>
  <si>
    <t>BAÛNG 2</t>
  </si>
  <si>
    <t>AI</t>
  </si>
  <si>
    <t>AII</t>
  </si>
  <si>
    <t>AIII</t>
  </si>
  <si>
    <t>AIV</t>
  </si>
  <si>
    <t>AV</t>
  </si>
  <si>
    <t>SD295A</t>
  </si>
  <si>
    <t>SD295B</t>
  </si>
  <si>
    <t>SD390</t>
  </si>
  <si>
    <t>CI</t>
  </si>
  <si>
    <t>CII</t>
  </si>
  <si>
    <t>CIII</t>
  </si>
  <si>
    <t>CIV</t>
  </si>
  <si>
    <t>BAÛNG 3</t>
  </si>
  <si>
    <t>Ra (Kg/cm2)</t>
  </si>
  <si>
    <r>
      <t xml:space="preserve">Heä soá </t>
    </r>
    <r>
      <rPr>
        <b/>
        <sz val="12"/>
        <rFont val="Times New Roman"/>
        <family val="1"/>
      </rPr>
      <t>α</t>
    </r>
    <r>
      <rPr>
        <b/>
        <vertAlign val="subscript"/>
        <sz val="12"/>
        <rFont val="Times New Roman"/>
        <family val="1"/>
      </rPr>
      <t>o</t>
    </r>
  </si>
  <si>
    <t>+VÔÙI CAÙC GIAÙ TRÒ Ra TRUNG GIAN CHO PHEÙP LAÁY GAMA THEO GIAÙ TRÒ Ra CAÄN TREÂN HOAËC CUÕNG COÙ THEÅ LAÁY THEO NOÄI SUY ÑÖÔØNG THAÚNG</t>
  </si>
  <si>
    <t>+ÑOÁI VÔÙI KEÁT CAÁU DUØNG BTOÂNG NHEÏ LAÁY GAMA GIAÛM XUOÁNG 5% SO VÔÙI GIAÙ TRÒ CHO ÔÛ BAÛNG TREÂN.</t>
  </si>
  <si>
    <t>BAÛNG 4</t>
  </si>
  <si>
    <t xml:space="preserve">HEÄ SOÁ ÑOÄ TIN CAÄY - LOAÏI TAÛI TROÏNG </t>
  </si>
  <si>
    <t>HEÄ SOÁ ÑOÄ TIN CAÄY</t>
  </si>
  <si>
    <t>1.TROÏNG LÖÏÔNG THIEÁT BÒ COÁ ÑÒNH</t>
  </si>
  <si>
    <t>2.TROÏNG LÖÔÏNG LÔÙP NGAÊN CAÙCH CUÛA TBÒ ÑAËT COÁ ÑÒNH.</t>
  </si>
  <si>
    <t>3.TROÏNG LÖÔÏNG VAÄT CHÖÙA TRONG THIEÁT BÒ, BEÅ CHÖÙA VAØ OÁNG DAÃN</t>
  </si>
  <si>
    <t>a) CHAÁT LOÛNG</t>
  </si>
  <si>
    <t>b) CHAÁT HUYEÀN PHUØ, CHAÁT CAËN VAØ CAÙC CHAÁT RÔØI.</t>
  </si>
  <si>
    <t>4.TAÛI TROÏNG DO KHOÁI LÖÔÏNG DO MAÙY BOÁC DÔÕ VAØ XE COÄ.</t>
  </si>
  <si>
    <t>5.TAÛI TROÏNG DO VAÄT LIEÄU COÙ KHAÛ NAÊNG HUÙT AÅM NGAÁM NÖÔÙC (BOÂNG, VAÛI….)</t>
  </si>
  <si>
    <r>
      <t>R</t>
    </r>
    <r>
      <rPr>
        <vertAlign val="subscript"/>
        <sz val="12"/>
        <rFont val="VNI-Times"/>
      </rPr>
      <t>b</t>
    </r>
    <r>
      <rPr>
        <sz val="12"/>
        <rFont val="VNI-Times"/>
      </rPr>
      <t>(MPa)</t>
    </r>
  </si>
  <si>
    <r>
      <t>R</t>
    </r>
    <r>
      <rPr>
        <vertAlign val="subscript"/>
        <sz val="12"/>
        <rFont val="VNI-Times"/>
      </rPr>
      <t>bt</t>
    </r>
    <r>
      <rPr>
        <sz val="12"/>
        <rFont val="VNI-Times"/>
      </rPr>
      <t>(MPa)</t>
    </r>
  </si>
  <si>
    <r>
      <t>E</t>
    </r>
    <r>
      <rPr>
        <vertAlign val="subscript"/>
        <sz val="12"/>
        <rFont val="VNI-Times"/>
      </rPr>
      <t>b</t>
    </r>
    <r>
      <rPr>
        <sz val="12"/>
        <rFont val="VNI-Times"/>
      </rPr>
      <t>(MPa)*10^3</t>
    </r>
  </si>
  <si>
    <r>
      <t>R</t>
    </r>
    <r>
      <rPr>
        <vertAlign val="subscript"/>
        <sz val="12"/>
        <rFont val="VNI-Times"/>
      </rPr>
      <t>s</t>
    </r>
    <r>
      <rPr>
        <sz val="12"/>
        <rFont val="VNI-Times"/>
      </rPr>
      <t>(MPa)</t>
    </r>
  </si>
  <si>
    <r>
      <t>R</t>
    </r>
    <r>
      <rPr>
        <vertAlign val="subscript"/>
        <sz val="12"/>
        <rFont val="VNI-Times"/>
      </rPr>
      <t>sc</t>
    </r>
    <r>
      <rPr>
        <sz val="12"/>
        <rFont val="VNI-Times"/>
      </rPr>
      <t>(MPa)</t>
    </r>
  </si>
  <si>
    <r>
      <t>R</t>
    </r>
    <r>
      <rPr>
        <vertAlign val="subscript"/>
        <sz val="12"/>
        <rFont val="VNI-Times"/>
      </rPr>
      <t>sö</t>
    </r>
    <r>
      <rPr>
        <sz val="12"/>
        <rFont val="VNI-Times"/>
      </rPr>
      <t>(MPa)</t>
    </r>
  </si>
  <si>
    <r>
      <t>E</t>
    </r>
    <r>
      <rPr>
        <vertAlign val="subscript"/>
        <sz val="12"/>
        <rFont val="VNI-Times"/>
      </rPr>
      <t>b</t>
    </r>
    <r>
      <rPr>
        <sz val="12"/>
        <rFont val="VNI-Times"/>
      </rPr>
      <t>(MPa)*10^4</t>
    </r>
  </si>
  <si>
    <t xml:space="preserve">              Đk.Thép
Số lượng    </t>
  </si>
  <si>
    <t>CÁC SỐ LIỆU LẤY THEO TIÊU CHUẨN VIỆT NAM TCVN 356-2005</t>
  </si>
  <si>
    <t>CẤP ĐỘ BỀN CƯỜNG ĐỘ CHỊU NÉN CỦA BÊ TÔNG</t>
  </si>
  <si>
    <t>CƯỜNG ĐỘ THÉP</t>
  </si>
  <si>
    <t>Cấp độ bền của Bêtông</t>
  </si>
  <si>
    <t>Nhóm thép chịu lực dầm</t>
  </si>
  <si>
    <t>Hoạt tải (daN/m2)</t>
  </si>
  <si>
    <t>Nhóm thép chịu lực sàn</t>
  </si>
  <si>
    <t>Nhóm thép đai</t>
  </si>
  <si>
    <t>Hệ số nhịp dầm chính</t>
  </si>
  <si>
    <t>Hệ số làm việc</t>
  </si>
  <si>
    <t>Cạnh ngắn L1 (m)</t>
  </si>
  <si>
    <t>Cạnh dài L2 (m)</t>
  </si>
  <si>
    <t>Tính toán và chọn tiết diện</t>
  </si>
  <si>
    <t>Sàn BTCT</t>
  </si>
  <si>
    <t>Bề dày (mm)</t>
  </si>
  <si>
    <t>Dầm phụ</t>
  </si>
  <si>
    <t>Chiều cao (mm)</t>
  </si>
  <si>
    <t>Bề rộng (mm)</t>
  </si>
  <si>
    <t>Dầm chính</t>
  </si>
  <si>
    <t>%min</t>
  </si>
  <si>
    <t>%max</t>
  </si>
  <si>
    <t>Kích thước sơ bộ</t>
  </si>
  <si>
    <t>Kích thước</t>
  </si>
  <si>
    <t>Kích thước chọn</t>
  </si>
  <si>
    <r>
      <t>h</t>
    </r>
    <r>
      <rPr>
        <vertAlign val="subscript"/>
        <sz val="12"/>
        <color theme="1"/>
        <rFont val="Times"/>
        <family val="1"/>
      </rPr>
      <t>b</t>
    </r>
  </si>
  <si>
    <r>
      <t>h</t>
    </r>
    <r>
      <rPr>
        <vertAlign val="subscript"/>
        <sz val="12"/>
        <color theme="1"/>
        <rFont val="Times"/>
        <family val="1"/>
      </rPr>
      <t>dp</t>
    </r>
  </si>
  <si>
    <r>
      <t>b</t>
    </r>
    <r>
      <rPr>
        <vertAlign val="subscript"/>
        <sz val="12"/>
        <color theme="1"/>
        <rFont val="Times"/>
        <family val="1"/>
      </rPr>
      <t>dp</t>
    </r>
  </si>
  <si>
    <r>
      <t>h</t>
    </r>
    <r>
      <rPr>
        <vertAlign val="subscript"/>
        <sz val="12"/>
        <color theme="1"/>
        <rFont val="Times"/>
        <family val="1"/>
      </rPr>
      <t>dc</t>
    </r>
  </si>
  <si>
    <r>
      <t>b</t>
    </r>
    <r>
      <rPr>
        <vertAlign val="subscript"/>
        <sz val="12"/>
        <color theme="1"/>
        <rFont val="Times"/>
        <family val="1"/>
      </rPr>
      <t>dc</t>
    </r>
  </si>
  <si>
    <t>Kiểm tra</t>
  </si>
  <si>
    <t>Ta có số liệu tính toán :</t>
  </si>
  <si>
    <r>
      <t>R</t>
    </r>
    <r>
      <rPr>
        <b/>
        <vertAlign val="subscript"/>
        <sz val="12"/>
        <color theme="1"/>
        <rFont val="Times"/>
        <family val="1"/>
      </rPr>
      <t>b</t>
    </r>
    <r>
      <rPr>
        <b/>
        <sz val="12"/>
        <color theme="1"/>
        <rFont val="Times"/>
        <family val="1"/>
      </rPr>
      <t>(MPa)</t>
    </r>
  </si>
  <si>
    <r>
      <t>R</t>
    </r>
    <r>
      <rPr>
        <b/>
        <vertAlign val="subscript"/>
        <sz val="12"/>
        <color theme="1"/>
        <rFont val="Times"/>
        <family val="1"/>
      </rPr>
      <t>bt</t>
    </r>
    <r>
      <rPr>
        <b/>
        <sz val="12"/>
        <color theme="1"/>
        <rFont val="Times"/>
        <family val="1"/>
      </rPr>
      <t>(MPa)</t>
    </r>
  </si>
  <si>
    <r>
      <t>R</t>
    </r>
    <r>
      <rPr>
        <b/>
        <vertAlign val="subscript"/>
        <sz val="12"/>
        <rFont val="VNI-Times"/>
      </rPr>
      <t>s</t>
    </r>
    <r>
      <rPr>
        <b/>
        <sz val="12"/>
        <rFont val="VNI-Times"/>
      </rPr>
      <t>(MPa)</t>
    </r>
  </si>
  <si>
    <r>
      <t>R</t>
    </r>
    <r>
      <rPr>
        <b/>
        <vertAlign val="subscript"/>
        <sz val="12"/>
        <rFont val="VNI-Times"/>
      </rPr>
      <t>sc</t>
    </r>
    <r>
      <rPr>
        <b/>
        <sz val="12"/>
        <rFont val="VNI-Times"/>
      </rPr>
      <t>(MPa)</t>
    </r>
  </si>
  <si>
    <r>
      <t>R</t>
    </r>
    <r>
      <rPr>
        <b/>
        <vertAlign val="subscript"/>
        <sz val="12"/>
        <rFont val="VNI-Times"/>
      </rPr>
      <t>sw</t>
    </r>
    <r>
      <rPr>
        <b/>
        <sz val="12"/>
        <rFont val="VNI-Times"/>
      </rPr>
      <t>(MPa)</t>
    </r>
  </si>
  <si>
    <r>
      <t xml:space="preserve"> Để tính toán, cắt theo phương cạnh ngắn </t>
    </r>
    <r>
      <rPr>
        <i/>
        <sz val="12"/>
        <color theme="1"/>
        <rFont val="Times"/>
        <family val="1"/>
      </rPr>
      <t>l</t>
    </r>
    <r>
      <rPr>
        <i/>
        <vertAlign val="subscript"/>
        <sz val="12"/>
        <color theme="1"/>
        <rFont val="Times"/>
        <family val="1"/>
      </rPr>
      <t xml:space="preserve">1 </t>
    </r>
    <r>
      <rPr>
        <i/>
        <sz val="12"/>
        <color theme="1"/>
        <rFont val="Times"/>
        <family val="1"/>
      </rPr>
      <t>dải bản rộng 1m để tính</t>
    </r>
  </si>
  <si>
    <t>Mặt cắt A-A</t>
  </si>
  <si>
    <t xml:space="preserve"> Bản làm việc như một dầm liên tục nhiều nhịp. Tính toán theo sơ đồ có xét đến biến dạng dẻo, nhịp tính toán của bản được xác dịnh như sau :</t>
  </si>
  <si>
    <t>=</t>
  </si>
  <si>
    <t>(mm)</t>
  </si>
  <si>
    <t>Các lớp
cấu tạo</t>
  </si>
  <si>
    <t>Vữa lót</t>
  </si>
  <si>
    <t>Gạch bông</t>
  </si>
  <si>
    <t>Bê tông sàn</t>
  </si>
  <si>
    <t>Vữa Trát</t>
  </si>
  <si>
    <t>Chiều dày
(m)</t>
  </si>
  <si>
    <r>
      <t>Khối lượng riêng
DaN/m</t>
    </r>
    <r>
      <rPr>
        <b/>
        <vertAlign val="superscript"/>
        <sz val="11"/>
        <color theme="1"/>
        <rFont val="Times"/>
        <family val="1"/>
      </rPr>
      <t>2</t>
    </r>
  </si>
  <si>
    <t>Hệ số
vượt tải</t>
  </si>
  <si>
    <r>
      <t>L</t>
    </r>
    <r>
      <rPr>
        <i/>
        <vertAlign val="subscript"/>
        <sz val="12"/>
        <color theme="1"/>
        <rFont val="Times"/>
        <family val="1"/>
      </rPr>
      <t>0</t>
    </r>
    <r>
      <rPr>
        <i/>
        <sz val="12"/>
        <color theme="1"/>
        <rFont val="Times"/>
        <family val="1"/>
      </rPr>
      <t xml:space="preserve"> = L</t>
    </r>
    <r>
      <rPr>
        <i/>
        <vertAlign val="subscript"/>
        <sz val="12"/>
        <color theme="1"/>
        <rFont val="Times"/>
        <family val="1"/>
      </rPr>
      <t>1</t>
    </r>
    <r>
      <rPr>
        <i/>
        <sz val="12"/>
        <color theme="1"/>
        <rFont val="Times"/>
        <family val="1"/>
      </rPr>
      <t xml:space="preserve"> - b</t>
    </r>
    <r>
      <rPr>
        <i/>
        <vertAlign val="subscript"/>
        <sz val="12"/>
        <color theme="1"/>
        <rFont val="Times"/>
        <family val="1"/>
      </rPr>
      <t>dp</t>
    </r>
    <r>
      <rPr>
        <i/>
        <sz val="12"/>
        <color theme="1"/>
        <rFont val="Times"/>
        <family val="1"/>
      </rPr>
      <t xml:space="preserve"> =</t>
    </r>
  </si>
  <si>
    <r>
      <t>L</t>
    </r>
    <r>
      <rPr>
        <i/>
        <vertAlign val="subscript"/>
        <sz val="12"/>
        <color theme="1"/>
        <rFont val="Times"/>
        <family val="1"/>
      </rPr>
      <t>0b</t>
    </r>
    <r>
      <rPr>
        <i/>
        <sz val="12"/>
        <color theme="1"/>
        <rFont val="Times"/>
        <family val="1"/>
      </rPr>
      <t xml:space="preserve"> = L</t>
    </r>
    <r>
      <rPr>
        <i/>
        <vertAlign val="subscript"/>
        <sz val="12"/>
        <color theme="1"/>
        <rFont val="Times"/>
        <family val="1"/>
      </rPr>
      <t>1</t>
    </r>
    <r>
      <rPr>
        <i/>
        <sz val="12"/>
        <color theme="1"/>
        <rFont val="Times"/>
        <family val="1"/>
      </rPr>
      <t xml:space="preserve"> - (3/2)b</t>
    </r>
    <r>
      <rPr>
        <i/>
        <vertAlign val="subscript"/>
        <sz val="12"/>
        <color theme="1"/>
        <rFont val="Times"/>
        <family val="1"/>
      </rPr>
      <t>dp</t>
    </r>
    <r>
      <rPr>
        <i/>
        <sz val="12"/>
        <color theme="1"/>
        <rFont val="Times"/>
        <family val="1"/>
      </rPr>
      <t xml:space="preserve"> =</t>
    </r>
  </si>
  <si>
    <t xml:space="preserve"> - Xác định nội lực :</t>
  </si>
  <si>
    <t xml:space="preserve"> - Tính toán cốt thép :</t>
  </si>
  <si>
    <t>Tiết diện</t>
  </si>
  <si>
    <t>Nhịp biên</t>
  </si>
  <si>
    <t>Gối thứ 2</t>
  </si>
  <si>
    <t>Với a =</t>
  </si>
  <si>
    <t>(cm)</t>
  </si>
  <si>
    <t>Tính :</t>
  </si>
  <si>
    <t>M</t>
  </si>
  <si>
    <r>
      <t>h</t>
    </r>
    <r>
      <rPr>
        <vertAlign val="subscript"/>
        <sz val="12"/>
        <color theme="1"/>
        <rFont val="Times"/>
        <family val="1"/>
      </rPr>
      <t>0</t>
    </r>
  </si>
  <si>
    <t>Nhóm thép
chịu kéo</t>
  </si>
  <si>
    <t>Ký
hiệu</t>
  </si>
  <si>
    <t>Cấp độ bền chịu nén của Bêtông</t>
  </si>
  <si>
    <t>Bất kỳ</t>
  </si>
  <si>
    <t>C-III
A-III</t>
  </si>
  <si>
    <t>C-II
A-II</t>
  </si>
  <si>
    <t>C-I
A-I</t>
  </si>
  <si>
    <t>Trạng
Thái</t>
  </si>
  <si>
    <t>Cấp độ bền của bêtông TTGH I</t>
  </si>
  <si>
    <t>f</t>
  </si>
  <si>
    <r>
      <t>Diện tích tiết diện ngang của cốt thép cm</t>
    </r>
    <r>
      <rPr>
        <vertAlign val="superscript"/>
        <sz val="16"/>
        <rFont val="Times New Roman"/>
        <family val="1"/>
      </rPr>
      <t>2</t>
    </r>
    <r>
      <rPr>
        <sz val="16"/>
        <rFont val="Times New Roman"/>
        <family val="1"/>
      </rPr>
      <t xml:space="preserve">
Ứng với số thanh</t>
    </r>
  </si>
  <si>
    <r>
      <t>Diện tích tiết diện cốt thép (mm</t>
    </r>
    <r>
      <rPr>
        <b/>
        <vertAlign val="superscript"/>
        <sz val="16"/>
        <rFont val="Times New Roman"/>
        <family val="1"/>
      </rPr>
      <t>2</t>
    </r>
    <r>
      <rPr>
        <b/>
        <sz val="16"/>
        <rFont val="Times New Roman"/>
        <family val="1"/>
      </rPr>
      <t>/</t>
    </r>
    <r>
      <rPr>
        <sz val="16"/>
        <rFont val="Times New Roman"/>
        <family val="1"/>
      </rPr>
      <t>m</t>
    </r>
    <r>
      <rPr>
        <b/>
        <sz val="11"/>
        <rFont val="Times New Roman"/>
        <family val="1"/>
      </rPr>
      <t>)</t>
    </r>
  </si>
  <si>
    <t>mm</t>
  </si>
  <si>
    <t>S</t>
  </si>
  <si>
    <t>Đường kính thép (mm)</t>
  </si>
  <si>
    <r>
      <t>Nén R</t>
    </r>
    <r>
      <rPr>
        <vertAlign val="subscript"/>
        <sz val="12"/>
        <rFont val="Times New Roman"/>
        <family val="1"/>
      </rPr>
      <t>b</t>
    </r>
  </si>
  <si>
    <t>6/8</t>
  </si>
  <si>
    <t>8/10</t>
  </si>
  <si>
    <r>
      <t>Kéo R</t>
    </r>
    <r>
      <rPr>
        <vertAlign val="subscript"/>
        <sz val="12"/>
        <rFont val="Times New Roman"/>
        <family val="1"/>
      </rPr>
      <t>bt</t>
    </r>
  </si>
  <si>
    <r>
      <t>E</t>
    </r>
    <r>
      <rPr>
        <vertAlign val="subscript"/>
        <sz val="12"/>
        <rFont val="Times New Roman"/>
        <family val="1"/>
      </rPr>
      <t>b</t>
    </r>
    <r>
      <rPr>
        <sz val="10"/>
        <rFont val="Times New Roman"/>
        <family val="1"/>
      </rPr>
      <t xml:space="preserve"> (Mpa)</t>
    </r>
  </si>
  <si>
    <t>Cường độ của thép thanh TTGH I</t>
  </si>
  <si>
    <t>Nhóm
Thép A C</t>
  </si>
  <si>
    <t>Cường độ kéo Mpa</t>
  </si>
  <si>
    <r>
      <t>Cường độ nén
R</t>
    </r>
    <r>
      <rPr>
        <vertAlign val="subscript"/>
        <sz val="12"/>
        <rFont val="Arial"/>
        <family val="2"/>
      </rPr>
      <t>sc</t>
    </r>
  </si>
  <si>
    <r>
      <t>E</t>
    </r>
    <r>
      <rPr>
        <vertAlign val="subscript"/>
        <sz val="12"/>
        <rFont val="Arial"/>
        <family val="2"/>
      </rPr>
      <t>s</t>
    </r>
    <r>
      <rPr>
        <sz val="10"/>
        <rFont val="Arial"/>
        <family val="2"/>
      </rPr>
      <t xml:space="preserve">
(Mpa)</t>
    </r>
  </si>
  <si>
    <r>
      <t>Cốt dọc R</t>
    </r>
    <r>
      <rPr>
        <vertAlign val="subscript"/>
        <sz val="12"/>
        <rFont val="Arial"/>
        <family val="2"/>
      </rPr>
      <t>s</t>
    </r>
  </si>
  <si>
    <r>
      <t>Cốt đai, xiên R</t>
    </r>
    <r>
      <rPr>
        <vertAlign val="subscript"/>
        <sz val="12"/>
        <rFont val="Arial"/>
        <family val="2"/>
      </rPr>
      <t>sw</t>
    </r>
  </si>
  <si>
    <t>K</t>
  </si>
  <si>
    <t>Sơ đồ đặt tải</t>
  </si>
  <si>
    <t>STT</t>
  </si>
  <si>
    <t>B</t>
  </si>
  <si>
    <t>C</t>
  </si>
  <si>
    <t>D</t>
  </si>
  <si>
    <t>A - 1</t>
  </si>
  <si>
    <t>2 - B</t>
  </si>
  <si>
    <t>B - 3</t>
  </si>
  <si>
    <t>4 - C</t>
  </si>
  <si>
    <t>C - 5</t>
  </si>
  <si>
    <t>Số nhịp dầm</t>
  </si>
  <si>
    <t>Ghi chú</t>
  </si>
  <si>
    <t>Bảng 1</t>
  </si>
  <si>
    <t>Bảng 2</t>
  </si>
  <si>
    <t>Bảng 3</t>
  </si>
  <si>
    <t>Bảng 4</t>
  </si>
  <si>
    <t>Bảng 5</t>
  </si>
  <si>
    <t>Bảng 7</t>
  </si>
  <si>
    <t>;</t>
  </si>
  <si>
    <t>Chiều cao có ích của bản :</t>
  </si>
  <si>
    <t>Kiểm tra hàm lượng cốt thép :</t>
  </si>
  <si>
    <t>- Nhịp biên :</t>
  </si>
  <si>
    <t>- Nhịp giữa :</t>
  </si>
  <si>
    <t>CÔNG TY CP SX-TM SPĐ NAM HẢI</t>
  </si>
  <si>
    <t>THIẾT KẾ DẦM , SÀN BÊ TÔNG CỐT THÉP</t>
  </si>
  <si>
    <r>
      <rPr>
        <b/>
        <sz val="12"/>
        <color theme="1"/>
        <rFont val="Times"/>
        <family val="1"/>
      </rPr>
      <t>Người thực hiện</t>
    </r>
    <r>
      <rPr>
        <sz val="12"/>
        <color theme="1"/>
        <rFont val="Times"/>
        <family val="1"/>
      </rPr>
      <t xml:space="preserve"> : Civil engineer Hải Hậu</t>
    </r>
  </si>
  <si>
    <r>
      <rPr>
        <b/>
        <sz val="12"/>
        <color theme="1"/>
        <rFont val="Times"/>
        <family val="1"/>
      </rPr>
      <t>Email</t>
    </r>
    <r>
      <rPr>
        <sz val="12"/>
        <color theme="1"/>
        <rFont val="Times"/>
        <family val="1"/>
      </rPr>
      <t xml:space="preserve"> : nguyenphanhaihau@gmail.com</t>
    </r>
  </si>
  <si>
    <r>
      <rPr>
        <b/>
        <sz val="12"/>
        <color theme="1"/>
        <rFont val="Times"/>
        <family val="1"/>
      </rPr>
      <t>VPLV</t>
    </r>
    <r>
      <rPr>
        <sz val="12"/>
        <color theme="1"/>
        <rFont val="Times"/>
        <family val="1"/>
      </rPr>
      <t xml:space="preserve"> : Đường N1, KCN Phú Mỹ, X.Tân Phước, Tân Thành, BRVT
</t>
    </r>
    <r>
      <rPr>
        <b/>
        <sz val="12"/>
        <color theme="1"/>
        <rFont val="Times"/>
        <family val="1"/>
      </rPr>
      <t>Web</t>
    </r>
    <r>
      <rPr>
        <sz val="12"/>
        <color theme="1"/>
        <rFont val="Times"/>
        <family val="1"/>
      </rPr>
      <t xml:space="preserve"> : http://www.cungcapdaxaydung.com/</t>
    </r>
  </si>
  <si>
    <r>
      <t>Hoạt tải tính toán (P</t>
    </r>
    <r>
      <rPr>
        <b/>
        <vertAlign val="subscript"/>
        <sz val="11"/>
        <color theme="1"/>
        <rFont val="Times"/>
        <family val="1"/>
      </rPr>
      <t>s</t>
    </r>
    <r>
      <rPr>
        <b/>
        <sz val="11"/>
        <color theme="1"/>
        <rFont val="Times"/>
        <family val="1"/>
      </rPr>
      <t xml:space="preserve"> = p</t>
    </r>
    <r>
      <rPr>
        <b/>
        <vertAlign val="superscript"/>
        <sz val="11"/>
        <color theme="1"/>
        <rFont val="Times"/>
        <family val="1"/>
      </rPr>
      <t>c</t>
    </r>
    <r>
      <rPr>
        <b/>
        <sz val="11"/>
        <color theme="1"/>
        <rFont val="Times"/>
        <family val="1"/>
      </rPr>
      <t>.n.1)</t>
    </r>
  </si>
  <si>
    <r>
      <t>Tĩnh tải tính toán ( G</t>
    </r>
    <r>
      <rPr>
        <b/>
        <vertAlign val="subscript"/>
        <sz val="11"/>
        <color theme="1"/>
        <rFont val="Times"/>
        <family val="1"/>
      </rPr>
      <t>s</t>
    </r>
    <r>
      <rPr>
        <b/>
        <sz val="11"/>
        <color theme="1"/>
        <rFont val="Times"/>
        <family val="1"/>
      </rPr>
      <t xml:space="preserve"> )</t>
    </r>
  </si>
  <si>
    <r>
      <t>Tổng tĩnh tải sàn (Q</t>
    </r>
    <r>
      <rPr>
        <b/>
        <vertAlign val="subscript"/>
        <sz val="11"/>
        <color theme="1"/>
        <rFont val="Times"/>
        <family val="1"/>
      </rPr>
      <t>s</t>
    </r>
    <r>
      <rPr>
        <b/>
        <sz val="11"/>
        <color theme="1"/>
        <rFont val="Times"/>
        <family val="1"/>
      </rPr>
      <t xml:space="preserve"> = P</t>
    </r>
    <r>
      <rPr>
        <b/>
        <vertAlign val="subscript"/>
        <sz val="11"/>
        <color theme="1"/>
        <rFont val="Times"/>
        <family val="1"/>
      </rPr>
      <t>s</t>
    </r>
    <r>
      <rPr>
        <b/>
        <sz val="11"/>
        <color theme="1"/>
        <rFont val="Times"/>
        <family val="1"/>
      </rPr>
      <t xml:space="preserve"> + G</t>
    </r>
    <r>
      <rPr>
        <b/>
        <vertAlign val="subscript"/>
        <sz val="11"/>
        <color theme="1"/>
        <rFont val="Times"/>
        <family val="1"/>
      </rPr>
      <t>s</t>
    </r>
    <r>
      <rPr>
        <b/>
        <sz val="11"/>
        <color theme="1"/>
        <rFont val="Times"/>
        <family val="1"/>
      </rPr>
      <t>)</t>
    </r>
  </si>
  <si>
    <t>(%)</t>
  </si>
  <si>
    <t>min
(mm)</t>
  </si>
  <si>
    <t>max
(mm)</t>
  </si>
  <si>
    <t>- Kiểm tra điều kiện :</t>
  </si>
  <si>
    <t>+ Thông thường ở trong bản sàn vật liệu bê tông đủ khả năng chịu cắt ( Q &lt; 0,6.Rbt.h0 ), do đó không tính toán bỏ qua sàn chống cắt và không thiết kế cốt đai cho bản sàn.</t>
  </si>
  <si>
    <t xml:space="preserve"> - Cốt thép nhịp phương L1 nằm dưới và phương L2 nằm trên</t>
  </si>
  <si>
    <t xml:space="preserve"> - Cốt thép theo phương L2 đặt theo cấu tạo :</t>
  </si>
  <si>
    <t>L2</t>
  </si>
  <si>
    <t>L1</t>
  </si>
  <si>
    <t>&gt;</t>
  </si>
  <si>
    <r>
      <t>Lấy A</t>
    </r>
    <r>
      <rPr>
        <vertAlign val="subscript"/>
        <sz val="12"/>
        <color theme="1"/>
        <rFont val="Times"/>
        <family val="1"/>
      </rPr>
      <t>s2</t>
    </r>
    <r>
      <rPr>
        <sz val="12"/>
        <color theme="1"/>
        <rFont val="Times"/>
        <family val="1"/>
      </rPr>
      <t xml:space="preserve"> &gt;= 10%A</t>
    </r>
    <r>
      <rPr>
        <vertAlign val="subscript"/>
        <sz val="12"/>
        <color theme="1"/>
        <rFont val="Times"/>
        <family val="1"/>
      </rPr>
      <t>s</t>
    </r>
  </si>
  <si>
    <t>2 -:- 3</t>
  </si>
  <si>
    <r>
      <t>Lấy A</t>
    </r>
    <r>
      <rPr>
        <vertAlign val="subscript"/>
        <sz val="12"/>
        <color theme="1"/>
        <rFont val="Times"/>
        <family val="1"/>
      </rPr>
      <t>s2</t>
    </r>
    <r>
      <rPr>
        <sz val="12"/>
        <color theme="1"/>
        <rFont val="Times"/>
        <family val="1"/>
      </rPr>
      <t xml:space="preserve"> &gt;= 20%A</t>
    </r>
    <r>
      <rPr>
        <vertAlign val="subscript"/>
        <sz val="12"/>
        <color theme="1"/>
        <rFont val="Times"/>
        <family val="1"/>
      </rPr>
      <t>s</t>
    </r>
  </si>
  <si>
    <t>+ Khi</t>
  </si>
  <si>
    <t xml:space="preserve"> - Cốt thép gối uốn qua mép dầm phụ :</t>
  </si>
  <si>
    <t>L1 (mm)</t>
  </si>
  <si>
    <t>L2 (mm)</t>
  </si>
  <si>
    <t>L3 (mm)</t>
  </si>
  <si>
    <t>L4 (mm)</t>
  </si>
  <si>
    <t>L5 (mm)</t>
  </si>
  <si>
    <t xml:space="preserve">  1. Sơ đồ tính - nhịp tính toán bản :</t>
  </si>
  <si>
    <t xml:space="preserve">  2. Xác định tải trọng :</t>
  </si>
  <si>
    <t xml:space="preserve">  3. Xác định nội lực - Tính toán cốt thép :</t>
  </si>
  <si>
    <t xml:space="preserve">  4. Chọn và bố trí cốt thép :</t>
  </si>
  <si>
    <t>III. Tính dầm phụ :</t>
  </si>
  <si>
    <t xml:space="preserve">  1. Sơ đồ tính :</t>
  </si>
  <si>
    <t xml:space="preserve"> - Dầm phụ là dầm 4 nhịp, tính theo sơ đồ có xét biến dạng dẻo</t>
  </si>
  <si>
    <t xml:space="preserve"> - Kích thước dầm phụ thiết kế là :</t>
  </si>
  <si>
    <r>
      <t>b</t>
    </r>
    <r>
      <rPr>
        <vertAlign val="subscript"/>
        <sz val="12"/>
        <color theme="1"/>
        <rFont val="Times"/>
        <family val="1"/>
      </rPr>
      <t xml:space="preserve">dp </t>
    </r>
    <r>
      <rPr>
        <sz val="12"/>
        <color theme="1"/>
        <rFont val="Times"/>
        <family val="1"/>
      </rPr>
      <t>=</t>
    </r>
  </si>
  <si>
    <r>
      <t>h</t>
    </r>
    <r>
      <rPr>
        <vertAlign val="subscript"/>
        <sz val="12"/>
        <color theme="1"/>
        <rFont val="Times"/>
        <family val="1"/>
      </rPr>
      <t xml:space="preserve">dp </t>
    </r>
    <r>
      <rPr>
        <sz val="12"/>
        <color theme="1"/>
        <rFont val="Times"/>
        <family val="1"/>
      </rPr>
      <t>=</t>
    </r>
  </si>
  <si>
    <t xml:space="preserve"> - Nhịp tính toán :</t>
  </si>
  <si>
    <t>(m)</t>
  </si>
  <si>
    <t xml:space="preserve"> - Sơ đồ tính toán :</t>
  </si>
  <si>
    <r>
      <t>L</t>
    </r>
    <r>
      <rPr>
        <vertAlign val="subscript"/>
        <sz val="11"/>
        <color theme="1"/>
        <rFont val="Times New Roman"/>
        <family val="1"/>
      </rPr>
      <t>0b</t>
    </r>
    <r>
      <rPr>
        <sz val="11"/>
        <color theme="1"/>
        <rFont val="Times New Roman"/>
        <family val="1"/>
      </rPr>
      <t xml:space="preserve"> = L</t>
    </r>
    <r>
      <rPr>
        <vertAlign val="subscript"/>
        <sz val="11"/>
        <color theme="1"/>
        <rFont val="Times New Roman"/>
        <family val="1"/>
      </rPr>
      <t>2</t>
    </r>
    <r>
      <rPr>
        <sz val="11"/>
        <color theme="1"/>
        <rFont val="Times New Roman"/>
        <family val="1"/>
      </rPr>
      <t xml:space="preserve"> - (3/2)b</t>
    </r>
    <r>
      <rPr>
        <vertAlign val="subscript"/>
        <sz val="11"/>
        <color theme="1"/>
        <rFont val="Times New Roman"/>
        <family val="1"/>
      </rPr>
      <t>dc</t>
    </r>
    <r>
      <rPr>
        <sz val="11"/>
        <color theme="1"/>
        <rFont val="Times New Roman"/>
        <family val="1"/>
      </rPr>
      <t xml:space="preserve"> =</t>
    </r>
  </si>
  <si>
    <r>
      <t>Tỷ trọng</t>
    </r>
    <r>
      <rPr>
        <sz val="10"/>
        <rFont val="Times"/>
        <family val="1"/>
      </rPr>
      <t xml:space="preserve"> Bêtông KN/m</t>
    </r>
    <r>
      <rPr>
        <vertAlign val="superscript"/>
        <sz val="10"/>
        <rFont val="Times"/>
        <family val="1"/>
      </rPr>
      <t>3</t>
    </r>
  </si>
  <si>
    <t>Hệ số vượt tải</t>
  </si>
  <si>
    <r>
      <t>Tĩnh tải sàn truyền vào dầm ( G</t>
    </r>
    <r>
      <rPr>
        <vertAlign val="subscript"/>
        <sz val="11"/>
        <color theme="1"/>
        <rFont val="Times"/>
        <family val="1"/>
      </rPr>
      <t>s</t>
    </r>
    <r>
      <rPr>
        <sz val="11"/>
        <color theme="1"/>
        <rFont val="Times"/>
        <family val="1"/>
      </rPr>
      <t>.L</t>
    </r>
    <r>
      <rPr>
        <vertAlign val="subscript"/>
        <sz val="11"/>
        <color theme="1"/>
        <rFont val="Times"/>
        <family val="1"/>
      </rPr>
      <t>1</t>
    </r>
    <r>
      <rPr>
        <sz val="11"/>
        <color theme="1"/>
        <rFont val="Times"/>
        <family val="1"/>
      </rPr>
      <t xml:space="preserve"> )</t>
    </r>
  </si>
  <si>
    <r>
      <t>Trọng lượng
bản thân dầm ( g</t>
    </r>
    <r>
      <rPr>
        <vertAlign val="subscript"/>
        <sz val="11"/>
        <color theme="1"/>
        <rFont val="Times"/>
        <family val="1"/>
      </rPr>
      <t xml:space="preserve">dp </t>
    </r>
    <r>
      <rPr>
        <sz val="11"/>
        <color theme="1"/>
        <rFont val="Times"/>
        <family val="1"/>
      </rPr>
      <t>)</t>
    </r>
  </si>
  <si>
    <r>
      <t>L1 = 0,425.L</t>
    </r>
    <r>
      <rPr>
        <vertAlign val="subscript"/>
        <sz val="10"/>
        <rFont val="Times"/>
        <family val="1"/>
      </rPr>
      <t>0b</t>
    </r>
  </si>
  <si>
    <r>
      <t>L2 = K.L</t>
    </r>
    <r>
      <rPr>
        <vertAlign val="subscript"/>
        <sz val="10"/>
        <rFont val="Times"/>
        <family val="1"/>
      </rPr>
      <t>0b</t>
    </r>
  </si>
  <si>
    <r>
      <t>L3 = 0,15.L</t>
    </r>
    <r>
      <rPr>
        <vertAlign val="subscript"/>
        <sz val="10"/>
        <rFont val="Times"/>
        <family val="1"/>
      </rPr>
      <t>0b</t>
    </r>
  </si>
  <si>
    <r>
      <t>L4 = 0,15L</t>
    </r>
    <r>
      <rPr>
        <vertAlign val="subscript"/>
        <sz val="10"/>
        <rFont val="Times"/>
        <family val="1"/>
      </rPr>
      <t>0</t>
    </r>
  </si>
  <si>
    <r>
      <t>L5 = 0,5L</t>
    </r>
    <r>
      <rPr>
        <vertAlign val="subscript"/>
        <sz val="10"/>
        <rFont val="Times"/>
        <family val="1"/>
      </rPr>
      <t>0</t>
    </r>
  </si>
  <si>
    <t>Hệ số Moment tại các tiết diện</t>
  </si>
  <si>
    <t>Hệ số lực cắt trên các đoạn</t>
  </si>
  <si>
    <t>Beta 1</t>
  </si>
  <si>
    <t>2'</t>
  </si>
  <si>
    <t>7'</t>
  </si>
  <si>
    <t>12'</t>
  </si>
  <si>
    <t xml:space="preserve">  Hệ số Beta 1 nhánh dương biểu đồ tạo momen cho dầm phụ</t>
  </si>
  <si>
    <t xml:space="preserve">  Hệ số Beta 2 nhánh dương biểu đồ tạo momen cho dầm phụ</t>
  </si>
  <si>
    <t>Bảng 6.1</t>
  </si>
  <si>
    <t>Bảng 6.2</t>
  </si>
  <si>
    <t>Nhịp</t>
  </si>
  <si>
    <t>Biên</t>
  </si>
  <si>
    <t>Thứ 2</t>
  </si>
  <si>
    <t>Giữa</t>
  </si>
  <si>
    <t>GIÁ TRỊ CÁC TIẾT DIỆN</t>
  </si>
  <si>
    <t>Bảng Tra</t>
  </si>
  <si>
    <t>Nội suy</t>
  </si>
  <si>
    <r>
      <t>L</t>
    </r>
    <r>
      <rPr>
        <b/>
        <vertAlign val="subscript"/>
        <sz val="11"/>
        <color theme="1"/>
        <rFont val="Times"/>
        <family val="1"/>
      </rPr>
      <t xml:space="preserve">0 </t>
    </r>
    <r>
      <rPr>
        <b/>
        <sz val="11"/>
        <color theme="1"/>
        <rFont val="Times"/>
        <family val="1"/>
      </rPr>
      <t>(m)</t>
    </r>
  </si>
  <si>
    <r>
      <t>( G</t>
    </r>
    <r>
      <rPr>
        <b/>
        <vertAlign val="subscript"/>
        <sz val="11"/>
        <color theme="1"/>
        <rFont val="Times"/>
        <family val="1"/>
      </rPr>
      <t>dp</t>
    </r>
    <r>
      <rPr>
        <b/>
        <sz val="11"/>
        <color theme="1"/>
        <rFont val="Times"/>
        <family val="1"/>
      </rPr>
      <t xml:space="preserve"> + P</t>
    </r>
    <r>
      <rPr>
        <b/>
        <vertAlign val="subscript"/>
        <sz val="11"/>
        <color theme="1"/>
        <rFont val="Times"/>
        <family val="1"/>
      </rPr>
      <t xml:space="preserve">dp </t>
    </r>
    <r>
      <rPr>
        <b/>
        <sz val="11"/>
        <color theme="1"/>
        <rFont val="Times"/>
        <family val="1"/>
      </rPr>
      <t>)</t>
    </r>
  </si>
  <si>
    <r>
      <t xml:space="preserve">M </t>
    </r>
    <r>
      <rPr>
        <b/>
        <vertAlign val="superscript"/>
        <sz val="14"/>
        <color theme="1"/>
        <rFont val="Times"/>
        <family val="1"/>
      </rPr>
      <t>+</t>
    </r>
  </si>
  <si>
    <r>
      <t xml:space="preserve">M </t>
    </r>
    <r>
      <rPr>
        <b/>
        <vertAlign val="superscript"/>
        <sz val="14"/>
        <color theme="1"/>
        <rFont val="Times"/>
        <family val="1"/>
      </rPr>
      <t>-</t>
    </r>
  </si>
  <si>
    <t>Mặt cắt</t>
  </si>
  <si>
    <t xml:space="preserve">  3. Vẽ biểu đồ bao Nội lực :</t>
  </si>
  <si>
    <t xml:space="preserve">    a. Biểu đồ bao Momen :</t>
  </si>
  <si>
    <t xml:space="preserve">    b. Biểu đồ bao lực cắt :</t>
  </si>
  <si>
    <r>
      <t>Tĩnh tải tính toán trên dầm ( G</t>
    </r>
    <r>
      <rPr>
        <vertAlign val="subscript"/>
        <sz val="11"/>
        <color theme="1"/>
        <rFont val="Times"/>
        <family val="1"/>
      </rPr>
      <t xml:space="preserve">dp </t>
    </r>
    <r>
      <rPr>
        <sz val="11"/>
        <color theme="1"/>
        <rFont val="Times"/>
        <family val="1"/>
      </rPr>
      <t>)</t>
    </r>
  </si>
  <si>
    <r>
      <t>Hoạt tải tính toán trên dầm ( P</t>
    </r>
    <r>
      <rPr>
        <vertAlign val="subscript"/>
        <sz val="11"/>
        <color theme="1"/>
        <rFont val="Times"/>
        <family val="1"/>
      </rPr>
      <t xml:space="preserve">dp </t>
    </r>
    <r>
      <rPr>
        <sz val="11"/>
        <color theme="1"/>
        <rFont val="Times"/>
        <family val="1"/>
      </rPr>
      <t>)</t>
    </r>
  </si>
  <si>
    <r>
      <t>Tổng tĩnh tải dầm (q</t>
    </r>
    <r>
      <rPr>
        <vertAlign val="subscript"/>
        <sz val="11"/>
        <color theme="1"/>
        <rFont val="Times New Roman"/>
        <family val="1"/>
      </rPr>
      <t>dp</t>
    </r>
    <r>
      <rPr>
        <sz val="11"/>
        <color theme="1"/>
        <rFont val="Times New Roman"/>
        <family val="1"/>
      </rPr>
      <t xml:space="preserve"> = P</t>
    </r>
    <r>
      <rPr>
        <vertAlign val="subscript"/>
        <sz val="11"/>
        <color theme="1"/>
        <rFont val="Times New Roman"/>
        <family val="1"/>
      </rPr>
      <t>dp</t>
    </r>
    <r>
      <rPr>
        <sz val="11"/>
        <color theme="1"/>
        <rFont val="Times New Roman"/>
        <family val="1"/>
      </rPr>
      <t xml:space="preserve">  + G</t>
    </r>
    <r>
      <rPr>
        <vertAlign val="subscript"/>
        <sz val="11"/>
        <color theme="1"/>
        <rFont val="Times New Roman"/>
        <family val="1"/>
      </rPr>
      <t>dp</t>
    </r>
    <r>
      <rPr>
        <sz val="11"/>
        <color theme="1"/>
        <rFont val="Times New Roman"/>
        <family val="1"/>
      </rPr>
      <t>)</t>
    </r>
  </si>
  <si>
    <r>
      <t>Q</t>
    </r>
    <r>
      <rPr>
        <vertAlign val="subscript"/>
        <sz val="12"/>
        <rFont val="Times"/>
        <family val="1"/>
      </rPr>
      <t>1</t>
    </r>
    <r>
      <rPr>
        <sz val="12"/>
        <rFont val="Times"/>
        <family val="1"/>
      </rPr>
      <t>= 0,4 q</t>
    </r>
    <r>
      <rPr>
        <vertAlign val="subscript"/>
        <sz val="12"/>
        <rFont val="Times"/>
        <family val="1"/>
      </rPr>
      <t xml:space="preserve">dp </t>
    </r>
    <r>
      <rPr>
        <sz val="12"/>
        <rFont val="Times"/>
        <family val="1"/>
      </rPr>
      <t>L</t>
    </r>
    <r>
      <rPr>
        <vertAlign val="subscript"/>
        <sz val="12"/>
        <rFont val="Times"/>
        <family val="1"/>
      </rPr>
      <t xml:space="preserve">0b </t>
    </r>
    <r>
      <rPr>
        <sz val="12"/>
        <rFont val="Times"/>
        <family val="1"/>
      </rPr>
      <t>(KN)</t>
    </r>
  </si>
  <si>
    <r>
      <t>Q</t>
    </r>
    <r>
      <rPr>
        <vertAlign val="superscript"/>
        <sz val="12"/>
        <rFont val="Times"/>
        <family val="1"/>
      </rPr>
      <t>T</t>
    </r>
    <r>
      <rPr>
        <vertAlign val="subscript"/>
        <sz val="12"/>
        <rFont val="Times"/>
        <family val="1"/>
      </rPr>
      <t>2</t>
    </r>
    <r>
      <rPr>
        <sz val="12"/>
        <rFont val="Times"/>
        <family val="1"/>
      </rPr>
      <t>= 0,6 q</t>
    </r>
    <r>
      <rPr>
        <vertAlign val="subscript"/>
        <sz val="12"/>
        <rFont val="Times"/>
        <family val="1"/>
      </rPr>
      <t xml:space="preserve">dp </t>
    </r>
    <r>
      <rPr>
        <sz val="12"/>
        <rFont val="Times"/>
        <family val="1"/>
      </rPr>
      <t>L</t>
    </r>
    <r>
      <rPr>
        <vertAlign val="subscript"/>
        <sz val="12"/>
        <rFont val="Times"/>
        <family val="1"/>
      </rPr>
      <t xml:space="preserve">0b </t>
    </r>
    <r>
      <rPr>
        <sz val="12"/>
        <rFont val="Times"/>
        <family val="1"/>
      </rPr>
      <t>(KN)</t>
    </r>
  </si>
  <si>
    <r>
      <t>Q</t>
    </r>
    <r>
      <rPr>
        <vertAlign val="superscript"/>
        <sz val="12"/>
        <rFont val="Times"/>
        <family val="1"/>
      </rPr>
      <t>P</t>
    </r>
    <r>
      <rPr>
        <vertAlign val="subscript"/>
        <sz val="12"/>
        <rFont val="Times"/>
        <family val="1"/>
      </rPr>
      <t>2</t>
    </r>
    <r>
      <rPr>
        <sz val="12"/>
        <rFont val="Times"/>
        <family val="1"/>
      </rPr>
      <t>=Q</t>
    </r>
    <r>
      <rPr>
        <vertAlign val="superscript"/>
        <sz val="12"/>
        <rFont val="Times"/>
        <family val="1"/>
      </rPr>
      <t>T</t>
    </r>
    <r>
      <rPr>
        <vertAlign val="subscript"/>
        <sz val="12"/>
        <rFont val="Times"/>
        <family val="1"/>
      </rPr>
      <t>3</t>
    </r>
    <r>
      <rPr>
        <sz val="12"/>
        <rFont val="Times"/>
        <family val="1"/>
      </rPr>
      <t>=Q</t>
    </r>
    <r>
      <rPr>
        <vertAlign val="superscript"/>
        <sz val="12"/>
        <rFont val="Times"/>
        <family val="1"/>
      </rPr>
      <t>P</t>
    </r>
    <r>
      <rPr>
        <vertAlign val="subscript"/>
        <sz val="12"/>
        <rFont val="Times"/>
        <family val="1"/>
      </rPr>
      <t>3</t>
    </r>
    <r>
      <rPr>
        <sz val="12"/>
        <rFont val="Times"/>
        <family val="1"/>
      </rPr>
      <t>= 0,5 q</t>
    </r>
    <r>
      <rPr>
        <vertAlign val="subscript"/>
        <sz val="12"/>
        <rFont val="Times"/>
        <family val="1"/>
      </rPr>
      <t xml:space="preserve">dp </t>
    </r>
    <r>
      <rPr>
        <sz val="12"/>
        <rFont val="Times"/>
        <family val="1"/>
      </rPr>
      <t>L</t>
    </r>
    <r>
      <rPr>
        <vertAlign val="subscript"/>
        <sz val="12"/>
        <rFont val="Times"/>
        <family val="1"/>
      </rPr>
      <t xml:space="preserve">0 </t>
    </r>
    <r>
      <rPr>
        <sz val="12"/>
        <rFont val="Times"/>
        <family val="1"/>
      </rPr>
      <t>(KN)</t>
    </r>
  </si>
  <si>
    <r>
      <t>E</t>
    </r>
    <r>
      <rPr>
        <b/>
        <vertAlign val="subscript"/>
        <sz val="12"/>
        <color theme="1"/>
        <rFont val="Times"/>
        <family val="1"/>
      </rPr>
      <t>b</t>
    </r>
    <r>
      <rPr>
        <b/>
        <sz val="12"/>
        <color theme="1"/>
        <rFont val="Times"/>
        <family val="1"/>
      </rPr>
      <t>(MPa).10</t>
    </r>
    <r>
      <rPr>
        <b/>
        <vertAlign val="superscript"/>
        <sz val="12"/>
        <color theme="1"/>
        <rFont val="Times"/>
        <family val="1"/>
      </rPr>
      <t>3</t>
    </r>
  </si>
  <si>
    <r>
      <t>E</t>
    </r>
    <r>
      <rPr>
        <b/>
        <vertAlign val="subscript"/>
        <sz val="12"/>
        <rFont val="VNI-Times"/>
      </rPr>
      <t>b</t>
    </r>
    <r>
      <rPr>
        <b/>
        <sz val="12"/>
        <rFont val="VNI-Times"/>
      </rPr>
      <t>(MPa).10</t>
    </r>
    <r>
      <rPr>
        <b/>
        <vertAlign val="superscript"/>
        <sz val="12"/>
        <rFont val="VNI-Times"/>
      </rPr>
      <t>4</t>
    </r>
  </si>
  <si>
    <t xml:space="preserve">  4. Tính cốt thép :</t>
  </si>
  <si>
    <r>
      <t>Điều kiện :   h</t>
    </r>
    <r>
      <rPr>
        <vertAlign val="subscript"/>
        <sz val="11"/>
        <color theme="1"/>
        <rFont val="Times New Roman"/>
        <family val="1"/>
      </rPr>
      <t>0</t>
    </r>
    <r>
      <rPr>
        <sz val="11"/>
        <color theme="1"/>
        <rFont val="Times New Roman"/>
        <family val="1"/>
      </rPr>
      <t xml:space="preserve"> &lt; h</t>
    </r>
    <r>
      <rPr>
        <vertAlign val="subscript"/>
        <sz val="11"/>
        <color theme="1"/>
        <rFont val="Times New Roman"/>
        <family val="1"/>
      </rPr>
      <t>chọn</t>
    </r>
  </si>
  <si>
    <t>Với :</t>
  </si>
  <si>
    <r>
      <t>h</t>
    </r>
    <r>
      <rPr>
        <vertAlign val="subscript"/>
        <sz val="11"/>
        <color theme="1"/>
        <rFont val="Times New Roman"/>
        <family val="1"/>
      </rPr>
      <t>chọn</t>
    </r>
    <r>
      <rPr>
        <sz val="11"/>
        <color theme="1"/>
        <rFont val="Times New Roman"/>
        <family val="1"/>
      </rPr>
      <t xml:space="preserve"> =</t>
    </r>
  </si>
  <si>
    <t>a =</t>
  </si>
  <si>
    <t>=&gt;</t>
  </si>
  <si>
    <t xml:space="preserve"> - Kiểm tra lại kích thước tiết diện đã chọn :</t>
  </si>
  <si>
    <t xml:space="preserve"> - Kiểm tra điều kiện bê tông đủ chịu lực cắt :</t>
  </si>
  <si>
    <r>
      <t>Điều kiện :   Q &lt; Q</t>
    </r>
    <r>
      <rPr>
        <vertAlign val="subscript"/>
        <sz val="11"/>
        <color theme="1"/>
        <rFont val="Times New Roman"/>
        <family val="1"/>
      </rPr>
      <t>max</t>
    </r>
  </si>
  <si>
    <r>
      <t>Q</t>
    </r>
    <r>
      <rPr>
        <vertAlign val="subscript"/>
        <sz val="11"/>
        <color theme="1"/>
        <rFont val="Times New Roman"/>
        <family val="1"/>
      </rPr>
      <t>max</t>
    </r>
    <r>
      <rPr>
        <sz val="11"/>
        <color theme="1"/>
        <rFont val="Times New Roman"/>
        <family val="1"/>
      </rPr>
      <t xml:space="preserve"> =</t>
    </r>
  </si>
  <si>
    <t>(daN)</t>
  </si>
  <si>
    <t>b =</t>
  </si>
  <si>
    <r>
      <t>b'</t>
    </r>
    <r>
      <rPr>
        <vertAlign val="subscript"/>
        <sz val="11"/>
        <color theme="1"/>
        <rFont val="Times New Roman"/>
        <family val="1"/>
      </rPr>
      <t>f</t>
    </r>
    <r>
      <rPr>
        <sz val="11"/>
        <color theme="1"/>
        <rFont val="Times New Roman"/>
        <family val="1"/>
      </rPr>
      <t xml:space="preserve"> = </t>
    </r>
  </si>
  <si>
    <r>
      <t>h'</t>
    </r>
    <r>
      <rPr>
        <vertAlign val="subscript"/>
        <sz val="11"/>
        <color theme="1"/>
        <rFont val="Times New Roman"/>
        <family val="1"/>
      </rPr>
      <t xml:space="preserve">f  </t>
    </r>
    <r>
      <rPr>
        <sz val="11"/>
        <color theme="1"/>
        <rFont val="Times New Roman"/>
        <family val="1"/>
      </rPr>
      <t>=</t>
    </r>
  </si>
  <si>
    <t xml:space="preserve">    Với M+ , cốt thép tính theo tiết diện chữ T</t>
  </si>
  <si>
    <t>M chọn
(KNm)</t>
  </si>
  <si>
    <t>M tính toán
(KNm)</t>
  </si>
  <si>
    <r>
      <t>Tải tính
toán (KN/m</t>
    </r>
    <r>
      <rPr>
        <b/>
        <vertAlign val="superscript"/>
        <sz val="11"/>
        <color theme="1"/>
        <rFont val="Times"/>
        <family val="1"/>
      </rPr>
      <t>2</t>
    </r>
    <r>
      <rPr>
        <b/>
        <sz val="11"/>
        <color theme="1"/>
        <rFont val="Times"/>
        <family val="1"/>
      </rPr>
      <t>)</t>
    </r>
  </si>
  <si>
    <t>f'c</t>
  </si>
  <si>
    <t>f'y</t>
  </si>
  <si>
    <t>a (mm)</t>
  </si>
  <si>
    <t>M (KN.m)</t>
  </si>
  <si>
    <t>Chênh lệch</t>
  </si>
  <si>
    <t>Hàm lượng</t>
  </si>
  <si>
    <t>Gối 2</t>
  </si>
  <si>
    <t>Nhịp giữa</t>
  </si>
  <si>
    <t>Gối giữa</t>
  </si>
  <si>
    <t>Chiều cao dầm phụ</t>
  </si>
  <si>
    <t>Cấp độ bền bê tông</t>
  </si>
  <si>
    <t>Chiều cao dầm chính</t>
  </si>
  <si>
    <t>bề rộng dầm phụ</t>
  </si>
  <si>
    <t>Rb</t>
  </si>
  <si>
    <t>Chữ nhật</t>
  </si>
  <si>
    <t>Bố trí Cốt
thép dọc</t>
  </si>
  <si>
    <t>Cốt thép đai</t>
  </si>
  <si>
    <t>Q (KN)</t>
  </si>
  <si>
    <t>Số nhánh</t>
  </si>
  <si>
    <t>Ứng suất
nén chính</t>
  </si>
  <si>
    <t>Sức chống 
cắt của Bêtông</t>
  </si>
  <si>
    <t>Gối 1</t>
  </si>
  <si>
    <t>Gối trái 2</t>
  </si>
  <si>
    <t>Cốt thép đai bố trí đoạn giữa dầm theo cấu tạo</t>
  </si>
  <si>
    <t>Gối phải 2,gối giữa</t>
  </si>
  <si>
    <t>Rbt</t>
  </si>
  <si>
    <t>Rsw</t>
  </si>
  <si>
    <t>Đường kính cốt đai</t>
  </si>
  <si>
    <r>
      <t>M</t>
    </r>
    <r>
      <rPr>
        <b/>
        <vertAlign val="subscript"/>
        <sz val="11"/>
        <rFont val="Times"/>
        <family val="1"/>
      </rPr>
      <t>f</t>
    </r>
    <r>
      <rPr>
        <b/>
        <sz val="11"/>
        <rFont val="Times"/>
        <family val="1"/>
      </rPr>
      <t xml:space="preserve"> (KN.m)</t>
    </r>
  </si>
  <si>
    <r>
      <t>As</t>
    </r>
    <r>
      <rPr>
        <b/>
        <vertAlign val="subscript"/>
        <sz val="11"/>
        <rFont val="Times"/>
        <family val="1"/>
      </rPr>
      <t>tính</t>
    </r>
    <r>
      <rPr>
        <b/>
        <sz val="11"/>
        <rFont val="Times"/>
        <family val="1"/>
      </rPr>
      <t xml:space="preserve"> (cm</t>
    </r>
    <r>
      <rPr>
        <b/>
        <vertAlign val="superscript"/>
        <sz val="11"/>
        <rFont val="Times"/>
        <family val="1"/>
      </rPr>
      <t>2</t>
    </r>
    <r>
      <rPr>
        <b/>
        <sz val="11"/>
        <rFont val="Times"/>
        <family val="1"/>
      </rPr>
      <t>)</t>
    </r>
  </si>
  <si>
    <r>
      <t>As</t>
    </r>
    <r>
      <rPr>
        <b/>
        <vertAlign val="subscript"/>
        <sz val="11"/>
        <rFont val="Times"/>
        <family val="1"/>
      </rPr>
      <t>chọn</t>
    </r>
    <r>
      <rPr>
        <b/>
        <sz val="11"/>
        <rFont val="Times"/>
        <family val="1"/>
      </rPr>
      <t xml:space="preserve"> (cm</t>
    </r>
    <r>
      <rPr>
        <b/>
        <vertAlign val="superscript"/>
        <sz val="11"/>
        <rFont val="Times"/>
        <family val="1"/>
      </rPr>
      <t>2</t>
    </r>
    <r>
      <rPr>
        <b/>
        <sz val="11"/>
        <rFont val="Times"/>
        <family val="1"/>
      </rPr>
      <t>)</t>
    </r>
  </si>
  <si>
    <t xml:space="preserve">     Bố trí cốt thép dọc :</t>
  </si>
  <si>
    <t xml:space="preserve">     Bố trí cốt thép đai :</t>
  </si>
  <si>
    <t>L tính toán
(mm)</t>
  </si>
  <si>
    <t>L max
 (mm)</t>
  </si>
  <si>
    <t>L cấu tạo 
(mm)</t>
  </si>
  <si>
    <t>L bố trí (mm)</t>
  </si>
  <si>
    <r>
      <t>A</t>
    </r>
    <r>
      <rPr>
        <b/>
        <vertAlign val="subscript"/>
        <sz val="11"/>
        <color theme="1"/>
        <rFont val="Times"/>
        <family val="1"/>
      </rPr>
      <t xml:space="preserve">s </t>
    </r>
    <r>
      <rPr>
        <b/>
        <sz val="11"/>
        <color theme="1"/>
        <rFont val="Times"/>
        <family val="1"/>
      </rPr>
      <t>Tính toán</t>
    </r>
    <r>
      <rPr>
        <b/>
        <vertAlign val="subscript"/>
        <sz val="11"/>
        <color theme="1"/>
        <rFont val="Times"/>
        <family val="1"/>
      </rPr>
      <t xml:space="preserve">
</t>
    </r>
    <r>
      <rPr>
        <b/>
        <sz val="11"/>
        <color theme="1"/>
        <rFont val="Times"/>
        <family val="1"/>
      </rPr>
      <t>(cm</t>
    </r>
    <r>
      <rPr>
        <b/>
        <vertAlign val="superscript"/>
        <sz val="11"/>
        <color theme="1"/>
        <rFont val="Times"/>
        <family val="1"/>
      </rPr>
      <t>2</t>
    </r>
    <r>
      <rPr>
        <b/>
        <sz val="11"/>
        <color theme="1"/>
        <rFont val="Times"/>
        <family val="1"/>
      </rPr>
      <t>/m)</t>
    </r>
  </si>
  <si>
    <r>
      <t>Chọn thép A</t>
    </r>
    <r>
      <rPr>
        <b/>
        <vertAlign val="subscript"/>
        <sz val="11"/>
        <color theme="1"/>
        <rFont val="Times"/>
        <family val="1"/>
      </rPr>
      <t>s</t>
    </r>
    <r>
      <rPr>
        <b/>
        <sz val="11"/>
        <color theme="1"/>
        <rFont val="Times"/>
        <family val="1"/>
      </rPr>
      <t>(cm</t>
    </r>
    <r>
      <rPr>
        <b/>
        <vertAlign val="superscript"/>
        <sz val="11"/>
        <color theme="1"/>
        <rFont val="Times"/>
        <family val="1"/>
      </rPr>
      <t>2</t>
    </r>
    <r>
      <rPr>
        <b/>
        <sz val="11"/>
        <color theme="1"/>
        <rFont val="Times"/>
        <family val="1"/>
      </rPr>
      <t>/m)</t>
    </r>
  </si>
  <si>
    <t>Khối lượng (Kg)</t>
  </si>
  <si>
    <t xml:space="preserve">    Khi ta tính toán cốt thép :
      - Tại mặt cắt giữa nhịp 2' thì ta có momen căng thớ dưới ( M- ) gây ra ứng suất nén cho thớ trên ứng suất kéo cho thớ dưới và vùng bê tông chịu nén có tiết diện chữ T do đó khi tính toán ta sẽ tính cho cấu kiện có tiết diện hình chữ T.
      - Tại mặt cắt giữa nhịp 10 thì ta có momen căng thớ tên ( M- ) gây ra ứng suất kéo cho thớ trên ứng suất nén cho thớ dưới và vùng bê tông chịu nén có tiết diện chữ nhật do đó khi tính toán ta sẽ tính cho cấu kiện có tiết diện hình chữ nhật.</t>
  </si>
  <si>
    <t>Bê tông sử dụng</t>
  </si>
  <si>
    <t>Bê tông nặng</t>
  </si>
  <si>
    <t>Bê tông nhẹ</t>
  </si>
  <si>
    <r>
      <t>Q = m.R</t>
    </r>
    <r>
      <rPr>
        <vertAlign val="subscript"/>
        <sz val="11"/>
        <color theme="1"/>
        <rFont val="Times New Roman"/>
        <family val="1"/>
      </rPr>
      <t>bt</t>
    </r>
    <r>
      <rPr>
        <sz val="11"/>
        <color theme="1"/>
        <rFont val="Times New Roman"/>
        <family val="1"/>
      </rPr>
      <t>.b.h</t>
    </r>
    <r>
      <rPr>
        <vertAlign val="subscript"/>
        <sz val="11"/>
        <color theme="1"/>
        <rFont val="Times New Roman"/>
        <family val="1"/>
      </rPr>
      <t xml:space="preserve">0 </t>
    </r>
    <r>
      <rPr>
        <sz val="11"/>
        <color theme="1"/>
        <rFont val="Times New Roman"/>
        <family val="1"/>
      </rPr>
      <t>=</t>
    </r>
  </si>
  <si>
    <t>Bước thép (a)</t>
  </si>
  <si>
    <t>Đường Kính</t>
  </si>
  <si>
    <t>Nhịp giữa; Gối giữa</t>
  </si>
  <si>
    <t>Rs dầm</t>
  </si>
  <si>
    <t>Rs sàn</t>
  </si>
  <si>
    <t>Rs đai</t>
  </si>
  <si>
    <t>I. Số liệu :</t>
  </si>
  <si>
    <t>II. Tính Sàn :</t>
  </si>
  <si>
    <t>IV. Tính dầm chính :</t>
  </si>
  <si>
    <t xml:space="preserve">        Tỷ số 2 cạnh bản (L2/L1):</t>
  </si>
  <si>
    <r>
      <t xml:space="preserve">    - Dầm chính </t>
    </r>
    <r>
      <rPr>
        <sz val="11"/>
        <color rgb="FFFF0000"/>
        <rFont val="Times New Roman"/>
        <family val="1"/>
      </rPr>
      <t>dầm liên tục 4 nhịp</t>
    </r>
    <r>
      <rPr>
        <sz val="11"/>
        <rFont val="Times New Roman"/>
        <family val="1"/>
      </rPr>
      <t xml:space="preserve"> tính theo sơ đồ đàn hồi.</t>
    </r>
  </si>
  <si>
    <t xml:space="preserve">    - Tiết diện dầm :</t>
  </si>
  <si>
    <r>
      <t>G = G</t>
    </r>
    <r>
      <rPr>
        <vertAlign val="subscript"/>
        <sz val="11"/>
        <color theme="1"/>
        <rFont val="Times New Roman"/>
        <family val="1"/>
      </rPr>
      <t>1</t>
    </r>
    <r>
      <rPr>
        <sz val="11"/>
        <color theme="1"/>
        <rFont val="Times New Roman"/>
        <family val="1"/>
      </rPr>
      <t xml:space="preserve"> + G</t>
    </r>
    <r>
      <rPr>
        <vertAlign val="subscript"/>
        <sz val="11"/>
        <color theme="1"/>
        <rFont val="Times New Roman"/>
        <family val="1"/>
      </rPr>
      <t>0</t>
    </r>
  </si>
  <si>
    <t>KN</t>
  </si>
  <si>
    <r>
      <t>G</t>
    </r>
    <r>
      <rPr>
        <vertAlign val="subscript"/>
        <sz val="11"/>
        <color theme="1"/>
        <rFont val="Times New Roman"/>
        <family val="1"/>
      </rPr>
      <t>1</t>
    </r>
    <r>
      <rPr>
        <sz val="11"/>
        <color theme="1"/>
        <rFont val="Times New Roman"/>
        <family val="1"/>
      </rPr>
      <t xml:space="preserve"> = G</t>
    </r>
    <r>
      <rPr>
        <vertAlign val="subscript"/>
        <sz val="11"/>
        <color theme="1"/>
        <rFont val="Times New Roman"/>
        <family val="1"/>
      </rPr>
      <t>dp</t>
    </r>
    <r>
      <rPr>
        <sz val="11"/>
        <color theme="1"/>
        <rFont val="Times New Roman"/>
        <family val="1"/>
      </rPr>
      <t xml:space="preserve"> x L</t>
    </r>
    <r>
      <rPr>
        <vertAlign val="subscript"/>
        <sz val="11"/>
        <color theme="1"/>
        <rFont val="Times New Roman"/>
        <family val="1"/>
      </rPr>
      <t>2</t>
    </r>
    <r>
      <rPr>
        <sz val="11"/>
        <color theme="1"/>
        <rFont val="Times New Roman"/>
        <family val="1"/>
      </rPr>
      <t xml:space="preserve"> = </t>
    </r>
  </si>
  <si>
    <t>G =</t>
  </si>
  <si>
    <r>
      <t>G</t>
    </r>
    <r>
      <rPr>
        <vertAlign val="subscript"/>
        <sz val="11"/>
        <color theme="1"/>
        <rFont val="Times New Roman"/>
        <family val="1"/>
      </rPr>
      <t>0</t>
    </r>
    <r>
      <rPr>
        <sz val="11"/>
        <color theme="1"/>
        <rFont val="Times New Roman"/>
        <family val="1"/>
      </rPr>
      <t xml:space="preserve"> = </t>
    </r>
  </si>
  <si>
    <t xml:space="preserve">  - Tĩnh tải tính toán :</t>
  </si>
  <si>
    <t xml:space="preserve">  - Hoạt tải tính toán :</t>
  </si>
  <si>
    <r>
      <t>P = P</t>
    </r>
    <r>
      <rPr>
        <vertAlign val="subscript"/>
        <sz val="11"/>
        <color theme="1"/>
        <rFont val="Times New Roman"/>
        <family val="1"/>
      </rPr>
      <t>dp</t>
    </r>
    <r>
      <rPr>
        <sz val="11"/>
        <color theme="1"/>
        <rFont val="Times New Roman"/>
        <family val="1"/>
      </rPr>
      <t xml:space="preserve"> x L</t>
    </r>
    <r>
      <rPr>
        <vertAlign val="subscript"/>
        <sz val="11"/>
        <color theme="1"/>
        <rFont val="Times New Roman"/>
        <family val="1"/>
      </rPr>
      <t>2</t>
    </r>
    <r>
      <rPr>
        <sz val="11"/>
        <color theme="1"/>
        <rFont val="Times New Roman"/>
        <family val="1"/>
      </rPr>
      <t xml:space="preserve"> =</t>
    </r>
  </si>
  <si>
    <r>
      <t xml:space="preserve">  - Để xác định </t>
    </r>
    <r>
      <rPr>
        <b/>
        <sz val="11"/>
        <color theme="1"/>
        <rFont val="Times New Roman"/>
        <family val="1"/>
      </rPr>
      <t>M</t>
    </r>
    <r>
      <rPr>
        <b/>
        <vertAlign val="superscript"/>
        <sz val="11"/>
        <color theme="1"/>
        <rFont val="Times New Roman"/>
        <family val="1"/>
      </rPr>
      <t>+</t>
    </r>
    <r>
      <rPr>
        <b/>
        <vertAlign val="subscript"/>
        <sz val="11"/>
        <color theme="1"/>
        <rFont val="Times New Roman"/>
        <family val="1"/>
      </rPr>
      <t>max</t>
    </r>
    <r>
      <rPr>
        <vertAlign val="subscript"/>
        <sz val="11"/>
        <color theme="1"/>
        <rFont val="Times New Roman"/>
        <family val="1"/>
      </rPr>
      <t xml:space="preserve"> </t>
    </r>
    <r>
      <rPr>
        <sz val="11"/>
        <color theme="1"/>
        <rFont val="Times New Roman"/>
        <family val="1"/>
      </rPr>
      <t>ở nhịp đặt hoạt tải tãi nhịp đó và cách 1 nhịp</t>
    </r>
  </si>
  <si>
    <r>
      <t xml:space="preserve">  - Để xác định </t>
    </r>
    <r>
      <rPr>
        <b/>
        <sz val="11"/>
        <color theme="1"/>
        <rFont val="Times New Roman"/>
        <family val="1"/>
      </rPr>
      <t>M</t>
    </r>
    <r>
      <rPr>
        <b/>
        <vertAlign val="superscript"/>
        <sz val="11"/>
        <color theme="1"/>
        <rFont val="Times New Roman"/>
        <family val="1"/>
      </rPr>
      <t>-</t>
    </r>
    <r>
      <rPr>
        <b/>
        <vertAlign val="subscript"/>
        <sz val="11"/>
        <color theme="1"/>
        <rFont val="Times New Roman"/>
        <family val="1"/>
      </rPr>
      <t>min</t>
    </r>
    <r>
      <rPr>
        <vertAlign val="subscript"/>
        <sz val="11"/>
        <color theme="1"/>
        <rFont val="Times New Roman"/>
        <family val="1"/>
      </rPr>
      <t xml:space="preserve"> </t>
    </r>
    <r>
      <rPr>
        <sz val="11"/>
        <color theme="1"/>
        <rFont val="Times New Roman"/>
        <family val="1"/>
      </rPr>
      <t>ở gối đặt hoạt tải 2 bên gối đó và cách 1 nhịp</t>
    </r>
  </si>
  <si>
    <t>Xét các trường hợp :</t>
  </si>
  <si>
    <t>A</t>
  </si>
  <si>
    <t>E</t>
  </si>
  <si>
    <t>Hệ số Momen</t>
  </si>
  <si>
    <r>
      <t>b</t>
    </r>
    <r>
      <rPr>
        <vertAlign val="subscript"/>
        <sz val="11"/>
        <color theme="1"/>
        <rFont val="Times New Roman"/>
        <family val="1"/>
      </rPr>
      <t>dc</t>
    </r>
    <r>
      <rPr>
        <sz val="11"/>
        <color theme="1"/>
        <rFont val="Times New Roman"/>
        <family val="1"/>
      </rPr>
      <t xml:space="preserve"> = </t>
    </r>
  </si>
  <si>
    <r>
      <t>h</t>
    </r>
    <r>
      <rPr>
        <vertAlign val="subscript"/>
        <sz val="11"/>
        <color theme="1"/>
        <rFont val="Times New Roman"/>
        <family val="1"/>
      </rPr>
      <t>dc</t>
    </r>
    <r>
      <rPr>
        <sz val="11"/>
        <color theme="1"/>
        <rFont val="Times New Roman"/>
        <family val="1"/>
      </rPr>
      <t xml:space="preserve"> =</t>
    </r>
  </si>
  <si>
    <t xml:space="preserve">    - Đối với nhịp biên, chênh lệch so với nhịp giữa &lt; 10% , nên xem là đều nhịp L(m) =</t>
  </si>
  <si>
    <t>(G x L)</t>
  </si>
  <si>
    <r>
      <rPr>
        <b/>
        <sz val="11"/>
        <color theme="1"/>
        <rFont val="Times New Roman"/>
        <family val="1"/>
      </rPr>
      <t xml:space="preserve">  Trường hợp a</t>
    </r>
    <r>
      <rPr>
        <sz val="11"/>
        <color theme="1"/>
        <rFont val="Times New Roman"/>
        <family val="1"/>
      </rPr>
      <t xml:space="preserve"> : Nội lực do Tĩnh tải</t>
    </r>
  </si>
  <si>
    <t xml:space="preserve">  3. Tính và vẽ biểu đồ bao nội lực :</t>
  </si>
  <si>
    <t xml:space="preserve">    a. Tính và vẽ biểu đồ bao momen :</t>
  </si>
  <si>
    <t>Hệ số momen</t>
  </si>
  <si>
    <r>
      <t>M</t>
    </r>
    <r>
      <rPr>
        <b/>
        <vertAlign val="subscript"/>
        <sz val="11"/>
        <color theme="1"/>
        <rFont val="Times New Roman"/>
        <family val="1"/>
      </rPr>
      <t>g</t>
    </r>
    <r>
      <rPr>
        <b/>
        <sz val="11"/>
        <color theme="1"/>
        <rFont val="Times New Roman"/>
        <family val="1"/>
      </rPr>
      <t xml:space="preserve">
(KNm)</t>
    </r>
  </si>
  <si>
    <r>
      <t>M</t>
    </r>
    <r>
      <rPr>
        <b/>
        <vertAlign val="subscript"/>
        <sz val="11"/>
        <color theme="1"/>
        <rFont val="Times New Roman"/>
        <family val="1"/>
      </rPr>
      <t xml:space="preserve">p
</t>
    </r>
    <r>
      <rPr>
        <b/>
        <sz val="11"/>
        <color theme="1"/>
        <rFont val="Times New Roman"/>
        <family val="1"/>
      </rPr>
      <t>(KNm)</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</si>
  <si>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 xml:space="preserve">g
</t>
    </r>
    <r>
      <rPr>
        <b/>
        <sz val="11"/>
        <color theme="1"/>
        <rFont val="Times New Roman"/>
        <family val="1"/>
      </rPr>
      <t>(KNm)</t>
    </r>
  </si>
  <si>
    <t>(P x L)</t>
  </si>
  <si>
    <r>
      <rPr>
        <b/>
        <sz val="11"/>
        <color theme="1"/>
        <rFont val="Times New Roman"/>
        <family val="1"/>
      </rPr>
      <t xml:space="preserve">  Trường hợp b</t>
    </r>
    <r>
      <rPr>
        <sz val="11"/>
        <color theme="1"/>
        <rFont val="Times New Roman"/>
        <family val="1"/>
      </rPr>
      <t xml:space="preserve"> : Nội lực do Hoạt tải cho giá trị dương cực đại ở nhịp 1, nhịp 3</t>
    </r>
  </si>
  <si>
    <r>
      <rPr>
        <b/>
        <sz val="11"/>
        <color theme="1"/>
        <rFont val="Times New Roman"/>
        <family val="1"/>
      </rPr>
      <t xml:space="preserve">  Trường hợp c</t>
    </r>
    <r>
      <rPr>
        <sz val="11"/>
        <color theme="1"/>
        <rFont val="Times New Roman"/>
        <family val="1"/>
      </rPr>
      <t xml:space="preserve"> : Nội lực do Hoạt tải cho giá trị dương cực đại ở nhịp 2, nhịp 4</t>
    </r>
  </si>
  <si>
    <r>
      <rPr>
        <b/>
        <sz val="11"/>
        <color theme="1"/>
        <rFont val="Times New Roman"/>
        <family val="1"/>
      </rPr>
      <t xml:space="preserve">  Trường hợp d</t>
    </r>
    <r>
      <rPr>
        <sz val="11"/>
        <color theme="1"/>
        <rFont val="Times New Roman"/>
        <family val="1"/>
      </rPr>
      <t xml:space="preserve"> : Nội lực do Hoạt tải cho giá trị âm cực tiểu ở gối thứ 2</t>
    </r>
  </si>
  <si>
    <r>
      <rPr>
        <b/>
        <sz val="11"/>
        <color theme="1"/>
        <rFont val="Times New Roman"/>
        <family val="1"/>
      </rPr>
      <t xml:space="preserve">  Trường hợp e</t>
    </r>
    <r>
      <rPr>
        <sz val="11"/>
        <color theme="1"/>
        <rFont val="Times New Roman"/>
        <family val="1"/>
      </rPr>
      <t xml:space="preserve"> : Nội lực do Hoạt tải cho giá trị âm cực tiểu ở gối thứ 3</t>
    </r>
  </si>
  <si>
    <r>
      <rPr>
        <b/>
        <sz val="11"/>
        <color theme="1"/>
        <rFont val="Times New Roman"/>
        <family val="1"/>
      </rPr>
      <t xml:space="preserve">  Trường hợp f</t>
    </r>
    <r>
      <rPr>
        <sz val="11"/>
        <color theme="1"/>
        <rFont val="Times New Roman"/>
        <family val="1"/>
      </rPr>
      <t xml:space="preserve"> : Nội lực do Hoạt tải cho giá trị dương cự đại ở gối thứ 2</t>
    </r>
  </si>
  <si>
    <r>
      <rPr>
        <b/>
        <sz val="11"/>
        <color theme="1"/>
        <rFont val="Times New Roman"/>
        <family val="1"/>
      </rPr>
      <t xml:space="preserve">  Trường hợp g</t>
    </r>
    <r>
      <rPr>
        <sz val="11"/>
        <color theme="1"/>
        <rFont val="Times New Roman"/>
        <family val="1"/>
      </rPr>
      <t xml:space="preserve"> : Nội lực do Hoạt tải cho giá trị dương cự đại ở gối thứ 3</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</si>
  <si>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max
</t>
    </r>
    <r>
      <rPr>
        <b/>
        <sz val="11"/>
        <color theme="1"/>
        <rFont val="Times New Roman"/>
        <family val="1"/>
      </rPr>
      <t>(KNm)</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</si>
  <si>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min
</t>
    </r>
    <r>
      <rPr>
        <b/>
        <sz val="11"/>
        <color theme="1"/>
        <rFont val="Times New Roman"/>
        <family val="1"/>
      </rPr>
      <t>(KNm)</t>
    </r>
  </si>
  <si>
    <t xml:space="preserve"> - Biểu đồ bao momen :</t>
  </si>
  <si>
    <t xml:space="preserve">    b. Tính và vẽ biểu đồ bao lực cắt :</t>
  </si>
  <si>
    <t>6 - D</t>
  </si>
  <si>
    <t>D - 7</t>
  </si>
  <si>
    <t>8 - E</t>
  </si>
  <si>
    <t>Hệ số lực cắt</t>
  </si>
  <si>
    <t>Nội lực do Tĩnh tải</t>
  </si>
  <si>
    <t xml:space="preserve">Nội lực do Hoạt tải </t>
  </si>
  <si>
    <r>
      <rPr>
        <b/>
        <sz val="11"/>
        <color theme="1"/>
        <rFont val="Times New Roman"/>
        <family val="1"/>
      </rPr>
      <t xml:space="preserve">  Trường hợp b</t>
    </r>
    <r>
      <rPr>
        <sz val="11"/>
        <color theme="1"/>
        <rFont val="Times New Roman"/>
        <family val="1"/>
      </rPr>
      <t xml:space="preserve"> : </t>
    </r>
  </si>
  <si>
    <t>( P )</t>
  </si>
  <si>
    <t xml:space="preserve"> - Biểu đồ bao lực cắt :</t>
  </si>
  <si>
    <r>
      <t>Q</t>
    </r>
    <r>
      <rPr>
        <b/>
        <vertAlign val="subscript"/>
        <sz val="11"/>
        <color theme="1"/>
        <rFont val="Times New Roman"/>
        <family val="1"/>
      </rPr>
      <t xml:space="preserve">p
</t>
    </r>
    <r>
      <rPr>
        <b/>
        <sz val="11"/>
        <color theme="1"/>
        <rFont val="Times New Roman"/>
        <family val="1"/>
      </rPr>
      <t>(KN)</t>
    </r>
  </si>
  <si>
    <r>
      <t>Q</t>
    </r>
    <r>
      <rPr>
        <b/>
        <vertAlign val="subscript"/>
        <sz val="11"/>
        <color theme="1"/>
        <rFont val="Times New Roman"/>
        <family val="1"/>
      </rPr>
      <t>p</t>
    </r>
    <r>
      <rPr>
        <b/>
        <sz val="11"/>
        <color theme="1"/>
        <rFont val="Times New Roman"/>
        <family val="1"/>
      </rPr>
      <t xml:space="preserve"> + Q</t>
    </r>
    <r>
      <rPr>
        <b/>
        <vertAlign val="subscript"/>
        <sz val="11"/>
        <color theme="1"/>
        <rFont val="Times New Roman"/>
        <family val="1"/>
      </rPr>
      <t xml:space="preserve">g
</t>
    </r>
    <r>
      <rPr>
        <b/>
        <sz val="11"/>
        <color theme="1"/>
        <rFont val="Times New Roman"/>
        <family val="1"/>
      </rPr>
      <t>(KN)</t>
    </r>
  </si>
  <si>
    <t>Số lượng thanh</t>
  </si>
  <si>
    <t>BIỂU ĐỒ BAO MOMEN</t>
  </si>
  <si>
    <t>Max</t>
  </si>
  <si>
    <t>Min</t>
  </si>
  <si>
    <r>
      <t>Q</t>
    </r>
    <r>
      <rPr>
        <b/>
        <vertAlign val="superscript"/>
        <sz val="11"/>
        <color theme="1"/>
        <rFont val="Times New Roman"/>
        <family val="1"/>
      </rPr>
      <t>+</t>
    </r>
    <r>
      <rPr>
        <b/>
        <vertAlign val="subscript"/>
        <sz val="11"/>
        <color theme="1"/>
        <rFont val="Times New Roman"/>
        <family val="1"/>
      </rPr>
      <t xml:space="preserve">max
</t>
    </r>
    <r>
      <rPr>
        <b/>
        <sz val="11"/>
        <color theme="1"/>
        <rFont val="Times New Roman"/>
        <family val="1"/>
      </rPr>
      <t>Q</t>
    </r>
    <r>
      <rPr>
        <b/>
        <vertAlign val="superscript"/>
        <sz val="11"/>
        <color theme="1"/>
        <rFont val="Times New Roman"/>
        <family val="1"/>
      </rPr>
      <t>-</t>
    </r>
    <r>
      <rPr>
        <b/>
        <vertAlign val="subscript"/>
        <sz val="11"/>
        <color theme="1"/>
        <rFont val="Times New Roman"/>
        <family val="1"/>
      </rPr>
      <t>min</t>
    </r>
  </si>
  <si>
    <t>Dầm</t>
  </si>
  <si>
    <t>BIỂU ĐỒ BAO LỰC CẮT</t>
  </si>
  <si>
    <r>
      <t>Q</t>
    </r>
    <r>
      <rPr>
        <b/>
        <vertAlign val="superscript"/>
        <sz val="12"/>
        <color theme="1"/>
        <rFont val="Times New Roman"/>
        <family val="1"/>
      </rPr>
      <t>+</t>
    </r>
    <r>
      <rPr>
        <b/>
        <vertAlign val="subscript"/>
        <sz val="12"/>
        <color theme="1"/>
        <rFont val="Times New Roman"/>
        <family val="1"/>
      </rPr>
      <t>max</t>
    </r>
  </si>
  <si>
    <r>
      <t>Q</t>
    </r>
    <r>
      <rPr>
        <b/>
        <vertAlign val="superscript"/>
        <sz val="12"/>
        <color theme="1"/>
        <rFont val="Times New Roman"/>
        <family val="1"/>
      </rPr>
      <t>-</t>
    </r>
    <r>
      <rPr>
        <b/>
        <vertAlign val="subscript"/>
        <sz val="12"/>
        <color theme="1"/>
        <rFont val="Times New Roman"/>
        <family val="1"/>
      </rPr>
      <t>min</t>
    </r>
  </si>
  <si>
    <r>
      <t>(Q</t>
    </r>
    <r>
      <rPr>
        <b/>
        <vertAlign val="subscript"/>
        <sz val="11"/>
        <color theme="1"/>
        <rFont val="Times New Roman"/>
        <family val="1"/>
      </rPr>
      <t>p</t>
    </r>
    <r>
      <rPr>
        <b/>
        <sz val="11"/>
        <color theme="1"/>
        <rFont val="Times New Roman"/>
        <family val="1"/>
      </rPr>
      <t xml:space="preserve"> + Q</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max
</t>
    </r>
    <r>
      <rPr>
        <b/>
        <sz val="11"/>
        <color theme="1"/>
        <rFont val="Times New Roman"/>
        <family val="1"/>
      </rPr>
      <t>(KN)</t>
    </r>
  </si>
  <si>
    <r>
      <t>(Q</t>
    </r>
    <r>
      <rPr>
        <b/>
        <vertAlign val="subscript"/>
        <sz val="11"/>
        <color theme="1"/>
        <rFont val="Times New Roman"/>
        <family val="1"/>
      </rPr>
      <t>p</t>
    </r>
    <r>
      <rPr>
        <b/>
        <sz val="11"/>
        <color theme="1"/>
        <rFont val="Times New Roman"/>
        <family val="1"/>
      </rPr>
      <t xml:space="preserve"> +Q</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min
</t>
    </r>
    <r>
      <rPr>
        <b/>
        <sz val="11"/>
        <color theme="1"/>
        <rFont val="Times New Roman"/>
        <family val="1"/>
      </rPr>
      <t>(KN)</t>
    </r>
  </si>
  <si>
    <r>
      <t>L</t>
    </r>
    <r>
      <rPr>
        <b/>
        <vertAlign val="subscript"/>
        <sz val="11"/>
        <color theme="1"/>
        <rFont val="Times New Roman"/>
        <family val="1"/>
      </rPr>
      <t>0</t>
    </r>
    <r>
      <rPr>
        <b/>
        <sz val="11"/>
        <color theme="1"/>
        <rFont val="Times New Roman"/>
        <family val="1"/>
      </rPr>
      <t xml:space="preserve"> (mm)</t>
    </r>
  </si>
  <si>
    <t>Đoạn Dầm</t>
  </si>
  <si>
    <r>
      <t>Min
(0;Q</t>
    </r>
    <r>
      <rPr>
        <b/>
        <vertAlign val="superscript"/>
        <sz val="11"/>
        <color theme="1"/>
        <rFont val="Times New Roman"/>
        <family val="1"/>
      </rPr>
      <t>-</t>
    </r>
    <r>
      <rPr>
        <b/>
        <vertAlign val="subscript"/>
        <sz val="11"/>
        <color theme="1"/>
        <rFont val="Times New Roman"/>
        <family val="1"/>
      </rPr>
      <t>min</t>
    </r>
    <r>
      <rPr>
        <b/>
        <sz val="11"/>
        <color theme="1"/>
        <rFont val="Times New Roman"/>
        <family val="1"/>
      </rPr>
      <t>)</t>
    </r>
  </si>
  <si>
    <r>
      <t>Max
(0;Q</t>
    </r>
    <r>
      <rPr>
        <b/>
        <vertAlign val="superscript"/>
        <sz val="11"/>
        <color theme="1"/>
        <rFont val="Times New Roman"/>
        <family val="1"/>
      </rPr>
      <t>+</t>
    </r>
    <r>
      <rPr>
        <b/>
        <vertAlign val="subscript"/>
        <sz val="11"/>
        <color theme="1"/>
        <rFont val="Times New Roman"/>
        <family val="1"/>
      </rPr>
      <t>max</t>
    </r>
    <r>
      <rPr>
        <b/>
        <sz val="11"/>
        <color theme="1"/>
        <rFont val="Times New Roman"/>
        <family val="1"/>
      </rPr>
      <t>)</t>
    </r>
  </si>
  <si>
    <r>
      <t>Max
(0;Q</t>
    </r>
    <r>
      <rPr>
        <b/>
        <vertAlign val="superscript"/>
        <sz val="11"/>
        <color theme="1"/>
        <rFont val="Times New Roman"/>
        <family val="1"/>
      </rPr>
      <t>-</t>
    </r>
    <r>
      <rPr>
        <b/>
        <vertAlign val="subscript"/>
        <sz val="11"/>
        <color theme="1"/>
        <rFont val="Times New Roman"/>
        <family val="1"/>
      </rPr>
      <t>max</t>
    </r>
    <r>
      <rPr>
        <b/>
        <sz val="11"/>
        <color theme="1"/>
        <rFont val="Times New Roman"/>
        <family val="1"/>
      </rPr>
      <t>)</t>
    </r>
  </si>
  <si>
    <r>
      <rPr>
        <b/>
        <sz val="11"/>
        <color theme="1"/>
        <rFont val="Times New Roman"/>
        <family val="1"/>
      </rPr>
      <t xml:space="preserve">  Trường hợp a</t>
    </r>
    <r>
      <rPr>
        <sz val="11"/>
        <color theme="1"/>
        <rFont val="Times New Roman"/>
        <family val="1"/>
      </rPr>
      <t xml:space="preserve"> : </t>
    </r>
  </si>
  <si>
    <t>Hình xác định đoạn dầm xét nội lực</t>
  </si>
  <si>
    <t>Tính theo Loại tiết diện</t>
  </si>
  <si>
    <t>Số Lượng</t>
  </si>
  <si>
    <t>ĐườngKính</t>
  </si>
  <si>
    <r>
      <t>L</t>
    </r>
    <r>
      <rPr>
        <vertAlign val="subscript"/>
        <sz val="11"/>
        <color theme="1"/>
        <rFont val="Times New Roman"/>
        <family val="1"/>
      </rPr>
      <t>0</t>
    </r>
    <r>
      <rPr>
        <sz val="11"/>
        <color theme="1"/>
        <rFont val="Times New Roman"/>
        <family val="1"/>
      </rPr>
      <t xml:space="preserve"> = L</t>
    </r>
    <r>
      <rPr>
        <vertAlign val="subscript"/>
        <sz val="11"/>
        <color theme="1"/>
        <rFont val="Times New Roman"/>
        <family val="1"/>
      </rPr>
      <t>2</t>
    </r>
    <r>
      <rPr>
        <sz val="11"/>
        <color theme="1"/>
        <rFont val="Times New Roman"/>
        <family val="1"/>
      </rPr>
      <t xml:space="preserve"> - b</t>
    </r>
    <r>
      <rPr>
        <vertAlign val="subscript"/>
        <sz val="11"/>
        <color theme="1"/>
        <rFont val="Times New Roman"/>
        <family val="1"/>
      </rPr>
      <t>dc</t>
    </r>
    <r>
      <rPr>
        <sz val="11"/>
        <color theme="1"/>
        <rFont val="Times New Roman"/>
        <family val="1"/>
      </rPr>
      <t xml:space="preserve"> =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</si>
</sst>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43" formatCode="_(* #,##0.00_);_(* \(#,##0.00\);_(* &quot;-&quot;??_);_(@_)"/>
    <numFmt numFmtId="164" formatCode="0.0"/>
    <numFmt numFmtId="165" formatCode="0.000"/>
    <numFmt numFmtId="166" formatCode="_ * #,##0_ ;_ * \-#,##0_ ;_ * &quot;-&quot;_ ;_ @_ "/>
    <numFmt numFmtId="167" formatCode="_ * #,##0.00_ ;_ * \-#,##0.00_ ;_ * &quot;-&quot;??_ ;_ @_ "/>
    <numFmt numFmtId="168" formatCode="#,##0\ &quot;F&quot;;[Red]\-#,##0\ &quot;F&quot;"/>
    <numFmt numFmtId="169" formatCode="#,##0.00\ &quot;F&quot;;\-#,##0.00\ &quot;F&quot;"/>
    <numFmt numFmtId="170" formatCode="#,##0.00\ &quot;F&quot;;[Red]\-#,##0.00\ &quot;F&quot;"/>
    <numFmt numFmtId="171" formatCode="_-* #,##0\ &quot;F&quot;_-;\-* #,##0\ &quot;F&quot;_-;_-* &quot;-&quot;\ &quot;F&quot;_-;_-@_-"/>
    <numFmt numFmtId="172" formatCode="\$#,##0\ ;\(\$#,##0\)"/>
    <numFmt numFmtId="173" formatCode="_-* #,##0_-;\-* #,##0_-;_-* &quot;-&quot;_-;_-@_-"/>
    <numFmt numFmtId="174" formatCode="_-* #,##0.00_-;\-* #,##0.00_-;_-* &quot;-&quot;??_-;_-@_-"/>
    <numFmt numFmtId="175" formatCode="&quot;\&quot;#,##0;[Red]&quot;\&quot;\-#,##0"/>
    <numFmt numFmtId="176" formatCode="&quot;\&quot;#,##0.00;[Red]&quot;\&quot;\-#,##0.00"/>
    <numFmt numFmtId="177" formatCode="&quot;\&quot;#,##0;[Red]&quot;\&quot;&quot;\&quot;\-#,##0"/>
    <numFmt numFmtId="178" formatCode="&quot;\&quot;#,##0.00;[Red]&quot;\&quot;&quot;\&quot;&quot;\&quot;&quot;\&quot;&quot;\&quot;&quot;\&quot;\-#,##0.00"/>
    <numFmt numFmtId="179" formatCode="_-&quot;$&quot;* #,##0_-;\-&quot;$&quot;* #,##0_-;_-&quot;$&quot;* &quot;-&quot;_-;_-@_-"/>
    <numFmt numFmtId="180" formatCode="_-&quot;$&quot;* #,##0.00_-;\-&quot;$&quot;* #,##0.00_-;_-&quot;$&quot;* &quot;-&quot;??_-;_-@_-"/>
    <numFmt numFmtId="181" formatCode="0.00_)"/>
    <numFmt numFmtId="182" formatCode="#,##0.00_);\-#,##0.00_)"/>
    <numFmt numFmtId="183" formatCode="#,##0_);\-#,##0_)"/>
    <numFmt numFmtId="184" formatCode="00.000"/>
    <numFmt numFmtId="185" formatCode="&quot;?&quot;#,##0;&quot;?&quot;\-#,##0"/>
    <numFmt numFmtId="186" formatCode="0.0000"/>
    <numFmt numFmtId="187" formatCode="#,##0.0000"/>
    <numFmt numFmtId="188" formatCode="#,##0.000"/>
    <numFmt numFmtId="189" formatCode="General&quot; (cm2)&quot;"/>
  </numFmts>
  <fonts count="118">
    <font>
      <sz val="11"/>
      <color theme="1"/>
      <name val="Calibri"/>
      <family val="2"/>
      <scheme val="minor"/>
    </font>
    <font>
      <sz val="10"/>
      <name val="VNI-Times"/>
    </font>
    <font>
      <sz val="12"/>
      <name val="VNI-Times"/>
    </font>
    <font>
      <b/>
      <sz val="12"/>
      <name val="VNI-Times"/>
    </font>
    <font>
      <b/>
      <i/>
      <sz val="12"/>
      <name val="VNI-Times"/>
    </font>
    <font>
      <sz val="10"/>
      <name val="Arial"/>
      <family val="2"/>
    </font>
    <font>
      <sz val="12"/>
      <name val="|??¢¥¢¬¨Ï"/>
      <family val="1"/>
      <charset val="129"/>
    </font>
    <font>
      <sz val="12"/>
      <name val="¹UAAA¼"/>
      <family val="3"/>
      <charset val="129"/>
    </font>
    <font>
      <sz val="12"/>
      <name val="µ¸¿òÃ¼"/>
      <family val="3"/>
      <charset val="129"/>
    </font>
    <font>
      <sz val="12"/>
      <name val="¹ÙÅÁÃ¼"/>
      <family val="1"/>
      <charset val="129"/>
    </font>
    <font>
      <b/>
      <sz val="10"/>
      <name val="Helv"/>
      <family val="2"/>
    </font>
    <font>
      <sz val="8"/>
      <name val="Arial"/>
      <family val="2"/>
    </font>
    <font>
      <b/>
      <sz val="12"/>
      <name val="Helv"/>
      <family val="2"/>
    </font>
    <font>
      <b/>
      <sz val="12"/>
      <name val="Arial"/>
      <family val="2"/>
    </font>
    <font>
      <b/>
      <sz val="18"/>
      <name val="Arial"/>
      <family val="2"/>
    </font>
    <font>
      <b/>
      <sz val="11"/>
      <name val="Helv"/>
      <family val="2"/>
    </font>
    <font>
      <b/>
      <i/>
      <sz val="16"/>
      <name val="Helv"/>
    </font>
    <font>
      <sz val="13"/>
      <name val=".VnTime"/>
      <family val="2"/>
    </font>
    <font>
      <sz val="14"/>
      <name val="뼻뮝"/>
      <family val="3"/>
      <charset val="129"/>
    </font>
    <font>
      <sz val="12"/>
      <name val="바탕체"/>
      <family val="3"/>
    </font>
    <font>
      <sz val="12"/>
      <name val="뼻뮝"/>
      <family val="1"/>
      <charset val="129"/>
    </font>
    <font>
      <sz val="12"/>
      <name val="바탕체"/>
      <family val="1"/>
      <charset val="129"/>
    </font>
    <font>
      <sz val="10"/>
      <name val="굴림체"/>
      <family val="3"/>
      <charset val="129"/>
    </font>
    <font>
      <sz val="12"/>
      <name val="Courier"/>
      <family val="3"/>
    </font>
    <font>
      <b/>
      <sz val="12"/>
      <name val="Times New Roman"/>
      <family val="1"/>
    </font>
    <font>
      <b/>
      <vertAlign val="subscript"/>
      <sz val="12"/>
      <name val="Times New Roman"/>
      <family val="1"/>
    </font>
    <font>
      <sz val="10"/>
      <name val="Times New Roman"/>
      <family val="1"/>
    </font>
    <font>
      <b/>
      <sz val="11"/>
      <name val="Times New Roman"/>
      <family val="1"/>
    </font>
    <font>
      <sz val="11"/>
      <name val="VNI-Aptima"/>
    </font>
    <font>
      <sz val="10"/>
      <name val="VNbook-Antiqua"/>
    </font>
    <font>
      <sz val="14"/>
      <name val="Bookman Old Style"/>
      <family val="1"/>
    </font>
    <font>
      <sz val="11"/>
      <name val="??"/>
      <family val="3"/>
    </font>
    <font>
      <sz val="14"/>
      <name val="??"/>
      <family val="3"/>
    </font>
    <font>
      <sz val="12"/>
      <name val="????"/>
      <charset val="136"/>
    </font>
    <font>
      <sz val="12"/>
      <name val="???"/>
      <family val="3"/>
    </font>
    <font>
      <sz val="10"/>
      <name val="???"/>
      <family val="3"/>
    </font>
    <font>
      <sz val="12"/>
      <name val="Arial"/>
      <family val="2"/>
    </font>
    <font>
      <sz val="14"/>
      <name val=".VnArial"/>
      <family val="2"/>
    </font>
    <font>
      <sz val="9"/>
      <name val="Arial"/>
      <family val="2"/>
    </font>
    <font>
      <sz val="10"/>
      <name val=" "/>
      <family val="1"/>
      <charset val="136"/>
    </font>
    <font>
      <sz val="12"/>
      <name val="Times New Roman"/>
      <family val="1"/>
    </font>
    <font>
      <sz val="11"/>
      <name val="Times New Roman"/>
      <family val="1"/>
    </font>
    <font>
      <sz val="16"/>
      <name val="Times New Roman"/>
      <family val="1"/>
    </font>
    <font>
      <vertAlign val="subscript"/>
      <sz val="12"/>
      <name val="Times New Roman"/>
      <family val="1"/>
    </font>
    <font>
      <sz val="12"/>
      <color theme="1"/>
      <name val="Calibri"/>
      <family val="2"/>
      <scheme val="minor"/>
    </font>
    <font>
      <b/>
      <u/>
      <sz val="12"/>
      <name val="VNI-Times"/>
    </font>
    <font>
      <vertAlign val="subscript"/>
      <sz val="12"/>
      <name val="VNI-Times"/>
    </font>
    <font>
      <i/>
      <sz val="12"/>
      <color indexed="10"/>
      <name val="VNI-Times"/>
    </font>
    <font>
      <sz val="12"/>
      <color indexed="10"/>
      <name val="VNI-Times"/>
    </font>
    <font>
      <b/>
      <i/>
      <sz val="12"/>
      <name val="Times"/>
      <family val="1"/>
    </font>
    <font>
      <sz val="11"/>
      <color theme="1"/>
      <name val="Times"/>
      <family val="1"/>
    </font>
    <font>
      <sz val="14"/>
      <name val="Arial"/>
      <family val="2"/>
    </font>
    <font>
      <sz val="14"/>
      <name val="Times New Roman"/>
      <family val="1"/>
    </font>
    <font>
      <sz val="12"/>
      <color theme="1"/>
      <name val="Times"/>
      <family val="1"/>
    </font>
    <font>
      <sz val="12"/>
      <name val="Times"/>
      <family val="1"/>
    </font>
    <font>
      <sz val="12"/>
      <color rgb="FFFF0000"/>
      <name val="Times"/>
      <family val="1"/>
    </font>
    <font>
      <b/>
      <sz val="20"/>
      <name val="Times"/>
      <family val="1"/>
    </font>
    <font>
      <b/>
      <sz val="12"/>
      <color theme="1"/>
      <name val="Times"/>
      <family val="1"/>
    </font>
    <font>
      <b/>
      <sz val="12"/>
      <name val="Times"/>
      <family val="1"/>
    </font>
    <font>
      <vertAlign val="subscript"/>
      <sz val="12"/>
      <color theme="1"/>
      <name val="Times"/>
      <family val="1"/>
    </font>
    <font>
      <sz val="11"/>
      <color rgb="FFFF0000"/>
      <name val="Times"/>
      <family val="1"/>
    </font>
    <font>
      <b/>
      <sz val="11"/>
      <color theme="1"/>
      <name val="Times"/>
      <family val="1"/>
    </font>
    <font>
      <b/>
      <vertAlign val="subscript"/>
      <sz val="12"/>
      <color theme="1"/>
      <name val="Times"/>
      <family val="1"/>
    </font>
    <font>
      <b/>
      <vertAlign val="superscript"/>
      <sz val="12"/>
      <color theme="1"/>
      <name val="Times"/>
      <family val="1"/>
    </font>
    <font>
      <b/>
      <vertAlign val="subscript"/>
      <sz val="12"/>
      <name val="VNI-Times"/>
    </font>
    <font>
      <b/>
      <vertAlign val="superscript"/>
      <sz val="12"/>
      <name val="VNI-Times"/>
    </font>
    <font>
      <sz val="12"/>
      <color theme="0"/>
      <name val="Times"/>
      <family val="1"/>
    </font>
    <font>
      <i/>
      <sz val="12"/>
      <color theme="1"/>
      <name val="Times"/>
      <family val="1"/>
    </font>
    <font>
      <i/>
      <vertAlign val="subscript"/>
      <sz val="12"/>
      <color theme="1"/>
      <name val="Times"/>
      <family val="1"/>
    </font>
    <font>
      <b/>
      <vertAlign val="superscript"/>
      <sz val="11"/>
      <color theme="1"/>
      <name val="Times"/>
      <family val="1"/>
    </font>
    <font>
      <b/>
      <sz val="11"/>
      <color rgb="FFFF0000"/>
      <name val="Times"/>
      <family val="1"/>
    </font>
    <font>
      <b/>
      <sz val="11"/>
      <color theme="1"/>
      <name val="Calibri"/>
      <family val="2"/>
      <scheme val="minor"/>
    </font>
    <font>
      <sz val="10"/>
      <color indexed="9"/>
      <name val="Arial"/>
      <family val="2"/>
    </font>
    <font>
      <b/>
      <sz val="18"/>
      <name val="Symbol"/>
      <family val="1"/>
      <charset val="2"/>
    </font>
    <font>
      <vertAlign val="superscript"/>
      <sz val="16"/>
      <name val="Times New Roman"/>
      <family val="1"/>
    </font>
    <font>
      <b/>
      <vertAlign val="superscript"/>
      <sz val="16"/>
      <name val="Times New Roman"/>
      <family val="1"/>
    </font>
    <font>
      <b/>
      <sz val="16"/>
      <name val="Times New Roman"/>
      <family val="1"/>
    </font>
    <font>
      <sz val="18"/>
      <name val="Times New Roman"/>
      <family val="1"/>
    </font>
    <font>
      <b/>
      <sz val="20"/>
      <name val="Tahoma"/>
      <family val="2"/>
    </font>
    <font>
      <b/>
      <sz val="14"/>
      <name val="Times New Roman"/>
      <family val="1"/>
    </font>
    <font>
      <vertAlign val="subscript"/>
      <sz val="12"/>
      <name val="Arial"/>
      <family val="2"/>
    </font>
    <font>
      <sz val="10"/>
      <name val="Calisto MT"/>
      <family val="1"/>
    </font>
    <font>
      <b/>
      <sz val="11"/>
      <name val="Arial"/>
      <family val="2"/>
    </font>
    <font>
      <b/>
      <sz val="14"/>
      <color theme="1"/>
      <name val="Times"/>
      <family val="1"/>
    </font>
    <font>
      <b/>
      <vertAlign val="subscript"/>
      <sz val="11"/>
      <color theme="1"/>
      <name val="Times"/>
      <family val="1"/>
    </font>
    <font>
      <sz val="11"/>
      <color theme="1"/>
      <name val="Times New Roman"/>
      <family val="1"/>
    </font>
    <font>
      <b/>
      <sz val="11"/>
      <color theme="1"/>
      <name val="Times New Roman"/>
      <family val="1"/>
    </font>
    <font>
      <vertAlign val="subscript"/>
      <sz val="11"/>
      <color theme="1"/>
      <name val="Times New Roman"/>
      <family val="1"/>
    </font>
    <font>
      <sz val="11"/>
      <name val="Times"/>
      <family val="1"/>
    </font>
    <font>
      <sz val="10"/>
      <name val="Times"/>
      <family val="1"/>
    </font>
    <font>
      <vertAlign val="superscript"/>
      <sz val="10"/>
      <name val="Times"/>
      <family val="1"/>
    </font>
    <font>
      <vertAlign val="subscript"/>
      <sz val="11"/>
      <color theme="1"/>
      <name val="Times"/>
      <family val="1"/>
    </font>
    <font>
      <b/>
      <sz val="9"/>
      <color indexed="81"/>
      <name val="Tahoma"/>
      <family val="2"/>
    </font>
    <font>
      <vertAlign val="subscript"/>
      <sz val="10"/>
      <name val="Times"/>
      <family val="1"/>
    </font>
    <font>
      <b/>
      <sz val="16"/>
      <name val="Times"/>
      <family val="1"/>
    </font>
    <font>
      <b/>
      <vertAlign val="superscript"/>
      <sz val="14"/>
      <color theme="1"/>
      <name val="Times"/>
      <family val="1"/>
    </font>
    <font>
      <vertAlign val="subscript"/>
      <sz val="12"/>
      <name val="Times"/>
      <family val="1"/>
    </font>
    <font>
      <vertAlign val="superscript"/>
      <sz val="12"/>
      <name val="Times"/>
      <family val="1"/>
    </font>
    <font>
      <sz val="11"/>
      <color rgb="FFFF0000"/>
      <name val="Times New Roman"/>
      <family val="1"/>
    </font>
    <font>
      <sz val="12"/>
      <color theme="0"/>
      <name val="Calibri"/>
      <family val="2"/>
      <scheme val="minor"/>
    </font>
    <font>
      <sz val="12"/>
      <color theme="0"/>
      <name val="VNI-Times"/>
    </font>
    <font>
      <b/>
      <u/>
      <sz val="12"/>
      <name val="Times"/>
      <family val="1"/>
    </font>
    <font>
      <b/>
      <sz val="11"/>
      <name val="Times"/>
      <family val="1"/>
    </font>
    <font>
      <b/>
      <vertAlign val="subscript"/>
      <sz val="11"/>
      <name val="Times"/>
      <family val="1"/>
    </font>
    <font>
      <b/>
      <vertAlign val="superscript"/>
      <sz val="11"/>
      <name val="Times"/>
      <family val="1"/>
    </font>
    <font>
      <b/>
      <sz val="10"/>
      <name val="Times New Roman"/>
      <family val="1"/>
    </font>
    <font>
      <sz val="12"/>
      <color theme="0" tint="-0.499984740745262"/>
      <name val="Times"/>
      <family val="1"/>
    </font>
    <font>
      <b/>
      <sz val="12"/>
      <color theme="0" tint="-0.499984740745262"/>
      <name val="Times"/>
      <family val="1"/>
    </font>
    <font>
      <sz val="12"/>
      <color theme="0" tint="-0.34998626667073579"/>
      <name val="Times"/>
      <family val="1"/>
    </font>
    <font>
      <b/>
      <sz val="12"/>
      <color theme="0" tint="-0.34998626667073579"/>
      <name val="Times"/>
      <family val="1"/>
    </font>
    <font>
      <b/>
      <vertAlign val="superscript"/>
      <sz val="11"/>
      <color theme="1"/>
      <name val="Times New Roman"/>
      <family val="1"/>
    </font>
    <font>
      <b/>
      <vertAlign val="subscript"/>
      <sz val="11"/>
      <color theme="1"/>
      <name val="Times New Roman"/>
      <family val="1"/>
    </font>
    <font>
      <sz val="11"/>
      <color theme="0"/>
      <name val="Times New Roman"/>
      <family val="1"/>
    </font>
    <font>
      <b/>
      <sz val="13"/>
      <color theme="1"/>
      <name val="Times New Roman"/>
      <family val="1"/>
    </font>
    <font>
      <b/>
      <sz val="16"/>
      <color theme="1"/>
      <name val="Times New Roman"/>
      <family val="1"/>
    </font>
    <font>
      <b/>
      <sz val="12"/>
      <color theme="1"/>
      <name val="Times New Roman"/>
      <family val="1"/>
    </font>
    <font>
      <b/>
      <vertAlign val="superscript"/>
      <sz val="12"/>
      <color theme="1"/>
      <name val="Times New Roman"/>
      <family val="1"/>
    </font>
    <font>
      <b/>
      <vertAlign val="subscript"/>
      <sz val="12"/>
      <color theme="1"/>
      <name val="Times New Roman"/>
      <family val="1"/>
    </font>
  </fonts>
  <fills count="1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50"/>
        <bgColor indexed="64"/>
      </patternFill>
    </fill>
    <fill>
      <patternFill patternType="solid">
        <fgColor rgb="FF00B0F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s>
  <borders count="96">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double">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diagonalDown="1">
      <left style="medium">
        <color indexed="64"/>
      </left>
      <right style="medium">
        <color indexed="64"/>
      </right>
      <top style="medium">
        <color indexed="64"/>
      </top>
      <bottom style="medium">
        <color indexed="64"/>
      </bottom>
      <diagonal style="hair">
        <color indexed="64"/>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64"/>
      </left>
      <right style="thin">
        <color indexed="64"/>
      </right>
      <top style="thick">
        <color indexed="64"/>
      </top>
      <bottom/>
      <diagonal/>
    </border>
    <border>
      <left style="thick">
        <color indexed="64"/>
      </left>
      <right style="thin">
        <color indexed="64"/>
      </right>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bottom style="thick">
        <color indexed="64"/>
      </bottom>
      <diagonal/>
    </border>
    <border>
      <left style="medium">
        <color indexed="64"/>
      </left>
      <right style="medium">
        <color indexed="64"/>
      </right>
      <top style="thin">
        <color indexed="64"/>
      </top>
      <bottom style="medium">
        <color indexed="64"/>
      </bottom>
      <diagonal/>
    </border>
    <border>
      <left style="thick">
        <color indexed="64"/>
      </left>
      <right/>
      <top/>
      <bottom/>
      <diagonal/>
    </border>
    <border>
      <left/>
      <right style="thick">
        <color indexed="64"/>
      </right>
      <top/>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n">
        <color indexed="64"/>
      </bottom>
      <diagonal/>
    </border>
    <border>
      <left/>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s>
  <cellStyleXfs count="72">
    <xf numFmtId="0" fontId="0" fillId="0" borderId="0"/>
    <xf numFmtId="0" fontId="1" fillId="0" borderId="0"/>
    <xf numFmtId="184" fontId="31" fillId="0" borderId="0" applyFont="0" applyFill="0" applyBorder="0" applyAlignment="0" applyProtection="0"/>
    <xf numFmtId="0" fontId="32" fillId="0" borderId="0" applyFont="0" applyFill="0" applyBorder="0" applyAlignment="0" applyProtection="0"/>
    <xf numFmtId="185" fontId="31" fillId="0" borderId="0" applyFont="0" applyFill="0" applyBorder="0" applyAlignment="0" applyProtection="0"/>
    <xf numFmtId="0" fontId="5" fillId="0" borderId="0" applyNumberFormat="0" applyFill="0" applyBorder="0" applyAlignment="0" applyProtection="0"/>
    <xf numFmtId="40" fontId="32" fillId="0" borderId="0" applyFont="0" applyFill="0" applyBorder="0" applyAlignment="0" applyProtection="0"/>
    <xf numFmtId="38" fontId="32" fillId="0" borderId="0" applyFont="0" applyFill="0" applyBorder="0" applyAlignment="0" applyProtection="0"/>
    <xf numFmtId="173" fontId="33" fillId="0" borderId="0" applyFont="0" applyFill="0" applyBorder="0" applyAlignment="0" applyProtection="0"/>
    <xf numFmtId="9" fontId="34" fillId="0" borderId="0" applyFont="0" applyFill="0" applyBorder="0" applyAlignment="0" applyProtection="0"/>
    <xf numFmtId="0" fontId="35" fillId="0" borderId="0"/>
    <xf numFmtId="0" fontId="5" fillId="0" borderId="0" applyFont="0" applyFill="0" applyBorder="0" applyAlignment="0" applyProtection="0"/>
    <xf numFmtId="0" fontId="5" fillId="0" borderId="0" applyFont="0" applyFill="0" applyBorder="0" applyAlignment="0" applyProtection="0"/>
    <xf numFmtId="0" fontId="6" fillId="0" borderId="0"/>
    <xf numFmtId="0" fontId="5" fillId="0" borderId="0" applyNumberForma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166" fontId="8" fillId="0" borderId="0" applyFont="0" applyFill="0" applyBorder="0" applyAlignment="0" applyProtection="0"/>
    <xf numFmtId="0" fontId="7" fillId="0" borderId="0" applyFont="0" applyFill="0" applyBorder="0" applyAlignment="0" applyProtection="0"/>
    <xf numFmtId="167" fontId="8" fillId="0" borderId="0" applyFont="0" applyFill="0" applyBorder="0" applyAlignment="0" applyProtection="0"/>
    <xf numFmtId="0" fontId="7" fillId="0" borderId="0" applyFont="0" applyFill="0" applyBorder="0" applyAlignment="0" applyProtection="0"/>
    <xf numFmtId="0" fontId="7" fillId="0" borderId="0"/>
    <xf numFmtId="0" fontId="7" fillId="0" borderId="0"/>
    <xf numFmtId="0" fontId="9" fillId="0" borderId="0"/>
    <xf numFmtId="0" fontId="10" fillId="0" borderId="0"/>
    <xf numFmtId="43" fontId="1" fillId="0" borderId="0" applyFont="0" applyFill="0" applyBorder="0" applyAlignment="0" applyProtection="0"/>
    <xf numFmtId="3" fontId="5" fillId="0" borderId="0" applyFont="0" applyFill="0" applyBorder="0" applyAlignment="0" applyProtection="0"/>
    <xf numFmtId="172" fontId="5" fillId="0" borderId="0" applyFont="0" applyFill="0" applyBorder="0" applyAlignment="0" applyProtection="0"/>
    <xf numFmtId="0" fontId="5" fillId="0" borderId="0" applyFont="0" applyFill="0" applyBorder="0" applyAlignment="0" applyProtection="0"/>
    <xf numFmtId="2" fontId="5" fillId="0" borderId="0" applyFont="0" applyFill="0" applyBorder="0" applyAlignment="0" applyProtection="0"/>
    <xf numFmtId="38" fontId="11" fillId="2" borderId="0" applyNumberFormat="0" applyBorder="0" applyAlignment="0" applyProtection="0"/>
    <xf numFmtId="183" fontId="27" fillId="3" borderId="0" applyBorder="0" applyProtection="0"/>
    <xf numFmtId="0" fontId="12" fillId="0" borderId="0">
      <alignment horizontal="left"/>
    </xf>
    <xf numFmtId="0" fontId="13" fillId="0" borderId="1" applyNumberFormat="0" applyAlignment="0" applyProtection="0">
      <alignment horizontal="left" vertical="center"/>
    </xf>
    <xf numFmtId="0" fontId="13" fillId="0" borderId="2">
      <alignment horizontal="left" vertical="center"/>
    </xf>
    <xf numFmtId="0" fontId="14" fillId="0" borderId="0" applyNumberFormat="0" applyFill="0" applyBorder="0" applyAlignment="0" applyProtection="0"/>
    <xf numFmtId="0" fontId="13" fillId="0" borderId="0" applyNumberFormat="0" applyFill="0" applyBorder="0" applyAlignment="0" applyProtection="0"/>
    <xf numFmtId="10" fontId="11" fillId="2" borderId="3" applyNumberFormat="0" applyBorder="0" applyAlignment="0" applyProtection="0"/>
    <xf numFmtId="0" fontId="15" fillId="0" borderId="4"/>
    <xf numFmtId="0" fontId="36" fillId="0" borderId="0" applyNumberFormat="0" applyFont="0" applyFill="0" applyAlignment="0"/>
    <xf numFmtId="181" fontId="16" fillId="0" borderId="0"/>
    <xf numFmtId="182" fontId="28" fillId="0" borderId="0" applyFont="0" applyFill="0" applyBorder="0" applyProtection="0">
      <alignment vertical="top" wrapText="1"/>
    </xf>
    <xf numFmtId="10" fontId="5" fillId="0" borderId="0" applyFont="0" applyFill="0" applyBorder="0" applyAlignment="0" applyProtection="0"/>
    <xf numFmtId="14" fontId="29" fillId="0" borderId="0"/>
    <xf numFmtId="0" fontId="15" fillId="0" borderId="0"/>
    <xf numFmtId="170" fontId="17" fillId="0" borderId="5">
      <alignment horizontal="right" vertical="center"/>
    </xf>
    <xf numFmtId="171" fontId="17" fillId="0" borderId="5">
      <alignment horizontal="center"/>
    </xf>
    <xf numFmtId="182" fontId="30" fillId="0" borderId="0" applyNumberFormat="0" applyFill="0" applyBorder="0" applyProtection="0">
      <alignment horizontal="centerContinuous" vertical="center"/>
    </xf>
    <xf numFmtId="0" fontId="5" fillId="0" borderId="6" applyNumberFormat="0" applyFont="0" applyFill="0" applyAlignment="0" applyProtection="0"/>
    <xf numFmtId="168" fontId="17" fillId="0" borderId="0"/>
    <xf numFmtId="169" fontId="17" fillId="0" borderId="3"/>
    <xf numFmtId="0" fontId="37" fillId="0" borderId="0" applyNumberFormat="0" applyFill="0" applyBorder="0" applyAlignment="0" applyProtection="0"/>
    <xf numFmtId="0" fontId="39" fillId="0" borderId="0" applyFont="0" applyFill="0" applyBorder="0" applyAlignment="0" applyProtection="0"/>
    <xf numFmtId="0" fontId="39" fillId="0" borderId="0" applyFont="0" applyFill="0" applyBorder="0" applyAlignment="0" applyProtection="0"/>
    <xf numFmtId="0" fontId="40" fillId="0" borderId="0">
      <alignment vertical="center"/>
    </xf>
    <xf numFmtId="40" fontId="18" fillId="0" borderId="0" applyFont="0" applyFill="0" applyBorder="0" applyAlignment="0" applyProtection="0"/>
    <xf numFmtId="38"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9" fontId="19" fillId="0" borderId="0" applyFont="0" applyFill="0" applyBorder="0" applyAlignment="0" applyProtection="0"/>
    <xf numFmtId="0" fontId="20" fillId="0" borderId="0"/>
    <xf numFmtId="177" fontId="5" fillId="0" borderId="0" applyFont="0" applyFill="0" applyBorder="0" applyAlignment="0" applyProtection="0"/>
    <xf numFmtId="178" fontId="5" fillId="0" borderId="0" applyFont="0" applyFill="0" applyBorder="0" applyAlignment="0" applyProtection="0"/>
    <xf numFmtId="176" fontId="21" fillId="0" borderId="0" applyFont="0" applyFill="0" applyBorder="0" applyAlignment="0" applyProtection="0"/>
    <xf numFmtId="175" fontId="21" fillId="0" borderId="0" applyFont="0" applyFill="0" applyBorder="0" applyAlignment="0" applyProtection="0"/>
    <xf numFmtId="0" fontId="22" fillId="0" borderId="0"/>
    <xf numFmtId="0" fontId="36" fillId="0" borderId="0"/>
    <xf numFmtId="173" fontId="38" fillId="0" borderId="0" applyFont="0" applyFill="0" applyBorder="0" applyAlignment="0" applyProtection="0"/>
    <xf numFmtId="174" fontId="38" fillId="0" borderId="0" applyFont="0" applyFill="0" applyBorder="0" applyAlignment="0" applyProtection="0"/>
    <xf numFmtId="179" fontId="38" fillId="0" borderId="0" applyFont="0" applyFill="0" applyBorder="0" applyAlignment="0" applyProtection="0"/>
    <xf numFmtId="6" fontId="23" fillId="0" borderId="0" applyFont="0" applyFill="0" applyBorder="0" applyAlignment="0" applyProtection="0"/>
    <xf numFmtId="180" fontId="38" fillId="0" borderId="0" applyFont="0" applyFill="0" applyBorder="0" applyAlignment="0" applyProtection="0"/>
  </cellStyleXfs>
  <cellXfs count="569">
    <xf numFmtId="0" fontId="0" fillId="0" borderId="0" xfId="0"/>
    <xf numFmtId="0" fontId="55" fillId="6" borderId="3" xfId="0" applyFont="1" applyFill="1" applyBorder="1" applyAlignment="1" applyProtection="1">
      <alignment horizontal="center" vertical="center"/>
      <protection locked="0"/>
    </xf>
    <xf numFmtId="0" fontId="55" fillId="7" borderId="3" xfId="0" applyFont="1" applyFill="1" applyBorder="1" applyAlignment="1" applyProtection="1">
      <alignment horizontal="center" vertical="center"/>
      <protection locked="0"/>
    </xf>
    <xf numFmtId="0" fontId="60" fillId="8" borderId="3" xfId="0" applyFont="1" applyFill="1" applyBorder="1" applyAlignment="1" applyProtection="1">
      <alignment horizontal="center" vertical="center"/>
      <protection locked="0"/>
    </xf>
    <xf numFmtId="0" fontId="53" fillId="0" borderId="0" xfId="0" applyFont="1" applyProtection="1">
      <protection hidden="1"/>
    </xf>
    <xf numFmtId="0" fontId="53" fillId="0" borderId="0" xfId="0" applyFont="1" applyAlignment="1" applyProtection="1">
      <alignment horizontal="center" wrapText="1"/>
      <protection hidden="1"/>
    </xf>
    <xf numFmtId="0" fontId="57" fillId="0" borderId="0" xfId="0" applyFont="1" applyAlignment="1" applyProtection="1">
      <alignment vertical="top"/>
      <protection hidden="1"/>
    </xf>
    <xf numFmtId="0" fontId="53" fillId="0" borderId="0" xfId="0" applyFont="1" applyFill="1" applyProtection="1">
      <protection hidden="1"/>
    </xf>
    <xf numFmtId="0" fontId="53" fillId="0" borderId="0" xfId="0" applyFont="1" applyFill="1" applyAlignment="1" applyProtection="1">
      <alignment horizontal="center" wrapText="1"/>
      <protection hidden="1"/>
    </xf>
    <xf numFmtId="0" fontId="54" fillId="0" borderId="0" xfId="0" applyFont="1" applyFill="1" applyBorder="1" applyAlignment="1" applyProtection="1">
      <alignment horizontal="left" vertical="center"/>
      <protection hidden="1"/>
    </xf>
    <xf numFmtId="0" fontId="55" fillId="0" borderId="0" xfId="0" applyFont="1" applyFill="1" applyBorder="1" applyAlignment="1" applyProtection="1">
      <alignment horizontal="center" vertical="center" wrapText="1"/>
      <protection hidden="1"/>
    </xf>
    <xf numFmtId="0" fontId="57" fillId="0" borderId="0" xfId="0" applyFont="1" applyProtection="1">
      <protection hidden="1"/>
    </xf>
    <xf numFmtId="0" fontId="53" fillId="0" borderId="0" xfId="0" applyFont="1" applyAlignment="1" applyProtection="1">
      <alignment wrapText="1"/>
      <protection hidden="1"/>
    </xf>
    <xf numFmtId="0" fontId="53" fillId="0" borderId="3" xfId="0" applyFont="1" applyBorder="1" applyAlignment="1" applyProtection="1">
      <alignment horizontal="center"/>
      <protection hidden="1"/>
    </xf>
    <xf numFmtId="0" fontId="53" fillId="0" borderId="0" xfId="0" applyFont="1" applyFill="1" applyAlignment="1" applyProtection="1">
      <alignment horizontal="center"/>
      <protection hidden="1"/>
    </xf>
    <xf numFmtId="0" fontId="53" fillId="0" borderId="0" xfId="0" quotePrefix="1" applyFont="1" applyProtection="1">
      <protection hidden="1"/>
    </xf>
    <xf numFmtId="0" fontId="53" fillId="0" borderId="0" xfId="0" applyNumberFormat="1" applyFont="1" applyAlignment="1" applyProtection="1">
      <alignment vertical="center"/>
      <protection hidden="1"/>
    </xf>
    <xf numFmtId="0" fontId="50" fillId="0" borderId="11" xfId="0" applyFont="1" applyFill="1" applyBorder="1" applyAlignment="1" applyProtection="1">
      <alignment horizontal="center" vertical="center"/>
      <protection hidden="1"/>
    </xf>
    <xf numFmtId="1" fontId="50" fillId="0" borderId="11" xfId="0" applyNumberFormat="1" applyFont="1" applyFill="1" applyBorder="1" applyAlignment="1" applyProtection="1">
      <alignment horizontal="center" vertical="center"/>
      <protection hidden="1"/>
    </xf>
    <xf numFmtId="9" fontId="53" fillId="0" borderId="11" xfId="0" applyNumberFormat="1" applyFont="1" applyBorder="1" applyAlignment="1" applyProtection="1">
      <alignment horizontal="center"/>
      <protection hidden="1"/>
    </xf>
    <xf numFmtId="1" fontId="50" fillId="0" borderId="3" xfId="0" applyNumberFormat="1" applyFont="1" applyFill="1" applyBorder="1" applyAlignment="1" applyProtection="1">
      <alignment horizontal="center" vertical="center"/>
      <protection hidden="1"/>
    </xf>
    <xf numFmtId="9" fontId="53" fillId="0" borderId="3" xfId="0" applyNumberFormat="1" applyFont="1" applyBorder="1" applyAlignment="1" applyProtection="1">
      <alignment horizontal="center"/>
      <protection hidden="1"/>
    </xf>
    <xf numFmtId="0" fontId="53" fillId="0" borderId="0" xfId="0" applyFont="1" applyAlignment="1" applyProtection="1">
      <alignment horizontal="center" vertical="center" wrapText="1"/>
      <protection hidden="1"/>
    </xf>
    <xf numFmtId="0" fontId="53" fillId="0" borderId="0" xfId="0" applyFont="1" applyAlignment="1" applyProtection="1">
      <alignment vertical="center" wrapText="1"/>
      <protection hidden="1"/>
    </xf>
    <xf numFmtId="0" fontId="53" fillId="0" borderId="0" xfId="0" applyFont="1" applyAlignment="1" applyProtection="1">
      <alignment vertical="center"/>
      <protection hidden="1"/>
    </xf>
    <xf numFmtId="0" fontId="53" fillId="0" borderId="0" xfId="0" applyFont="1" applyAlignment="1" applyProtection="1">
      <alignment horizontal="left" vertical="center" wrapText="1"/>
      <protection hidden="1"/>
    </xf>
    <xf numFmtId="0" fontId="53" fillId="0" borderId="0" xfId="0" applyFont="1" applyAlignment="1" applyProtection="1">
      <alignment horizontal="left"/>
      <protection hidden="1"/>
    </xf>
    <xf numFmtId="0" fontId="53" fillId="0" borderId="0" xfId="0" applyFont="1" applyAlignment="1" applyProtection="1">
      <alignment horizontal="right"/>
      <protection hidden="1"/>
    </xf>
    <xf numFmtId="0" fontId="50" fillId="0" borderId="0" xfId="0" applyFont="1" applyAlignment="1" applyProtection="1">
      <alignment horizontal="left" vertical="top"/>
      <protection hidden="1"/>
    </xf>
    <xf numFmtId="0" fontId="50" fillId="0" borderId="0" xfId="0" applyFont="1" applyAlignment="1" applyProtection="1">
      <alignment horizontal="right" vertical="top"/>
      <protection hidden="1"/>
    </xf>
    <xf numFmtId="0" fontId="53" fillId="0" borderId="0" xfId="0" quotePrefix="1" applyFont="1" applyAlignment="1" applyProtection="1">
      <alignment horizontal="center"/>
      <protection hidden="1"/>
    </xf>
    <xf numFmtId="3" fontId="53" fillId="0" borderId="0" xfId="0" applyNumberFormat="1" applyFont="1" applyAlignment="1" applyProtection="1">
      <alignment horizontal="center"/>
      <protection hidden="1"/>
    </xf>
    <xf numFmtId="0" fontId="50" fillId="9" borderId="3" xfId="0" applyFont="1" applyFill="1" applyBorder="1" applyAlignment="1" applyProtection="1">
      <alignment vertical="center"/>
      <protection hidden="1"/>
    </xf>
    <xf numFmtId="165" fontId="50" fillId="9" borderId="3" xfId="0" applyNumberFormat="1" applyFont="1" applyFill="1" applyBorder="1" applyAlignment="1" applyProtection="1">
      <alignment horizontal="center" vertical="center"/>
      <protection hidden="1"/>
    </xf>
    <xf numFmtId="0" fontId="70" fillId="0" borderId="3" xfId="0" applyFont="1" applyFill="1" applyBorder="1" applyAlignment="1" applyProtection="1">
      <alignment horizontal="center" vertical="center"/>
      <protection hidden="1"/>
    </xf>
    <xf numFmtId="0" fontId="57" fillId="0" borderId="0" xfId="0" quotePrefix="1" applyFont="1" applyAlignment="1" applyProtection="1">
      <alignment vertical="top"/>
      <protection hidden="1"/>
    </xf>
    <xf numFmtId="0" fontId="57" fillId="0" borderId="0" xfId="0" quotePrefix="1" applyFont="1" applyProtection="1">
      <protection hidden="1"/>
    </xf>
    <xf numFmtId="0" fontId="53" fillId="0" borderId="0" xfId="0" quotePrefix="1" applyFont="1" applyAlignment="1" applyProtection="1">
      <alignment horizontal="left"/>
      <protection hidden="1"/>
    </xf>
    <xf numFmtId="0" fontId="67" fillId="0" borderId="55" xfId="0" applyFont="1" applyBorder="1" applyAlignment="1" applyProtection="1">
      <alignment horizontal="center"/>
      <protection hidden="1"/>
    </xf>
    <xf numFmtId="3" fontId="67" fillId="0" borderId="0" xfId="0" applyNumberFormat="1" applyFont="1" applyAlignment="1" applyProtection="1">
      <alignment horizontal="center"/>
      <protection hidden="1"/>
    </xf>
    <xf numFmtId="0" fontId="53" fillId="0" borderId="0" xfId="0" applyFont="1" applyAlignment="1" applyProtection="1">
      <alignment vertical="top"/>
      <protection hidden="1"/>
    </xf>
    <xf numFmtId="0" fontId="53" fillId="0" borderId="55" xfId="0" applyFont="1" applyBorder="1" applyAlignment="1" applyProtection="1">
      <alignment horizontal="center"/>
      <protection hidden="1"/>
    </xf>
    <xf numFmtId="0" fontId="60" fillId="6" borderId="3" xfId="0" applyFont="1" applyFill="1" applyBorder="1" applyAlignment="1" applyProtection="1">
      <alignment horizontal="center" vertical="center"/>
      <protection locked="0"/>
    </xf>
    <xf numFmtId="0" fontId="2" fillId="2" borderId="0" xfId="1" quotePrefix="1" applyFont="1" applyFill="1" applyProtection="1">
      <protection hidden="1"/>
    </xf>
    <xf numFmtId="0" fontId="2" fillId="0" borderId="0" xfId="1" applyFont="1" applyProtection="1">
      <protection hidden="1"/>
    </xf>
    <xf numFmtId="0" fontId="44" fillId="0" borderId="0" xfId="0" applyFont="1" applyProtection="1">
      <protection hidden="1"/>
    </xf>
    <xf numFmtId="0" fontId="45" fillId="2" borderId="0" xfId="1" applyFont="1" applyFill="1" applyProtection="1">
      <protection hidden="1"/>
    </xf>
    <xf numFmtId="0" fontId="3" fillId="2" borderId="0" xfId="1" applyFont="1" applyFill="1" applyProtection="1">
      <protection hidden="1"/>
    </xf>
    <xf numFmtId="0" fontId="2" fillId="4" borderId="12" xfId="1" applyFont="1" applyFill="1" applyBorder="1" applyAlignment="1" applyProtection="1">
      <alignment horizontal="center"/>
      <protection hidden="1"/>
    </xf>
    <xf numFmtId="0" fontId="2" fillId="4" borderId="10" xfId="1" applyFont="1" applyFill="1" applyBorder="1" applyAlignment="1" applyProtection="1">
      <alignment horizontal="center"/>
      <protection hidden="1"/>
    </xf>
    <xf numFmtId="164" fontId="2" fillId="2" borderId="11" xfId="1" applyNumberFormat="1" applyFont="1" applyFill="1" applyBorder="1" applyAlignment="1" applyProtection="1">
      <alignment horizontal="center"/>
      <protection hidden="1"/>
    </xf>
    <xf numFmtId="164" fontId="2" fillId="2" borderId="21" xfId="1" applyNumberFormat="1" applyFont="1" applyFill="1" applyBorder="1" applyAlignment="1" applyProtection="1">
      <alignment horizontal="center"/>
      <protection hidden="1"/>
    </xf>
    <xf numFmtId="164" fontId="2" fillId="2" borderId="3" xfId="1" applyNumberFormat="1" applyFont="1" applyFill="1" applyBorder="1" applyAlignment="1" applyProtection="1">
      <alignment horizontal="center"/>
      <protection hidden="1"/>
    </xf>
    <xf numFmtId="164" fontId="2" fillId="2" borderId="9" xfId="1" applyNumberFormat="1" applyFont="1" applyFill="1" applyBorder="1" applyAlignment="1" applyProtection="1">
      <alignment horizontal="center"/>
      <protection hidden="1"/>
    </xf>
    <xf numFmtId="1" fontId="2" fillId="2" borderId="12" xfId="1" applyNumberFormat="1" applyFont="1" applyFill="1" applyBorder="1" applyAlignment="1" applyProtection="1">
      <alignment horizontal="center"/>
      <protection hidden="1"/>
    </xf>
    <xf numFmtId="1" fontId="2" fillId="2" borderId="10" xfId="1" applyNumberFormat="1" applyFont="1" applyFill="1" applyBorder="1" applyAlignment="1" applyProtection="1">
      <alignment horizontal="center"/>
      <protection hidden="1"/>
    </xf>
    <xf numFmtId="0" fontId="54" fillId="4" borderId="12" xfId="1" applyFont="1" applyFill="1" applyBorder="1" applyAlignment="1" applyProtection="1">
      <alignment horizontal="center"/>
      <protection hidden="1"/>
    </xf>
    <xf numFmtId="0" fontId="54" fillId="4" borderId="10" xfId="1" applyFont="1" applyFill="1" applyBorder="1" applyAlignment="1" applyProtection="1">
      <alignment horizontal="center"/>
      <protection hidden="1"/>
    </xf>
    <xf numFmtId="164" fontId="2" fillId="2" borderId="0" xfId="1" applyNumberFormat="1" applyFont="1" applyFill="1" applyProtection="1">
      <protection hidden="1"/>
    </xf>
    <xf numFmtId="164" fontId="2" fillId="2" borderId="45" xfId="1" applyNumberFormat="1" applyFont="1" applyFill="1" applyBorder="1" applyAlignment="1" applyProtection="1">
      <alignment horizontal="center"/>
      <protection hidden="1"/>
    </xf>
    <xf numFmtId="164" fontId="2" fillId="2" borderId="46" xfId="1" applyNumberFormat="1" applyFont="1" applyFill="1" applyBorder="1" applyAlignment="1" applyProtection="1">
      <alignment horizontal="center"/>
      <protection hidden="1"/>
    </xf>
    <xf numFmtId="1" fontId="2" fillId="2" borderId="0" xfId="1" applyNumberFormat="1" applyFont="1" applyFill="1" applyProtection="1">
      <protection hidden="1"/>
    </xf>
    <xf numFmtId="0" fontId="3" fillId="4" borderId="7" xfId="1" applyFont="1" applyFill="1" applyBorder="1" applyAlignment="1" applyProtection="1">
      <alignment horizontal="centerContinuous"/>
      <protection hidden="1"/>
    </xf>
    <xf numFmtId="0" fontId="4" fillId="4" borderId="23" xfId="1" applyFont="1" applyFill="1" applyBorder="1" applyAlignment="1" applyProtection="1">
      <alignment horizontal="centerContinuous"/>
      <protection hidden="1"/>
    </xf>
    <xf numFmtId="0" fontId="4" fillId="4" borderId="24" xfId="1" applyFont="1" applyFill="1" applyBorder="1" applyAlignment="1" applyProtection="1">
      <alignment horizontal="centerContinuous"/>
      <protection hidden="1"/>
    </xf>
    <xf numFmtId="0" fontId="3" fillId="4" borderId="12" xfId="1" applyFont="1" applyFill="1" applyBorder="1" applyAlignment="1" applyProtection="1">
      <alignment horizontal="center"/>
      <protection hidden="1"/>
    </xf>
    <xf numFmtId="0" fontId="3" fillId="4" borderId="10" xfId="1" applyFont="1" applyFill="1" applyBorder="1" applyAlignment="1" applyProtection="1">
      <alignment horizontal="center"/>
      <protection hidden="1"/>
    </xf>
    <xf numFmtId="164" fontId="2" fillId="2" borderId="11" xfId="1" applyNumberFormat="1" applyFont="1" applyFill="1" applyBorder="1" applyProtection="1">
      <protection hidden="1"/>
    </xf>
    <xf numFmtId="2" fontId="2" fillId="2" borderId="11" xfId="1" applyNumberFormat="1" applyFont="1" applyFill="1" applyBorder="1" applyProtection="1">
      <protection hidden="1"/>
    </xf>
    <xf numFmtId="2" fontId="2" fillId="2" borderId="21" xfId="1" applyNumberFormat="1" applyFont="1" applyFill="1" applyBorder="1" applyProtection="1">
      <protection hidden="1"/>
    </xf>
    <xf numFmtId="164" fontId="2" fillId="2" borderId="3" xfId="1" applyNumberFormat="1" applyFont="1" applyFill="1" applyBorder="1" applyProtection="1">
      <protection hidden="1"/>
    </xf>
    <xf numFmtId="2" fontId="2" fillId="2" borderId="3" xfId="1" applyNumberFormat="1" applyFont="1" applyFill="1" applyBorder="1" applyProtection="1">
      <protection hidden="1"/>
    </xf>
    <xf numFmtId="2" fontId="2" fillId="2" borderId="9" xfId="1" applyNumberFormat="1" applyFont="1" applyFill="1" applyBorder="1" applyProtection="1">
      <protection hidden="1"/>
    </xf>
    <xf numFmtId="1" fontId="2" fillId="2" borderId="3" xfId="1" applyNumberFormat="1" applyFont="1" applyFill="1" applyBorder="1" applyProtection="1">
      <protection hidden="1"/>
    </xf>
    <xf numFmtId="1" fontId="2" fillId="2" borderId="12" xfId="1" applyNumberFormat="1" applyFont="1" applyFill="1" applyBorder="1" applyProtection="1">
      <protection hidden="1"/>
    </xf>
    <xf numFmtId="2" fontId="2" fillId="2" borderId="12" xfId="1" applyNumberFormat="1" applyFont="1" applyFill="1" applyBorder="1" applyProtection="1">
      <protection hidden="1"/>
    </xf>
    <xf numFmtId="2" fontId="2" fillId="2" borderId="10" xfId="1" applyNumberFormat="1" applyFont="1" applyFill="1" applyBorder="1" applyProtection="1">
      <protection hidden="1"/>
    </xf>
    <xf numFmtId="0" fontId="47" fillId="2" borderId="8" xfId="1" quotePrefix="1" applyFont="1" applyFill="1" applyBorder="1" applyAlignment="1" applyProtection="1">
      <alignment horizontal="centerContinuous" wrapText="1"/>
      <protection hidden="1"/>
    </xf>
    <xf numFmtId="0" fontId="48" fillId="2" borderId="7" xfId="1" applyFont="1" applyFill="1" applyBorder="1" applyAlignment="1" applyProtection="1">
      <alignment horizontal="centerContinuous" wrapText="1"/>
      <protection hidden="1"/>
    </xf>
    <xf numFmtId="2" fontId="48" fillId="2" borderId="27" xfId="1" applyNumberFormat="1" applyFont="1" applyFill="1" applyBorder="1" applyAlignment="1" applyProtection="1">
      <alignment horizontal="centerContinuous" wrapText="1"/>
      <protection hidden="1"/>
    </xf>
    <xf numFmtId="0" fontId="48" fillId="2" borderId="19" xfId="1" applyFont="1" applyFill="1" applyBorder="1" applyAlignment="1" applyProtection="1">
      <alignment horizontal="centerContinuous" wrapText="1"/>
      <protection hidden="1"/>
    </xf>
    <xf numFmtId="0" fontId="47" fillId="2" borderId="17" xfId="1" quotePrefix="1" applyFont="1" applyFill="1" applyBorder="1" applyAlignment="1" applyProtection="1">
      <alignment horizontal="centerContinuous" wrapText="1"/>
      <protection hidden="1"/>
    </xf>
    <xf numFmtId="0" fontId="48" fillId="2" borderId="4" xfId="1" applyFont="1" applyFill="1" applyBorder="1" applyAlignment="1" applyProtection="1">
      <alignment horizontal="centerContinuous" wrapText="1"/>
      <protection hidden="1"/>
    </xf>
    <xf numFmtId="0" fontId="48" fillId="2" borderId="20" xfId="1" applyFont="1" applyFill="1" applyBorder="1" applyAlignment="1" applyProtection="1">
      <alignment horizontal="centerContinuous" wrapText="1"/>
      <protection hidden="1"/>
    </xf>
    <xf numFmtId="0" fontId="2" fillId="4" borderId="36" xfId="1" applyFont="1" applyFill="1" applyBorder="1" applyAlignment="1" applyProtection="1">
      <alignment horizontal="centerContinuous"/>
      <protection hidden="1"/>
    </xf>
    <xf numFmtId="0" fontId="2" fillId="4" borderId="1" xfId="1" applyFont="1" applyFill="1" applyBorder="1" applyAlignment="1" applyProtection="1">
      <alignment horizontal="centerContinuous"/>
      <protection hidden="1"/>
    </xf>
    <xf numFmtId="0" fontId="2" fillId="4" borderId="37" xfId="1" applyFont="1" applyFill="1" applyBorder="1" applyAlignment="1" applyProtection="1">
      <alignment horizontal="centerContinuous"/>
      <protection hidden="1"/>
    </xf>
    <xf numFmtId="0" fontId="2" fillId="4" borderId="38" xfId="1" applyFont="1" applyFill="1" applyBorder="1" applyAlignment="1" applyProtection="1">
      <alignment horizontal="centerContinuous"/>
      <protection hidden="1"/>
    </xf>
    <xf numFmtId="0" fontId="2" fillId="2" borderId="22" xfId="1" applyFont="1" applyFill="1" applyBorder="1" applyProtection="1">
      <protection hidden="1"/>
    </xf>
    <xf numFmtId="0" fontId="2" fillId="2" borderId="0" xfId="1" applyFont="1" applyFill="1" applyBorder="1" applyProtection="1">
      <protection hidden="1"/>
    </xf>
    <xf numFmtId="0" fontId="2" fillId="2" borderId="17" xfId="1" applyFont="1" applyFill="1" applyBorder="1" applyProtection="1">
      <protection hidden="1"/>
    </xf>
    <xf numFmtId="0" fontId="2" fillId="2" borderId="4" xfId="1" applyFont="1" applyFill="1" applyBorder="1" applyProtection="1">
      <protection hidden="1"/>
    </xf>
    <xf numFmtId="0" fontId="44" fillId="0" borderId="0" xfId="0" applyFont="1" applyAlignment="1" applyProtection="1">
      <alignment vertical="center"/>
      <protection hidden="1"/>
    </xf>
    <xf numFmtId="0" fontId="0" fillId="5" borderId="60" xfId="0" applyFill="1" applyBorder="1" applyAlignment="1" applyProtection="1">
      <alignment horizontal="left" vertical="center" wrapText="1"/>
      <protection hidden="1"/>
    </xf>
    <xf numFmtId="0" fontId="0" fillId="5" borderId="13" xfId="0" applyFill="1" applyBorder="1" applyAlignment="1" applyProtection="1">
      <alignment horizontal="center" vertical="center"/>
      <protection hidden="1"/>
    </xf>
    <xf numFmtId="0" fontId="0" fillId="5" borderId="14" xfId="0" applyFill="1" applyBorder="1" applyAlignment="1" applyProtection="1">
      <alignment horizontal="center" vertical="center"/>
      <protection hidden="1"/>
    </xf>
    <xf numFmtId="0" fontId="0" fillId="5" borderId="15" xfId="0" applyFill="1" applyBorder="1" applyAlignment="1" applyProtection="1">
      <alignment horizontal="center" vertical="center"/>
      <protection hidden="1"/>
    </xf>
    <xf numFmtId="0" fontId="0" fillId="5" borderId="35" xfId="0" applyFill="1" applyBorder="1" applyAlignment="1" applyProtection="1">
      <alignment horizontal="center"/>
      <protection hidden="1"/>
    </xf>
    <xf numFmtId="165" fontId="0" fillId="4" borderId="23" xfId="0" applyNumberFormat="1" applyFill="1" applyBorder="1" applyProtection="1">
      <protection hidden="1"/>
    </xf>
    <xf numFmtId="165" fontId="0" fillId="4" borderId="56" xfId="0" applyNumberFormat="1" applyFill="1" applyBorder="1" applyProtection="1">
      <protection hidden="1"/>
    </xf>
    <xf numFmtId="0" fontId="0" fillId="5" borderId="42" xfId="0" applyFill="1" applyBorder="1" applyAlignment="1" applyProtection="1">
      <alignment horizontal="center"/>
      <protection hidden="1"/>
    </xf>
    <xf numFmtId="165" fontId="0" fillId="4" borderId="3" xfId="0" applyNumberFormat="1" applyFill="1" applyBorder="1" applyProtection="1">
      <protection hidden="1"/>
    </xf>
    <xf numFmtId="165" fontId="0" fillId="4" borderId="57" xfId="0" applyNumberFormat="1" applyFill="1" applyBorder="1" applyProtection="1">
      <protection hidden="1"/>
    </xf>
    <xf numFmtId="0" fontId="0" fillId="5" borderId="16" xfId="0" applyFill="1" applyBorder="1" applyAlignment="1" applyProtection="1">
      <alignment horizontal="center"/>
      <protection hidden="1"/>
    </xf>
    <xf numFmtId="165" fontId="0" fillId="4" borderId="58" xfId="0" applyNumberFormat="1" applyFill="1" applyBorder="1" applyProtection="1">
      <protection hidden="1"/>
    </xf>
    <xf numFmtId="165" fontId="0" fillId="4" borderId="59" xfId="0" applyNumberFormat="1" applyFill="1" applyBorder="1" applyProtection="1">
      <protection hidden="1"/>
    </xf>
    <xf numFmtId="0" fontId="57" fillId="0" borderId="0" xfId="0" applyFont="1" applyAlignment="1" applyProtection="1">
      <alignment horizontal="center"/>
      <protection hidden="1"/>
    </xf>
    <xf numFmtId="0" fontId="0" fillId="0" borderId="0" xfId="0" applyAlignment="1" applyProtection="1">
      <alignment horizontal="center"/>
      <protection hidden="1"/>
    </xf>
    <xf numFmtId="0" fontId="61" fillId="0" borderId="0" xfId="0" applyFont="1" applyAlignment="1" applyProtection="1">
      <alignment horizontal="left"/>
      <protection hidden="1"/>
    </xf>
    <xf numFmtId="0" fontId="0" fillId="0" borderId="0" xfId="0" applyAlignment="1" applyProtection="1">
      <alignment vertical="center"/>
      <protection hidden="1"/>
    </xf>
    <xf numFmtId="2" fontId="72" fillId="0" borderId="0" xfId="0" applyNumberFormat="1" applyFont="1" applyAlignment="1" applyProtection="1">
      <alignment vertical="center"/>
      <protection hidden="1"/>
    </xf>
    <xf numFmtId="0" fontId="73" fillId="0" borderId="74" xfId="0" applyFont="1" applyBorder="1" applyAlignment="1" applyProtection="1">
      <alignment horizontal="center" vertical="center" wrapText="1"/>
      <protection hidden="1"/>
    </xf>
    <xf numFmtId="0" fontId="73" fillId="0" borderId="22" xfId="0" applyFont="1" applyBorder="1" applyAlignment="1" applyProtection="1">
      <alignment horizontal="center" vertical="center" wrapText="1"/>
      <protection hidden="1"/>
    </xf>
    <xf numFmtId="0" fontId="27" fillId="0" borderId="3" xfId="0" applyFont="1" applyBorder="1" applyAlignment="1" applyProtection="1">
      <alignment horizontal="center" vertical="center"/>
      <protection hidden="1"/>
    </xf>
    <xf numFmtId="0" fontId="27" fillId="0" borderId="57" xfId="0" applyFont="1" applyBorder="1" applyAlignment="1" applyProtection="1">
      <alignment horizontal="center" vertical="center"/>
      <protection hidden="1"/>
    </xf>
    <xf numFmtId="164" fontId="72" fillId="0" borderId="0" xfId="0" applyNumberFormat="1" applyFont="1" applyAlignment="1" applyProtection="1">
      <alignment vertical="center"/>
      <protection hidden="1"/>
    </xf>
    <xf numFmtId="0" fontId="77" fillId="0" borderId="75" xfId="0" applyFont="1" applyBorder="1" applyAlignment="1" applyProtection="1">
      <alignment horizontal="center" vertical="center" wrapText="1"/>
      <protection hidden="1"/>
    </xf>
    <xf numFmtId="0" fontId="77" fillId="0" borderId="22" xfId="0" applyFont="1" applyBorder="1" applyAlignment="1" applyProtection="1">
      <alignment horizontal="center" vertical="center" wrapText="1"/>
      <protection hidden="1"/>
    </xf>
    <xf numFmtId="0" fontId="26" fillId="0" borderId="64" xfId="0" applyFont="1" applyBorder="1" applyProtection="1">
      <protection hidden="1"/>
    </xf>
    <xf numFmtId="164" fontId="26" fillId="0" borderId="3" xfId="0" applyNumberFormat="1" applyFont="1" applyBorder="1" applyAlignment="1" applyProtection="1">
      <alignment horizontal="center" vertical="center"/>
      <protection hidden="1"/>
    </xf>
    <xf numFmtId="164" fontId="26" fillId="0" borderId="57" xfId="0" applyNumberFormat="1" applyFont="1" applyBorder="1" applyAlignment="1" applyProtection="1">
      <alignment horizontal="center" vertical="center"/>
      <protection hidden="1"/>
    </xf>
    <xf numFmtId="0" fontId="42" fillId="0" borderId="74" xfId="0" applyFont="1" applyBorder="1" applyAlignment="1" applyProtection="1">
      <alignment horizontal="center" vertical="center" wrapText="1"/>
      <protection hidden="1"/>
    </xf>
    <xf numFmtId="0" fontId="42" fillId="0" borderId="22" xfId="0" applyFont="1" applyBorder="1" applyAlignment="1" applyProtection="1">
      <alignment horizontal="center" vertical="center" wrapText="1"/>
      <protection hidden="1"/>
    </xf>
    <xf numFmtId="49" fontId="79" fillId="0" borderId="3" xfId="0" applyNumberFormat="1" applyFont="1" applyBorder="1" applyAlignment="1" applyProtection="1">
      <alignment horizontal="center"/>
      <protection hidden="1"/>
    </xf>
    <xf numFmtId="49" fontId="79" fillId="0" borderId="9" xfId="0" applyNumberFormat="1" applyFont="1" applyBorder="1" applyAlignment="1" applyProtection="1">
      <alignment horizontal="center"/>
      <protection hidden="1"/>
    </xf>
    <xf numFmtId="0" fontId="26" fillId="0" borderId="70" xfId="0" applyFont="1" applyBorder="1" applyProtection="1">
      <protection hidden="1"/>
    </xf>
    <xf numFmtId="2" fontId="26" fillId="0" borderId="3" xfId="0" applyNumberFormat="1" applyFont="1" applyBorder="1" applyAlignment="1" applyProtection="1">
      <alignment horizontal="center" vertical="center"/>
      <protection hidden="1"/>
    </xf>
    <xf numFmtId="2" fontId="26" fillId="0" borderId="57" xfId="0" applyNumberFormat="1" applyFont="1" applyBorder="1" applyAlignment="1" applyProtection="1">
      <alignment horizontal="center" vertical="center"/>
      <protection hidden="1"/>
    </xf>
    <xf numFmtId="0" fontId="42" fillId="0" borderId="76" xfId="0" applyFont="1" applyBorder="1" applyAlignment="1" applyProtection="1">
      <alignment horizontal="center" vertical="center" wrapText="1"/>
      <protection hidden="1"/>
    </xf>
    <xf numFmtId="165" fontId="26" fillId="0" borderId="76" xfId="0" applyNumberFormat="1" applyFont="1" applyFill="1" applyBorder="1" applyAlignment="1" applyProtection="1">
      <alignment horizontal="center" vertical="center"/>
      <protection hidden="1"/>
    </xf>
    <xf numFmtId="0" fontId="26" fillId="0" borderId="77" xfId="0" applyFont="1" applyBorder="1" applyProtection="1">
      <protection hidden="1"/>
    </xf>
    <xf numFmtId="0" fontId="26" fillId="0" borderId="58" xfId="0" applyFont="1" applyBorder="1" applyAlignment="1" applyProtection="1">
      <alignment horizontal="center" vertical="center"/>
      <protection hidden="1"/>
    </xf>
    <xf numFmtId="0" fontId="26" fillId="0" borderId="59" xfId="0" applyFont="1" applyBorder="1" applyAlignment="1" applyProtection="1">
      <alignment horizontal="center" vertical="center"/>
      <protection hidden="1"/>
    </xf>
    <xf numFmtId="0" fontId="41" fillId="0" borderId="76" xfId="0" applyFont="1" applyBorder="1" applyAlignment="1" applyProtection="1">
      <alignment horizontal="center" vertical="center" wrapText="1"/>
      <protection hidden="1"/>
    </xf>
    <xf numFmtId="0" fontId="72" fillId="0" borderId="0" xfId="0" applyFont="1" applyAlignment="1" applyProtection="1">
      <alignment vertical="center"/>
      <protection hidden="1"/>
    </xf>
    <xf numFmtId="0" fontId="81" fillId="0" borderId="70" xfId="0" applyFont="1" applyBorder="1" applyAlignment="1" applyProtection="1">
      <alignment horizontal="center" vertical="center"/>
      <protection hidden="1"/>
    </xf>
    <xf numFmtId="0" fontId="0" fillId="0" borderId="82" xfId="0" applyBorder="1" applyAlignment="1" applyProtection="1">
      <alignment horizontal="center" vertical="center"/>
      <protection hidden="1"/>
    </xf>
    <xf numFmtId="1" fontId="5" fillId="0" borderId="77" xfId="0" applyNumberFormat="1" applyFont="1" applyBorder="1" applyAlignment="1" applyProtection="1">
      <alignment horizontal="center" vertical="center"/>
      <protection hidden="1"/>
    </xf>
    <xf numFmtId="0" fontId="0" fillId="0" borderId="83" xfId="0" applyBorder="1" applyAlignment="1" applyProtection="1">
      <alignment horizontal="center" vertical="center"/>
      <protection hidden="1"/>
    </xf>
    <xf numFmtId="0" fontId="0" fillId="0" borderId="0" xfId="0" applyBorder="1" applyAlignment="1" applyProtection="1">
      <alignment vertical="center"/>
      <protection hidden="1"/>
    </xf>
    <xf numFmtId="0" fontId="82" fillId="0" borderId="0" xfId="0" applyFont="1" applyFill="1" applyBorder="1" applyAlignment="1" applyProtection="1">
      <alignment horizontal="center" vertical="center"/>
      <protection hidden="1"/>
    </xf>
    <xf numFmtId="0" fontId="26" fillId="0" borderId="3" xfId="0" applyFont="1" applyBorder="1" applyAlignment="1" applyProtection="1">
      <alignment horizontal="center" vertical="center"/>
      <protection hidden="1"/>
    </xf>
    <xf numFmtId="0" fontId="26" fillId="0" borderId="3" xfId="0" applyFont="1" applyBorder="1" applyAlignment="1" applyProtection="1">
      <alignment vertical="center"/>
      <protection hidden="1"/>
    </xf>
    <xf numFmtId="165" fontId="26" fillId="0" borderId="3" xfId="0" applyNumberFormat="1" applyFont="1" applyBorder="1" applyAlignment="1" applyProtection="1">
      <alignment horizontal="center" vertical="center"/>
      <protection hidden="1"/>
    </xf>
    <xf numFmtId="165" fontId="26" fillId="0" borderId="57" xfId="0" applyNumberFormat="1" applyFont="1" applyBorder="1" applyAlignment="1" applyProtection="1">
      <alignment horizontal="center" vertical="center"/>
      <protection hidden="1"/>
    </xf>
    <xf numFmtId="0" fontId="42" fillId="0" borderId="84" xfId="0" applyFont="1" applyBorder="1" applyAlignment="1" applyProtection="1">
      <alignment horizontal="center" vertical="center" wrapText="1"/>
      <protection hidden="1"/>
    </xf>
    <xf numFmtId="0" fontId="41" fillId="0" borderId="84" xfId="0" applyFont="1" applyBorder="1" applyAlignment="1" applyProtection="1">
      <alignment horizontal="center" vertical="center" wrapText="1"/>
      <protection hidden="1"/>
    </xf>
    <xf numFmtId="0" fontId="0" fillId="0" borderId="3" xfId="0" applyBorder="1" applyAlignment="1" applyProtection="1">
      <alignment horizontal="center"/>
      <protection hidden="1"/>
    </xf>
    <xf numFmtId="0" fontId="0" fillId="0" borderId="0" xfId="0" applyBorder="1" applyAlignment="1" applyProtection="1">
      <alignment horizontal="center"/>
      <protection hidden="1"/>
    </xf>
    <xf numFmtId="0" fontId="26" fillId="0" borderId="58" xfId="0" applyFont="1" applyBorder="1" applyAlignment="1" applyProtection="1">
      <alignment vertical="center"/>
      <protection hidden="1"/>
    </xf>
    <xf numFmtId="165" fontId="26" fillId="0" borderId="58" xfId="0" applyNumberFormat="1" applyFont="1" applyBorder="1" applyAlignment="1" applyProtection="1">
      <alignment horizontal="center" vertical="center"/>
      <protection hidden="1"/>
    </xf>
    <xf numFmtId="165" fontId="26" fillId="0" borderId="59" xfId="0" applyNumberFormat="1" applyFont="1" applyBorder="1" applyAlignment="1" applyProtection="1">
      <alignment horizontal="center" vertical="center"/>
      <protection hidden="1"/>
    </xf>
    <xf numFmtId="0" fontId="26" fillId="0" borderId="0" xfId="0" applyFont="1" applyBorder="1" applyAlignment="1" applyProtection="1">
      <alignment horizontal="center" vertical="center"/>
      <protection hidden="1"/>
    </xf>
    <xf numFmtId="0" fontId="26" fillId="0" borderId="0" xfId="0" applyFont="1" applyBorder="1" applyAlignment="1" applyProtection="1">
      <alignment vertical="center"/>
      <protection hidden="1"/>
    </xf>
    <xf numFmtId="0" fontId="40" fillId="0" borderId="58" xfId="0" applyFont="1" applyBorder="1" applyAlignment="1" applyProtection="1">
      <alignment horizontal="center" vertical="center"/>
      <protection hidden="1"/>
    </xf>
    <xf numFmtId="0" fontId="40" fillId="0" borderId="68" xfId="0" applyFont="1" applyBorder="1" applyAlignment="1" applyProtection="1">
      <alignment horizontal="center" vertical="center"/>
      <protection hidden="1"/>
    </xf>
    <xf numFmtId="0" fontId="40" fillId="0" borderId="65" xfId="0" applyFont="1" applyBorder="1" applyAlignment="1" applyProtection="1">
      <alignment horizontal="center" vertical="center"/>
      <protection hidden="1"/>
    </xf>
    <xf numFmtId="0" fontId="40" fillId="0" borderId="59" xfId="0" applyFont="1" applyBorder="1" applyAlignment="1" applyProtection="1">
      <alignment horizontal="center" vertical="center"/>
      <protection hidden="1"/>
    </xf>
    <xf numFmtId="0" fontId="40" fillId="0" borderId="62" xfId="0" applyFont="1" applyBorder="1" applyAlignment="1" applyProtection="1">
      <alignment horizontal="center" vertical="center"/>
      <protection hidden="1"/>
    </xf>
    <xf numFmtId="0" fontId="40" fillId="0" borderId="71" xfId="0" applyFont="1" applyBorder="1" applyAlignment="1" applyProtection="1">
      <alignment horizontal="center" vertical="center"/>
      <protection hidden="1"/>
    </xf>
    <xf numFmtId="0" fontId="40" fillId="0" borderId="61" xfId="0" applyFont="1" applyBorder="1" applyAlignment="1" applyProtection="1">
      <alignment horizontal="center" vertical="center"/>
      <protection hidden="1"/>
    </xf>
    <xf numFmtId="0" fontId="40" fillId="0" borderId="63" xfId="0" applyFont="1" applyBorder="1" applyAlignment="1" applyProtection="1">
      <alignment horizontal="center" vertical="center"/>
      <protection hidden="1"/>
    </xf>
    <xf numFmtId="0" fontId="40" fillId="0" borderId="3" xfId="0" applyFont="1" applyBorder="1" applyAlignment="1" applyProtection="1">
      <alignment horizontal="center" vertical="center"/>
      <protection hidden="1"/>
    </xf>
    <xf numFmtId="0" fontId="40" fillId="0" borderId="5" xfId="0" applyFont="1" applyBorder="1" applyAlignment="1" applyProtection="1">
      <alignment horizontal="center" vertical="center"/>
      <protection hidden="1"/>
    </xf>
    <xf numFmtId="0" fontId="40" fillId="0" borderId="64" xfId="0" applyFont="1" applyBorder="1" applyAlignment="1" applyProtection="1">
      <alignment horizontal="center" vertical="center"/>
      <protection hidden="1"/>
    </xf>
    <xf numFmtId="0" fontId="40" fillId="0" borderId="57" xfId="0" applyFont="1" applyBorder="1" applyAlignment="1" applyProtection="1">
      <alignment horizontal="center" vertical="center"/>
      <protection hidden="1"/>
    </xf>
    <xf numFmtId="0" fontId="72" fillId="0" borderId="0" xfId="0" applyFont="1" applyAlignment="1" applyProtection="1">
      <alignment horizontal="center"/>
      <protection hidden="1"/>
    </xf>
    <xf numFmtId="0" fontId="50" fillId="0" borderId="5" xfId="0" applyFont="1" applyFill="1" applyBorder="1" applyAlignment="1" applyProtection="1">
      <alignment vertical="center"/>
      <protection hidden="1"/>
    </xf>
    <xf numFmtId="0" fontId="53" fillId="0" borderId="44" xfId="0" applyFont="1" applyFill="1" applyBorder="1" applyAlignment="1" applyProtection="1">
      <alignment horizontal="center"/>
      <protection hidden="1"/>
    </xf>
    <xf numFmtId="0" fontId="2" fillId="2" borderId="0" xfId="1" applyFont="1" applyFill="1" applyBorder="1" applyAlignment="1" applyProtection="1">
      <alignment horizontal="center"/>
      <protection hidden="1"/>
    </xf>
    <xf numFmtId="0" fontId="53" fillId="0" borderId="0" xfId="0" applyFont="1" applyAlignment="1" applyProtection="1">
      <alignment horizontal="right" vertical="top"/>
      <protection hidden="1"/>
    </xf>
    <xf numFmtId="0" fontId="50" fillId="0" borderId="0" xfId="0" applyFont="1"/>
    <xf numFmtId="0" fontId="53" fillId="0" borderId="0" xfId="0" applyFont="1" applyFill="1" applyBorder="1" applyAlignment="1" applyProtection="1">
      <alignment horizontal="center"/>
      <protection hidden="1"/>
    </xf>
    <xf numFmtId="0" fontId="71" fillId="0" borderId="0" xfId="0" applyFont="1" applyAlignment="1" applyProtection="1">
      <alignment horizontal="center"/>
      <protection hidden="1"/>
    </xf>
    <xf numFmtId="0" fontId="50" fillId="0" borderId="0" xfId="0" applyFont="1" applyAlignment="1">
      <alignment horizontal="center"/>
    </xf>
    <xf numFmtId="0" fontId="61" fillId="0" borderId="3" xfId="0" applyFont="1" applyBorder="1" applyAlignment="1">
      <alignment horizontal="center"/>
    </xf>
    <xf numFmtId="0" fontId="50" fillId="0" borderId="3" xfId="0" applyFont="1" applyBorder="1" applyAlignment="1">
      <alignment horizontal="center"/>
    </xf>
    <xf numFmtId="0" fontId="57" fillId="0" borderId="0" xfId="0" applyFont="1" applyAlignment="1" applyProtection="1">
      <alignment horizontal="left"/>
      <protection hidden="1"/>
    </xf>
    <xf numFmtId="0" fontId="57" fillId="0" borderId="0" xfId="0" applyFont="1" applyAlignment="1" applyProtection="1">
      <alignment horizontal="center" vertical="top"/>
      <protection hidden="1"/>
    </xf>
    <xf numFmtId="0" fontId="61" fillId="0" borderId="0" xfId="0" applyFont="1" applyAlignment="1">
      <alignment horizontal="left" vertical="top"/>
    </xf>
    <xf numFmtId="2" fontId="0" fillId="0" borderId="35" xfId="0" applyNumberFormat="1" applyBorder="1" applyAlignment="1" applyProtection="1">
      <alignment horizontal="center"/>
      <protection hidden="1"/>
    </xf>
    <xf numFmtId="0" fontId="0" fillId="0" borderId="23" xfId="0" applyBorder="1" applyAlignment="1" applyProtection="1">
      <alignment horizontal="center"/>
      <protection hidden="1"/>
    </xf>
    <xf numFmtId="0" fontId="0" fillId="0" borderId="12" xfId="0" applyBorder="1" applyAlignment="1" applyProtection="1">
      <alignment horizontal="center"/>
      <protection hidden="1"/>
    </xf>
    <xf numFmtId="186" fontId="50" fillId="0" borderId="3" xfId="0" applyNumberFormat="1" applyFont="1" applyBorder="1" applyAlignment="1" applyProtection="1">
      <alignment horizontal="center"/>
      <protection hidden="1"/>
    </xf>
    <xf numFmtId="165" fontId="50" fillId="0" borderId="3" xfId="0" applyNumberFormat="1" applyFont="1" applyBorder="1" applyAlignment="1" applyProtection="1">
      <alignment horizontal="center"/>
      <protection hidden="1"/>
    </xf>
    <xf numFmtId="2" fontId="50" fillId="0" borderId="42" xfId="0" applyNumberFormat="1" applyFont="1" applyBorder="1" applyAlignment="1" applyProtection="1">
      <alignment horizontal="center"/>
      <protection hidden="1"/>
    </xf>
    <xf numFmtId="2" fontId="50" fillId="0" borderId="52" xfId="0" applyNumberFormat="1" applyFont="1" applyBorder="1" applyAlignment="1" applyProtection="1">
      <alignment horizontal="center"/>
      <protection hidden="1"/>
    </xf>
    <xf numFmtId="186" fontId="50" fillId="0" borderId="45" xfId="0" applyNumberFormat="1" applyFont="1" applyBorder="1" applyAlignment="1" applyProtection="1">
      <alignment horizontal="center"/>
      <protection hidden="1"/>
    </xf>
    <xf numFmtId="165" fontId="50" fillId="0" borderId="45" xfId="0" applyNumberFormat="1" applyFont="1" applyBorder="1" applyAlignment="1" applyProtection="1">
      <alignment horizontal="center"/>
      <protection hidden="1"/>
    </xf>
    <xf numFmtId="2" fontId="0" fillId="0" borderId="42" xfId="0" applyNumberFormat="1" applyBorder="1" applyAlignment="1" applyProtection="1">
      <alignment horizontal="center"/>
      <protection hidden="1"/>
    </xf>
    <xf numFmtId="2" fontId="0" fillId="0" borderId="16" xfId="0" applyNumberFormat="1" applyBorder="1" applyAlignment="1" applyProtection="1">
      <alignment horizontal="center"/>
      <protection hidden="1"/>
    </xf>
    <xf numFmtId="0" fontId="50" fillId="0" borderId="0" xfId="0" applyFont="1" applyBorder="1" applyAlignment="1">
      <alignment horizontal="center"/>
    </xf>
    <xf numFmtId="0" fontId="50" fillId="0" borderId="0" xfId="0" applyFont="1" applyBorder="1"/>
    <xf numFmtId="0" fontId="61" fillId="0" borderId="0" xfId="0" applyFont="1" applyBorder="1" applyAlignment="1">
      <alignment horizontal="center"/>
    </xf>
    <xf numFmtId="0" fontId="53" fillId="0" borderId="0" xfId="0" applyFont="1" applyAlignment="1" applyProtection="1">
      <protection hidden="1"/>
    </xf>
    <xf numFmtId="0" fontId="2" fillId="0" borderId="0" xfId="1" applyFont="1" applyAlignment="1" applyProtection="1">
      <alignment horizontal="center"/>
      <protection hidden="1"/>
    </xf>
    <xf numFmtId="0" fontId="3" fillId="2" borderId="0" xfId="1" applyFont="1" applyFill="1" applyAlignment="1" applyProtection="1">
      <alignment horizontal="center"/>
      <protection hidden="1"/>
    </xf>
    <xf numFmtId="0" fontId="44" fillId="0" borderId="0" xfId="0" applyFont="1" applyAlignment="1" applyProtection="1">
      <alignment horizontal="center"/>
      <protection hidden="1"/>
    </xf>
    <xf numFmtId="0" fontId="99" fillId="0" borderId="0" xfId="0" applyFont="1" applyProtection="1">
      <protection hidden="1"/>
    </xf>
    <xf numFmtId="0" fontId="99" fillId="0" borderId="0" xfId="0" applyFont="1" applyAlignment="1" applyProtection="1">
      <alignment horizontal="center"/>
      <protection hidden="1"/>
    </xf>
    <xf numFmtId="0" fontId="100" fillId="0" borderId="0" xfId="1" applyFont="1" applyAlignment="1" applyProtection="1">
      <alignment horizontal="center"/>
      <protection hidden="1"/>
    </xf>
    <xf numFmtId="0" fontId="98" fillId="6" borderId="0" xfId="0" applyFont="1" applyFill="1" applyAlignment="1" applyProtection="1">
      <alignment horizontal="center"/>
      <protection locked="0"/>
    </xf>
    <xf numFmtId="0" fontId="55" fillId="6" borderId="0" xfId="0" applyFont="1" applyFill="1" applyAlignment="1" applyProtection="1">
      <alignment horizontal="center"/>
      <protection locked="0"/>
    </xf>
    <xf numFmtId="0" fontId="26" fillId="0" borderId="70" xfId="0" applyFont="1" applyBorder="1" applyAlignment="1" applyProtection="1">
      <alignment vertical="top"/>
      <protection hidden="1"/>
    </xf>
    <xf numFmtId="0" fontId="58" fillId="0" borderId="69" xfId="0" applyFont="1" applyBorder="1" applyAlignment="1" applyProtection="1">
      <alignment horizontal="center" vertical="center" wrapText="1"/>
      <protection hidden="1"/>
    </xf>
    <xf numFmtId="0" fontId="106" fillId="0" borderId="0" xfId="0" applyFont="1" applyProtection="1">
      <protection hidden="1"/>
    </xf>
    <xf numFmtId="0" fontId="106" fillId="0" borderId="0" xfId="0" applyFont="1" applyFill="1" applyAlignment="1" applyProtection="1">
      <alignment horizontal="center"/>
      <protection hidden="1"/>
    </xf>
    <xf numFmtId="0" fontId="106" fillId="0" borderId="0" xfId="0" applyNumberFormat="1" applyFont="1" applyAlignment="1" applyProtection="1">
      <alignment vertical="center"/>
      <protection hidden="1"/>
    </xf>
    <xf numFmtId="0" fontId="106" fillId="0" borderId="0" xfId="0" applyFont="1" applyAlignment="1" applyProtection="1">
      <alignment vertical="center"/>
      <protection hidden="1"/>
    </xf>
    <xf numFmtId="0" fontId="106" fillId="0" borderId="0" xfId="0" applyFont="1" applyAlignment="1" applyProtection="1">
      <alignment horizontal="left" vertical="center"/>
      <protection hidden="1"/>
    </xf>
    <xf numFmtId="0" fontId="107" fillId="0" borderId="0" xfId="0" applyFont="1" applyProtection="1">
      <protection hidden="1"/>
    </xf>
    <xf numFmtId="0" fontId="107" fillId="0" borderId="0" xfId="0" applyFont="1" applyAlignment="1" applyProtection="1">
      <alignment horizontal="center" vertical="center"/>
      <protection hidden="1"/>
    </xf>
    <xf numFmtId="0" fontId="108" fillId="0" borderId="0" xfId="0" applyFont="1" applyProtection="1">
      <protection hidden="1"/>
    </xf>
    <xf numFmtId="0" fontId="108" fillId="0" borderId="0" xfId="0" applyFont="1" applyFill="1" applyAlignment="1" applyProtection="1">
      <alignment horizontal="center"/>
      <protection hidden="1"/>
    </xf>
    <xf numFmtId="0" fontId="108" fillId="0" borderId="0" xfId="0" applyNumberFormat="1" applyFont="1" applyAlignment="1" applyProtection="1">
      <alignment vertical="center"/>
      <protection hidden="1"/>
    </xf>
    <xf numFmtId="0" fontId="108" fillId="0" borderId="0" xfId="0" applyFont="1" applyAlignment="1" applyProtection="1">
      <alignment vertical="center"/>
      <protection hidden="1"/>
    </xf>
    <xf numFmtId="0" fontId="108" fillId="0" borderId="0" xfId="0" applyFont="1" applyAlignment="1" applyProtection="1">
      <alignment horizontal="left" vertical="center"/>
      <protection hidden="1"/>
    </xf>
    <xf numFmtId="0" fontId="109" fillId="0" borderId="0" xfId="0" applyFont="1" applyProtection="1">
      <protection hidden="1"/>
    </xf>
    <xf numFmtId="0" fontId="109"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60" fillId="7" borderId="3" xfId="0" applyFont="1" applyFill="1" applyBorder="1" applyAlignment="1" applyProtection="1">
      <alignment horizontal="center" vertical="center" wrapText="1"/>
      <protection locked="0"/>
    </xf>
    <xf numFmtId="0" fontId="54" fillId="0" borderId="0" xfId="0" applyFont="1" applyProtection="1">
      <protection hidden="1"/>
    </xf>
    <xf numFmtId="0" fontId="54" fillId="0" borderId="0" xfId="0" applyFont="1" applyAlignment="1" applyProtection="1">
      <alignment horizontal="right"/>
      <protection hidden="1"/>
    </xf>
    <xf numFmtId="0" fontId="54" fillId="0" borderId="0" xfId="0" applyFont="1" applyFill="1" applyBorder="1" applyAlignment="1" applyProtection="1">
      <alignment horizontal="right" vertical="center"/>
      <protection hidden="1"/>
    </xf>
    <xf numFmtId="0" fontId="54" fillId="0" borderId="0" xfId="0" applyFont="1" applyFill="1" applyAlignment="1" applyProtection="1">
      <alignment horizontal="center"/>
      <protection hidden="1"/>
    </xf>
    <xf numFmtId="0" fontId="54" fillId="0" borderId="0" xfId="0" applyNumberFormat="1" applyFont="1" applyAlignment="1" applyProtection="1">
      <alignment vertical="center"/>
      <protection hidden="1"/>
    </xf>
    <xf numFmtId="0" fontId="54" fillId="0" borderId="0" xfId="0" applyFont="1" applyAlignment="1" applyProtection="1">
      <alignment vertical="center"/>
      <protection hidden="1"/>
    </xf>
    <xf numFmtId="0" fontId="54" fillId="0" borderId="0" xfId="0" applyFont="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horizontal="center" vertical="center"/>
      <protection hidden="1"/>
    </xf>
    <xf numFmtId="0" fontId="54" fillId="0" borderId="0" xfId="0" quotePrefix="1" applyFont="1" applyFill="1" applyAlignment="1" applyProtection="1">
      <alignment horizontal="center"/>
      <protection hidden="1"/>
    </xf>
    <xf numFmtId="0" fontId="54" fillId="0" borderId="0" xfId="0" applyFont="1" applyFill="1" applyProtection="1">
      <protection hidden="1"/>
    </xf>
    <xf numFmtId="1" fontId="76" fillId="0" borderId="32" xfId="0" applyNumberFormat="1" applyFont="1" applyBorder="1" applyAlignment="1" applyProtection="1">
      <alignment horizontal="center" vertical="center"/>
      <protection hidden="1"/>
    </xf>
    <xf numFmtId="0" fontId="41" fillId="0" borderId="28" xfId="0" applyFont="1" applyBorder="1" applyAlignment="1" applyProtection="1">
      <alignment horizontal="center" vertical="center"/>
      <protection hidden="1"/>
    </xf>
    <xf numFmtId="0" fontId="41" fillId="0" borderId="29" xfId="0" applyFont="1" applyBorder="1" applyAlignment="1" applyProtection="1">
      <alignment horizontal="center" vertical="center"/>
      <protection hidden="1"/>
    </xf>
    <xf numFmtId="1" fontId="76" fillId="0" borderId="34" xfId="0" applyNumberFormat="1" applyFont="1" applyBorder="1" applyAlignment="1" applyProtection="1">
      <alignment horizontal="center" vertical="center"/>
      <protection hidden="1"/>
    </xf>
    <xf numFmtId="0" fontId="41" fillId="0" borderId="30" xfId="0" applyFont="1" applyBorder="1" applyAlignment="1" applyProtection="1">
      <alignment horizontal="center" vertical="center"/>
      <protection hidden="1"/>
    </xf>
    <xf numFmtId="0" fontId="41" fillId="0" borderId="31" xfId="0" applyFont="1" applyBorder="1" applyAlignment="1" applyProtection="1">
      <alignment horizontal="center" vertical="center"/>
      <protection hidden="1"/>
    </xf>
    <xf numFmtId="3" fontId="60" fillId="7" borderId="3" xfId="0" applyNumberFormat="1" applyFont="1" applyFill="1" applyBorder="1" applyAlignment="1" applyProtection="1">
      <alignment horizontal="center" vertical="center"/>
      <protection locked="0"/>
    </xf>
    <xf numFmtId="0" fontId="60" fillId="7" borderId="3" xfId="0" applyFont="1" applyFill="1" applyBorder="1" applyAlignment="1" applyProtection="1">
      <alignment horizontal="center" vertical="center"/>
      <protection locked="0"/>
    </xf>
    <xf numFmtId="188" fontId="54" fillId="0" borderId="0" xfId="0" applyNumberFormat="1" applyFont="1" applyFill="1" applyAlignment="1" applyProtection="1">
      <alignment horizontal="left"/>
      <protection hidden="1"/>
    </xf>
    <xf numFmtId="0" fontId="53" fillId="0" borderId="2" xfId="0" applyFont="1" applyBorder="1" applyProtection="1">
      <protection hidden="1"/>
    </xf>
    <xf numFmtId="0" fontId="86" fillId="9" borderId="0" xfId="0" applyFont="1" applyFill="1" applyProtection="1">
      <protection locked="0"/>
    </xf>
    <xf numFmtId="0" fontId="85" fillId="9" borderId="0" xfId="0" applyFont="1" applyFill="1" applyProtection="1">
      <protection locked="0"/>
    </xf>
    <xf numFmtId="0" fontId="41" fillId="9" borderId="0" xfId="0" applyFont="1" applyFill="1" applyProtection="1">
      <protection locked="0"/>
    </xf>
    <xf numFmtId="0" fontId="85" fillId="9" borderId="0" xfId="0" applyFont="1" applyFill="1" applyAlignment="1" applyProtection="1">
      <alignment horizontal="center"/>
      <protection locked="0"/>
    </xf>
    <xf numFmtId="0" fontId="85" fillId="9" borderId="0" xfId="0" applyFont="1" applyFill="1" applyAlignment="1" applyProtection="1">
      <alignment horizontal="left"/>
      <protection locked="0"/>
    </xf>
    <xf numFmtId="0" fontId="85" fillId="9" borderId="0" xfId="0" applyFont="1" applyFill="1" applyAlignment="1" applyProtection="1">
      <alignment horizontal="right"/>
      <protection locked="0"/>
    </xf>
    <xf numFmtId="0" fontId="41" fillId="9" borderId="0" xfId="0" applyFont="1" applyFill="1" applyAlignment="1" applyProtection="1">
      <alignment horizontal="center"/>
      <protection locked="0"/>
    </xf>
    <xf numFmtId="0" fontId="85" fillId="9" borderId="0" xfId="0" quotePrefix="1" applyFont="1" applyFill="1" applyAlignment="1" applyProtection="1">
      <alignment horizontal="right"/>
      <protection locked="0"/>
    </xf>
    <xf numFmtId="0" fontId="41" fillId="9" borderId="0" xfId="0" applyFont="1" applyFill="1" applyAlignment="1" applyProtection="1">
      <alignment horizontal="left"/>
      <protection locked="0"/>
    </xf>
    <xf numFmtId="0" fontId="86" fillId="9" borderId="3" xfId="0" applyFont="1" applyFill="1" applyBorder="1" applyAlignment="1" applyProtection="1">
      <alignment horizontal="center" vertical="center"/>
      <protection locked="0"/>
    </xf>
    <xf numFmtId="0" fontId="27" fillId="9" borderId="3" xfId="0" applyFont="1" applyFill="1" applyBorder="1" applyAlignment="1" applyProtection="1">
      <alignment horizontal="center" vertical="center" wrapText="1"/>
      <protection locked="0"/>
    </xf>
    <xf numFmtId="0" fontId="86" fillId="9" borderId="3" xfId="0" applyFont="1" applyFill="1" applyBorder="1" applyAlignment="1" applyProtection="1">
      <alignment horizontal="center" vertical="center" wrapText="1"/>
      <protection locked="0"/>
    </xf>
    <xf numFmtId="0" fontId="85" fillId="9" borderId="0" xfId="0" applyFont="1" applyFill="1" applyAlignment="1" applyProtection="1">
      <alignment vertical="center"/>
      <protection locked="0"/>
    </xf>
    <xf numFmtId="0" fontId="85" fillId="9" borderId="3" xfId="0" applyFont="1" applyFill="1" applyBorder="1" applyAlignment="1" applyProtection="1">
      <alignment horizontal="center"/>
      <protection locked="0"/>
    </xf>
    <xf numFmtId="0" fontId="41" fillId="9" borderId="3" xfId="0" applyFont="1" applyFill="1" applyBorder="1" applyProtection="1">
      <protection locked="0"/>
    </xf>
    <xf numFmtId="0" fontId="85" fillId="9" borderId="3" xfId="0" applyFont="1" applyFill="1" applyBorder="1" applyProtection="1">
      <protection locked="0"/>
    </xf>
    <xf numFmtId="0" fontId="85" fillId="9" borderId="3" xfId="0" applyFont="1" applyFill="1" applyBorder="1" applyAlignment="1" applyProtection="1">
      <alignment vertical="center"/>
      <protection locked="0"/>
    </xf>
    <xf numFmtId="0" fontId="86" fillId="9" borderId="0" xfId="0" quotePrefix="1" applyFont="1" applyFill="1" applyAlignment="1" applyProtection="1">
      <alignment vertical="center"/>
      <protection locked="0"/>
    </xf>
    <xf numFmtId="0" fontId="85" fillId="9" borderId="0" xfId="0" applyFont="1" applyFill="1" applyAlignment="1" applyProtection="1">
      <protection locked="0"/>
    </xf>
    <xf numFmtId="0" fontId="85" fillId="9" borderId="0" xfId="0" applyFont="1" applyFill="1" applyAlignment="1" applyProtection="1">
      <alignment horizontal="center" vertical="center"/>
      <protection locked="0"/>
    </xf>
    <xf numFmtId="0" fontId="41" fillId="9" borderId="0" xfId="0" applyFont="1" applyFill="1" applyBorder="1" applyAlignment="1" applyProtection="1">
      <alignment horizontal="center"/>
      <protection locked="0"/>
    </xf>
    <xf numFmtId="0" fontId="85" fillId="9" borderId="3" xfId="0" applyFont="1" applyFill="1" applyBorder="1" applyAlignment="1" applyProtection="1">
      <alignment horizontal="right"/>
      <protection locked="0"/>
    </xf>
    <xf numFmtId="0" fontId="86" fillId="9" borderId="3" xfId="0" applyFont="1" applyFill="1" applyBorder="1" applyAlignment="1" applyProtection="1">
      <alignment horizontal="center"/>
      <protection locked="0"/>
    </xf>
    <xf numFmtId="0" fontId="86" fillId="9" borderId="3" xfId="0" applyFont="1" applyFill="1" applyBorder="1" applyAlignment="1" applyProtection="1">
      <alignment horizontal="right"/>
      <protection locked="0"/>
    </xf>
    <xf numFmtId="0" fontId="86" fillId="9" borderId="0" xfId="0" applyFont="1" applyFill="1" applyBorder="1" applyAlignment="1" applyProtection="1">
      <alignment horizontal="center"/>
      <protection locked="0"/>
    </xf>
    <xf numFmtId="0" fontId="86" fillId="9" borderId="0" xfId="0" applyFont="1" applyFill="1" applyBorder="1" applyAlignment="1" applyProtection="1">
      <alignment horizontal="right"/>
      <protection locked="0"/>
    </xf>
    <xf numFmtId="0" fontId="115" fillId="9" borderId="0" xfId="0" applyFont="1" applyFill="1" applyBorder="1" applyAlignment="1" applyProtection="1">
      <alignment horizontal="center" vertical="center"/>
      <protection locked="0"/>
    </xf>
    <xf numFmtId="0" fontId="112" fillId="9" borderId="0" xfId="0" applyFont="1" applyFill="1" applyAlignment="1" applyProtection="1">
      <alignment vertical="center"/>
      <protection locked="0"/>
    </xf>
    <xf numFmtId="0" fontId="85" fillId="9" borderId="3" xfId="0" applyFont="1" applyFill="1" applyBorder="1" applyAlignment="1" applyProtection="1">
      <alignment horizontal="center" vertical="center"/>
      <protection locked="0"/>
    </xf>
    <xf numFmtId="0" fontId="112" fillId="9" borderId="45" xfId="0" applyFont="1" applyFill="1" applyBorder="1" applyAlignment="1" applyProtection="1">
      <alignment horizontal="center"/>
      <protection locked="0"/>
    </xf>
    <xf numFmtId="0" fontId="112" fillId="9" borderId="28" xfId="0" applyFont="1" applyFill="1" applyBorder="1" applyAlignment="1" applyProtection="1">
      <alignment horizontal="center"/>
      <protection locked="0"/>
    </xf>
    <xf numFmtId="0" fontId="112" fillId="9" borderId="11" xfId="0" applyFont="1" applyFill="1" applyBorder="1" applyAlignment="1" applyProtection="1">
      <alignment horizontal="center"/>
      <protection locked="0"/>
    </xf>
    <xf numFmtId="0" fontId="85" fillId="9" borderId="44" xfId="0" applyFont="1" applyFill="1" applyBorder="1" applyAlignment="1" applyProtection="1">
      <alignment horizontal="center"/>
      <protection locked="0"/>
    </xf>
    <xf numFmtId="0" fontId="85" fillId="9" borderId="48" xfId="0" applyFont="1" applyFill="1" applyBorder="1" applyAlignment="1" applyProtection="1">
      <alignment horizontal="center"/>
      <protection locked="0"/>
    </xf>
    <xf numFmtId="0" fontId="85" fillId="9" borderId="11" xfId="0" applyFont="1" applyFill="1" applyBorder="1" applyAlignment="1" applyProtection="1">
      <alignment horizontal="center"/>
      <protection locked="0"/>
    </xf>
    <xf numFmtId="0" fontId="86" fillId="9" borderId="55" xfId="0" applyNumberFormat="1" applyFont="1" applyFill="1" applyBorder="1" applyAlignment="1" applyProtection="1">
      <alignment horizontal="center"/>
      <protection locked="0"/>
    </xf>
    <xf numFmtId="0" fontId="41" fillId="9" borderId="0" xfId="0" applyFont="1" applyFill="1" applyBorder="1" applyProtection="1">
      <protection locked="0"/>
    </xf>
    <xf numFmtId="0" fontId="86" fillId="9" borderId="90" xfId="0" applyNumberFormat="1" applyFont="1" applyFill="1" applyBorder="1" applyAlignment="1" applyProtection="1">
      <alignment horizontal="center" vertical="top"/>
      <protection locked="0"/>
    </xf>
    <xf numFmtId="0" fontId="41" fillId="9" borderId="0" xfId="0" applyFont="1" applyFill="1" applyAlignment="1" applyProtection="1">
      <alignment horizontal="center" vertical="top"/>
      <protection locked="0"/>
    </xf>
    <xf numFmtId="0" fontId="85" fillId="9" borderId="0" xfId="0" applyFont="1" applyFill="1" applyAlignment="1" applyProtection="1">
      <alignment horizontal="center" vertical="top"/>
      <protection locked="0"/>
    </xf>
    <xf numFmtId="0" fontId="114" fillId="9" borderId="0" xfId="0" applyFont="1" applyFill="1" applyAlignment="1" applyProtection="1">
      <alignment vertical="center"/>
      <protection locked="0"/>
    </xf>
    <xf numFmtId="0" fontId="57" fillId="0" borderId="3" xfId="0" applyFont="1" applyBorder="1" applyAlignment="1" applyProtection="1">
      <alignment horizontal="center" vertical="center"/>
      <protection hidden="1"/>
    </xf>
    <xf numFmtId="0" fontId="50" fillId="0" borderId="3" xfId="0" applyFont="1" applyFill="1" applyBorder="1" applyAlignment="1" applyProtection="1">
      <alignment horizontal="center" vertical="center"/>
      <protection hidden="1"/>
    </xf>
    <xf numFmtId="0" fontId="53" fillId="0" borderId="0" xfId="0" applyFont="1" applyAlignment="1" applyProtection="1">
      <alignment horizontal="left" wrapText="1"/>
      <protection hidden="1"/>
    </xf>
    <xf numFmtId="0" fontId="61" fillId="0" borderId="3" xfId="0" applyFont="1" applyBorder="1" applyAlignment="1" applyProtection="1">
      <alignment horizontal="center" vertical="center" wrapText="1"/>
      <protection hidden="1"/>
    </xf>
    <xf numFmtId="0" fontId="57" fillId="0" borderId="3" xfId="0" applyNumberFormat="1" applyFont="1" applyBorder="1" applyAlignment="1" applyProtection="1">
      <alignment horizontal="center" vertical="center"/>
      <protection hidden="1"/>
    </xf>
    <xf numFmtId="0" fontId="57" fillId="0" borderId="0" xfId="0" applyFont="1" applyAlignment="1" applyProtection="1">
      <alignment horizontal="center" vertical="center"/>
      <protection hidden="1"/>
    </xf>
    <xf numFmtId="0" fontId="53" fillId="0" borderId="0" xfId="0" applyFont="1" applyAlignment="1" applyProtection="1">
      <alignment horizontal="left" vertical="center"/>
      <protection hidden="1"/>
    </xf>
    <xf numFmtId="0" fontId="53" fillId="0" borderId="0" xfId="0" applyFont="1" applyAlignment="1" applyProtection="1">
      <alignment horizontal="center" vertical="center"/>
      <protection hidden="1"/>
    </xf>
    <xf numFmtId="0" fontId="53" fillId="0" borderId="0" xfId="0" applyFont="1" applyAlignment="1" applyProtection="1">
      <alignment horizontal="center"/>
      <protection hidden="1"/>
    </xf>
    <xf numFmtId="0" fontId="53" fillId="0" borderId="3" xfId="0" applyFont="1" applyBorder="1" applyAlignment="1" applyProtection="1">
      <alignment horizontal="center" wrapText="1"/>
      <protection hidden="1"/>
    </xf>
    <xf numFmtId="0" fontId="57" fillId="0" borderId="3" xfId="0" applyNumberFormat="1" applyFont="1" applyBorder="1" applyAlignment="1" applyProtection="1">
      <alignment horizontal="center" vertical="center" wrapText="1"/>
      <protection hidden="1"/>
    </xf>
    <xf numFmtId="0" fontId="86" fillId="0" borderId="0" xfId="0" applyFont="1" applyProtection="1">
      <protection hidden="1"/>
    </xf>
    <xf numFmtId="0" fontId="85" fillId="0" borderId="0" xfId="0" applyFont="1" applyProtection="1">
      <protection hidden="1"/>
    </xf>
    <xf numFmtId="0" fontId="85" fillId="0" borderId="0" xfId="0" quotePrefix="1" applyFont="1" applyProtection="1">
      <protection hidden="1"/>
    </xf>
    <xf numFmtId="0" fontId="85" fillId="0" borderId="0" xfId="0" quotePrefix="1" applyFont="1" applyAlignment="1" applyProtection="1">
      <alignment horizontal="center"/>
      <protection hidden="1"/>
    </xf>
    <xf numFmtId="0" fontId="85" fillId="0" borderId="0" xfId="0" applyFont="1" applyAlignment="1" applyProtection="1">
      <alignment horizontal="left"/>
      <protection hidden="1"/>
    </xf>
    <xf numFmtId="0" fontId="85" fillId="0" borderId="0" xfId="0" applyFont="1" applyAlignment="1" applyProtection="1">
      <alignment horizontal="center"/>
      <protection hidden="1"/>
    </xf>
    <xf numFmtId="0" fontId="85" fillId="0" borderId="0" xfId="0" applyFont="1" applyAlignment="1" applyProtection="1">
      <alignment horizontal="right"/>
      <protection hidden="1"/>
    </xf>
    <xf numFmtId="0" fontId="85" fillId="0" borderId="0" xfId="0" applyFont="1" applyAlignment="1" applyProtection="1">
      <protection hidden="1"/>
    </xf>
    <xf numFmtId="0" fontId="50" fillId="0" borderId="5" xfId="0" applyFont="1" applyFill="1" applyBorder="1" applyAlignment="1" applyProtection="1">
      <alignment horizontal="center" vertical="center" wrapText="1"/>
      <protection hidden="1"/>
    </xf>
    <xf numFmtId="0" fontId="88" fillId="0" borderId="3" xfId="0" applyFont="1" applyFill="1" applyBorder="1" applyAlignment="1" applyProtection="1">
      <alignment horizontal="center" vertical="center" wrapText="1"/>
      <protection hidden="1"/>
    </xf>
    <xf numFmtId="0" fontId="50" fillId="0" borderId="3" xfId="0" applyNumberFormat="1" applyFont="1" applyFill="1" applyBorder="1" applyAlignment="1" applyProtection="1">
      <alignment horizontal="center" vertical="center"/>
      <protection hidden="1"/>
    </xf>
    <xf numFmtId="2" fontId="50" fillId="0" borderId="3" xfId="0" applyNumberFormat="1" applyFont="1" applyFill="1" applyBorder="1" applyAlignment="1" applyProtection="1">
      <alignment horizontal="center" vertical="center"/>
      <protection hidden="1"/>
    </xf>
    <xf numFmtId="2" fontId="61" fillId="0" borderId="3" xfId="0" applyNumberFormat="1" applyFont="1" applyFill="1" applyBorder="1" applyAlignment="1" applyProtection="1">
      <alignment horizontal="center" vertical="center"/>
      <protection hidden="1"/>
    </xf>
    <xf numFmtId="2" fontId="85" fillId="0" borderId="0" xfId="0" applyNumberFormat="1" applyFont="1" applyProtection="1">
      <protection hidden="1"/>
    </xf>
    <xf numFmtId="0" fontId="85" fillId="0" borderId="3" xfId="0" applyFont="1" applyBorder="1" applyAlignment="1" applyProtection="1">
      <alignment horizontal="center"/>
      <protection hidden="1"/>
    </xf>
    <xf numFmtId="0" fontId="85" fillId="0" borderId="3" xfId="0" applyFont="1" applyBorder="1" applyProtection="1">
      <protection hidden="1"/>
    </xf>
    <xf numFmtId="1" fontId="50" fillId="0" borderId="3" xfId="0" applyNumberFormat="1" applyFont="1" applyFill="1" applyBorder="1" applyAlignment="1" applyProtection="1">
      <alignment vertical="center"/>
      <protection hidden="1"/>
    </xf>
    <xf numFmtId="0" fontId="61" fillId="0" borderId="3" xfId="0" applyFont="1" applyFill="1" applyBorder="1" applyAlignment="1" applyProtection="1">
      <alignment horizontal="center" vertical="center"/>
      <protection hidden="1"/>
    </xf>
    <xf numFmtId="0" fontId="61" fillId="0" borderId="3" xfId="0" applyFont="1" applyFill="1" applyBorder="1" applyAlignment="1" applyProtection="1">
      <alignment vertical="center"/>
      <protection hidden="1"/>
    </xf>
    <xf numFmtId="0" fontId="83" fillId="0" borderId="3" xfId="0" applyFont="1" applyFill="1" applyBorder="1" applyAlignment="1" applyProtection="1">
      <alignment horizontal="center" vertical="center"/>
      <protection hidden="1"/>
    </xf>
    <xf numFmtId="187" fontId="50" fillId="0" borderId="3" xfId="0" applyNumberFormat="1" applyFont="1" applyFill="1" applyBorder="1" applyAlignment="1" applyProtection="1">
      <alignment horizontal="right" vertical="center"/>
      <protection hidden="1"/>
    </xf>
    <xf numFmtId="4" fontId="50" fillId="0" borderId="3" xfId="0" applyNumberFormat="1" applyFont="1" applyFill="1" applyBorder="1" applyAlignment="1" applyProtection="1">
      <alignment vertical="center"/>
      <protection hidden="1"/>
    </xf>
    <xf numFmtId="187" fontId="50" fillId="0" borderId="3" xfId="0" applyNumberFormat="1" applyFont="1" applyFill="1" applyBorder="1" applyAlignment="1" applyProtection="1">
      <alignment vertical="center"/>
      <protection hidden="1"/>
    </xf>
    <xf numFmtId="0" fontId="86" fillId="0" borderId="0" xfId="0" quotePrefix="1" applyFont="1" applyProtection="1">
      <protection hidden="1"/>
    </xf>
    <xf numFmtId="0" fontId="41" fillId="0" borderId="0" xfId="0" applyFont="1" applyProtection="1">
      <protection hidden="1"/>
    </xf>
    <xf numFmtId="0" fontId="98" fillId="0" borderId="0" xfId="0" applyFont="1" applyProtection="1">
      <protection hidden="1"/>
    </xf>
    <xf numFmtId="0" fontId="86" fillId="0" borderId="0" xfId="0" quotePrefix="1" applyFont="1" applyAlignment="1" applyProtection="1">
      <alignment horizontal="center"/>
      <protection hidden="1"/>
    </xf>
    <xf numFmtId="2" fontId="85" fillId="0" borderId="0" xfId="0" applyNumberFormat="1" applyFont="1" applyAlignment="1" applyProtection="1">
      <alignment horizontal="right"/>
      <protection hidden="1"/>
    </xf>
    <xf numFmtId="3" fontId="85" fillId="0" borderId="0" xfId="0" applyNumberFormat="1" applyFont="1" applyAlignment="1" applyProtection="1">
      <alignment horizontal="center"/>
      <protection hidden="1"/>
    </xf>
    <xf numFmtId="4" fontId="85" fillId="0" borderId="0" xfId="0" applyNumberFormat="1" applyFont="1" applyAlignment="1" applyProtection="1">
      <alignment horizontal="left"/>
      <protection hidden="1"/>
    </xf>
    <xf numFmtId="0" fontId="85" fillId="0" borderId="0" xfId="0" applyFont="1" applyAlignment="1" applyProtection="1">
      <alignment horizontal="center" vertical="center"/>
      <protection hidden="1"/>
    </xf>
    <xf numFmtId="0" fontId="86" fillId="0" borderId="0" xfId="0" applyFont="1" applyAlignment="1" applyProtection="1">
      <alignment horizontal="left" vertical="center"/>
      <protection hidden="1"/>
    </xf>
    <xf numFmtId="0" fontId="102" fillId="0" borderId="3" xfId="0" applyFont="1" applyFill="1" applyBorder="1" applyAlignment="1" applyProtection="1">
      <alignment horizontal="center" vertical="center" wrapText="1"/>
      <protection hidden="1"/>
    </xf>
    <xf numFmtId="0" fontId="50" fillId="0" borderId="0" xfId="0" applyFont="1" applyAlignment="1" applyProtection="1">
      <alignment wrapText="1"/>
      <protection hidden="1"/>
    </xf>
    <xf numFmtId="0" fontId="50" fillId="0" borderId="0" xfId="0" applyFont="1" applyAlignment="1" applyProtection="1">
      <alignment horizontal="center" wrapText="1"/>
      <protection hidden="1"/>
    </xf>
    <xf numFmtId="0" fontId="50" fillId="0" borderId="3" xfId="0" applyFont="1" applyFill="1" applyBorder="1" applyAlignment="1" applyProtection="1">
      <alignment horizontal="left" vertical="center"/>
      <protection hidden="1"/>
    </xf>
    <xf numFmtId="0" fontId="85" fillId="0" borderId="0" xfId="0" applyFont="1" applyBorder="1" applyProtection="1">
      <protection hidden="1"/>
    </xf>
    <xf numFmtId="0" fontId="50" fillId="0" borderId="3" xfId="0" applyFont="1" applyFill="1" applyBorder="1" applyAlignment="1" applyProtection="1">
      <alignment horizontal="left" vertical="center" wrapText="1"/>
      <protection hidden="1"/>
    </xf>
    <xf numFmtId="0" fontId="50" fillId="0" borderId="0" xfId="0" applyFont="1" applyFill="1" applyProtection="1">
      <protection hidden="1"/>
    </xf>
    <xf numFmtId="1" fontId="61" fillId="0" borderId="3" xfId="0" applyNumberFormat="1" applyFont="1" applyFill="1" applyBorder="1" applyAlignment="1" applyProtection="1">
      <alignment horizontal="center" vertical="center"/>
      <protection hidden="1"/>
    </xf>
    <xf numFmtId="0" fontId="60" fillId="6" borderId="5" xfId="0" applyFont="1" applyFill="1" applyBorder="1" applyAlignment="1" applyProtection="1">
      <alignment horizontal="center" vertical="center"/>
      <protection locked="0"/>
    </xf>
    <xf numFmtId="0" fontId="55" fillId="0" borderId="0" xfId="0" applyFont="1" applyProtection="1">
      <protection hidden="1"/>
    </xf>
    <xf numFmtId="0" fontId="57" fillId="0" borderId="3" xfId="0" applyFont="1" applyBorder="1" applyAlignment="1" applyProtection="1">
      <alignment horizontal="center"/>
      <protection hidden="1"/>
    </xf>
    <xf numFmtId="0" fontId="3" fillId="0" borderId="3" xfId="1" applyFont="1" applyFill="1" applyBorder="1" applyAlignment="1" applyProtection="1">
      <alignment horizontal="center"/>
      <protection hidden="1"/>
    </xf>
    <xf numFmtId="0" fontId="53" fillId="0" borderId="0" xfId="0" applyFont="1" applyFill="1" applyBorder="1" applyAlignment="1" applyProtection="1">
      <alignment horizontal="center" wrapText="1"/>
      <protection hidden="1"/>
    </xf>
    <xf numFmtId="0" fontId="2" fillId="0" borderId="3" xfId="1" applyFont="1" applyFill="1" applyBorder="1" applyAlignment="1" applyProtection="1">
      <alignment horizontal="center"/>
      <protection hidden="1"/>
    </xf>
    <xf numFmtId="0" fontId="66" fillId="0" borderId="0" xfId="0" applyFont="1" applyBorder="1" applyProtection="1">
      <protection hidden="1"/>
    </xf>
    <xf numFmtId="0" fontId="53" fillId="0" borderId="0" xfId="0" applyFont="1" applyBorder="1" applyProtection="1">
      <protection hidden="1"/>
    </xf>
    <xf numFmtId="0" fontId="53" fillId="0" borderId="0" xfId="0" applyFont="1" applyBorder="1" applyAlignment="1" applyProtection="1">
      <alignment horizontal="center" wrapText="1"/>
      <protection hidden="1"/>
    </xf>
    <xf numFmtId="0" fontId="57" fillId="0" borderId="3" xfId="0" applyNumberFormat="1" applyFont="1" applyBorder="1" applyAlignment="1" applyProtection="1">
      <alignment horizontal="center" vertical="center" wrapText="1"/>
      <protection hidden="1"/>
    </xf>
    <xf numFmtId="0" fontId="58" fillId="0" borderId="3" xfId="0" applyNumberFormat="1" applyFont="1" applyBorder="1" applyAlignment="1" applyProtection="1">
      <alignment horizontal="center" vertical="center"/>
      <protection hidden="1"/>
    </xf>
    <xf numFmtId="0" fontId="53" fillId="0" borderId="3" xfId="0" applyFont="1" applyBorder="1" applyAlignment="1" applyProtection="1">
      <alignment horizontal="center" wrapText="1"/>
      <protection hidden="1"/>
    </xf>
    <xf numFmtId="0" fontId="50" fillId="0" borderId="3" xfId="0" applyFont="1" applyFill="1" applyBorder="1" applyAlignment="1" applyProtection="1">
      <alignment horizontal="center" vertical="center"/>
      <protection hidden="1"/>
    </xf>
    <xf numFmtId="0" fontId="53" fillId="0" borderId="0" xfId="0" applyFont="1" applyAlignment="1" applyProtection="1">
      <alignment horizontal="center"/>
      <protection hidden="1"/>
    </xf>
    <xf numFmtId="4" fontId="50" fillId="0" borderId="53" xfId="0" applyNumberFormat="1" applyFont="1" applyBorder="1" applyAlignment="1" applyProtection="1">
      <alignment horizontal="center" vertical="center" wrapText="1"/>
      <protection hidden="1"/>
    </xf>
    <xf numFmtId="4" fontId="50" fillId="0" borderId="33" xfId="0" applyNumberFormat="1" applyFont="1" applyBorder="1" applyAlignment="1" applyProtection="1">
      <alignment horizontal="center" vertical="center" wrapText="1"/>
      <protection hidden="1"/>
    </xf>
    <xf numFmtId="4" fontId="88" fillId="0" borderId="3" xfId="0" applyNumberFormat="1" applyFont="1" applyFill="1" applyBorder="1" applyAlignment="1" applyProtection="1">
      <alignment horizontal="center" vertical="center"/>
      <protection hidden="1"/>
    </xf>
    <xf numFmtId="0" fontId="50" fillId="0" borderId="45" xfId="0" applyFont="1" applyBorder="1" applyAlignment="1" applyProtection="1">
      <alignment horizontal="center" vertical="center"/>
      <protection hidden="1"/>
    </xf>
    <xf numFmtId="0" fontId="50" fillId="0" borderId="11" xfId="0" applyFont="1" applyBorder="1" applyAlignment="1" applyProtection="1">
      <alignment horizontal="center" vertical="center"/>
      <protection hidden="1"/>
    </xf>
    <xf numFmtId="0" fontId="61" fillId="0" borderId="45" xfId="0" applyFont="1" applyBorder="1" applyAlignment="1" applyProtection="1">
      <alignment horizontal="center" vertical="center"/>
      <protection hidden="1"/>
    </xf>
    <xf numFmtId="0" fontId="61" fillId="0" borderId="11" xfId="0" applyFont="1" applyBorder="1" applyAlignment="1" applyProtection="1">
      <alignment horizontal="center" vertical="center"/>
      <protection hidden="1"/>
    </xf>
    <xf numFmtId="0" fontId="61" fillId="0" borderId="5" xfId="0" applyFont="1" applyBorder="1" applyAlignment="1" applyProtection="1">
      <alignment horizontal="center" vertical="center" wrapText="1"/>
      <protection hidden="1"/>
    </xf>
    <xf numFmtId="0" fontId="61" fillId="0" borderId="3" xfId="0" applyFont="1" applyBorder="1" applyAlignment="1" applyProtection="1">
      <alignment horizontal="center"/>
      <protection hidden="1"/>
    </xf>
    <xf numFmtId="0" fontId="61" fillId="0" borderId="3" xfId="0" applyFont="1" applyBorder="1" applyAlignment="1" applyProtection="1">
      <alignment horizontal="center" vertical="center" wrapText="1"/>
      <protection hidden="1"/>
    </xf>
    <xf numFmtId="0" fontId="61" fillId="0" borderId="3" xfId="0" applyFont="1" applyBorder="1" applyAlignment="1" applyProtection="1">
      <alignment horizontal="center" vertical="center"/>
      <protection hidden="1"/>
    </xf>
    <xf numFmtId="0" fontId="61" fillId="0" borderId="5" xfId="0" applyFont="1" applyFill="1" applyBorder="1" applyAlignment="1" applyProtection="1">
      <alignment horizontal="center" vertical="center" wrapText="1"/>
      <protection hidden="1"/>
    </xf>
    <xf numFmtId="0" fontId="61" fillId="0" borderId="2" xfId="0" applyFont="1" applyFill="1" applyBorder="1" applyAlignment="1" applyProtection="1">
      <alignment horizontal="center" vertical="center" wrapText="1"/>
      <protection hidden="1"/>
    </xf>
    <xf numFmtId="0" fontId="61" fillId="0" borderId="44" xfId="0" applyFont="1" applyFill="1" applyBorder="1" applyAlignment="1" applyProtection="1">
      <alignment horizontal="center" vertical="center" wrapText="1"/>
      <protection hidden="1"/>
    </xf>
    <xf numFmtId="0" fontId="53" fillId="0" borderId="0" xfId="0" quotePrefix="1"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3" fillId="0" borderId="0" xfId="0" applyFont="1" applyAlignment="1" applyProtection="1">
      <alignment horizontal="left" vertical="center"/>
      <protection hidden="1"/>
    </xf>
    <xf numFmtId="0" fontId="57" fillId="0" borderId="0" xfId="0" applyFont="1" applyAlignment="1" applyProtection="1">
      <alignment horizontal="center" vertical="center"/>
      <protection hidden="1"/>
    </xf>
    <xf numFmtId="0" fontId="53" fillId="0" borderId="0" xfId="0" quotePrefix="1" applyFont="1" applyAlignment="1" applyProtection="1">
      <alignment horizontal="right" vertical="center"/>
      <protection hidden="1"/>
    </xf>
    <xf numFmtId="0" fontId="53" fillId="0" borderId="0" xfId="0" applyFont="1" applyAlignment="1" applyProtection="1">
      <alignment horizontal="right" vertical="center"/>
      <protection hidden="1"/>
    </xf>
    <xf numFmtId="0" fontId="83" fillId="0" borderId="0" xfId="0" applyFont="1" applyAlignment="1" applyProtection="1">
      <alignment horizontal="center" vertical="center"/>
      <protection hidden="1"/>
    </xf>
    <xf numFmtId="0" fontId="53" fillId="0" borderId="0" xfId="0" applyFont="1" applyAlignment="1" applyProtection="1">
      <alignment horizontal="left" vertical="top" wrapText="1"/>
      <protection hidden="1"/>
    </xf>
    <xf numFmtId="0" fontId="53" fillId="0" borderId="0" xfId="0" applyFont="1" applyAlignment="1" applyProtection="1">
      <alignment horizontal="left" vertical="top"/>
      <protection hidden="1"/>
    </xf>
    <xf numFmtId="0" fontId="50" fillId="0" borderId="45" xfId="0" applyFont="1" applyBorder="1" applyAlignment="1" applyProtection="1">
      <alignment horizontal="center" vertical="center" wrapText="1"/>
      <protection hidden="1"/>
    </xf>
    <xf numFmtId="0" fontId="50" fillId="0" borderId="11" xfId="0" applyFont="1" applyBorder="1" applyAlignment="1" applyProtection="1">
      <alignment horizontal="center" vertical="center" wrapText="1"/>
      <protection hidden="1"/>
    </xf>
    <xf numFmtId="0" fontId="85" fillId="0" borderId="45" xfId="0" applyFont="1" applyBorder="1" applyAlignment="1" applyProtection="1">
      <alignment horizontal="center" vertical="center"/>
      <protection hidden="1"/>
    </xf>
    <xf numFmtId="0" fontId="85" fillId="0" borderId="11" xfId="0" applyFont="1" applyBorder="1" applyAlignment="1" applyProtection="1">
      <alignment horizontal="center" vertical="center"/>
      <protection hidden="1"/>
    </xf>
    <xf numFmtId="0" fontId="53" fillId="0" borderId="0" xfId="0" quotePrefix="1" applyFont="1" applyAlignment="1" applyProtection="1">
      <alignment horizontal="left" vertical="top" wrapText="1"/>
      <protection hidden="1"/>
    </xf>
    <xf numFmtId="0" fontId="53" fillId="0" borderId="55" xfId="0" quotePrefix="1" applyFont="1" applyBorder="1" applyAlignment="1" applyProtection="1">
      <alignment horizontal="left" vertical="top" wrapText="1"/>
      <protection hidden="1"/>
    </xf>
    <xf numFmtId="0" fontId="53" fillId="0" borderId="5" xfId="0" applyFont="1" applyFill="1" applyBorder="1" applyAlignment="1" applyProtection="1">
      <alignment horizontal="left" vertical="center"/>
      <protection hidden="1"/>
    </xf>
    <xf numFmtId="0" fontId="53" fillId="0" borderId="44" xfId="0" applyFont="1" applyFill="1" applyBorder="1" applyAlignment="1" applyProtection="1">
      <alignment horizontal="left" vertical="center"/>
      <protection hidden="1"/>
    </xf>
    <xf numFmtId="0" fontId="54" fillId="0" borderId="3" xfId="0" applyFont="1" applyFill="1" applyBorder="1" applyAlignment="1" applyProtection="1">
      <alignment horizontal="left" vertical="center"/>
      <protection hidden="1"/>
    </xf>
    <xf numFmtId="0" fontId="53" fillId="0" borderId="3" xfId="0" applyFont="1" applyFill="1" applyBorder="1" applyAlignment="1" applyProtection="1">
      <alignment horizontal="left" vertical="center"/>
      <protection hidden="1"/>
    </xf>
    <xf numFmtId="0" fontId="56" fillId="0" borderId="0" xfId="0" applyFont="1" applyBorder="1" applyAlignment="1" applyProtection="1">
      <alignment horizontal="center" vertical="center"/>
      <protection hidden="1"/>
    </xf>
    <xf numFmtId="0" fontId="57" fillId="0" borderId="3" xfId="0" applyNumberFormat="1" applyFont="1" applyBorder="1" applyAlignment="1" applyProtection="1">
      <alignment horizontal="center" vertical="center"/>
      <protection hidden="1"/>
    </xf>
    <xf numFmtId="0" fontId="57" fillId="0" borderId="3" xfId="0" applyFont="1" applyBorder="1" applyAlignment="1" applyProtection="1">
      <alignment horizontal="center" vertical="center" wrapText="1"/>
      <protection hidden="1"/>
    </xf>
    <xf numFmtId="0" fontId="57" fillId="0" borderId="3" xfId="0" applyFont="1" applyBorder="1" applyAlignment="1" applyProtection="1">
      <alignment horizontal="center" vertical="center"/>
      <protection hidden="1"/>
    </xf>
    <xf numFmtId="0" fontId="61" fillId="9" borderId="3" xfId="0" applyFont="1" applyFill="1" applyBorder="1" applyAlignment="1" applyProtection="1">
      <alignment horizontal="left" vertical="center"/>
      <protection hidden="1"/>
    </xf>
    <xf numFmtId="0" fontId="61" fillId="9" borderId="3" xfId="0" applyFont="1" applyFill="1" applyBorder="1" applyAlignment="1" applyProtection="1">
      <alignment vertical="center"/>
      <protection hidden="1"/>
    </xf>
    <xf numFmtId="0" fontId="67" fillId="0" borderId="0" xfId="0" quotePrefix="1" applyFont="1" applyAlignment="1" applyProtection="1">
      <alignment horizontal="right"/>
      <protection hidden="1"/>
    </xf>
    <xf numFmtId="0" fontId="61" fillId="9" borderId="3" xfId="0" applyFont="1" applyFill="1" applyBorder="1" applyAlignment="1" applyProtection="1">
      <alignment horizontal="center" vertical="center" wrapText="1"/>
      <protection hidden="1"/>
    </xf>
    <xf numFmtId="0" fontId="61" fillId="9" borderId="3" xfId="0" applyFont="1" applyFill="1" applyBorder="1" applyAlignment="1" applyProtection="1">
      <alignment horizontal="center" vertical="center"/>
      <protection hidden="1"/>
    </xf>
    <xf numFmtId="4" fontId="50" fillId="0" borderId="5" xfId="0" applyNumberFormat="1" applyFont="1" applyBorder="1" applyAlignment="1" applyProtection="1">
      <alignment horizontal="center" vertical="center" wrapText="1"/>
      <protection hidden="1"/>
    </xf>
    <xf numFmtId="0" fontId="53" fillId="0" borderId="0" xfId="0" applyFont="1" applyAlignment="1" applyProtection="1">
      <alignment horizontal="left" wrapText="1"/>
      <protection hidden="1"/>
    </xf>
    <xf numFmtId="0" fontId="71" fillId="0" borderId="3" xfId="0" applyFont="1" applyBorder="1" applyAlignment="1" applyProtection="1">
      <alignment horizontal="center" vertical="center"/>
      <protection hidden="1"/>
    </xf>
    <xf numFmtId="0" fontId="58" fillId="0" borderId="3" xfId="0" applyFont="1" applyBorder="1" applyAlignment="1" applyProtection="1">
      <alignment horizontal="center" vertical="center"/>
      <protection hidden="1"/>
    </xf>
    <xf numFmtId="0" fontId="102" fillId="0" borderId="45" xfId="0" applyFont="1" applyFill="1" applyBorder="1" applyAlignment="1" applyProtection="1">
      <alignment horizontal="center" vertical="center" wrapText="1"/>
      <protection hidden="1"/>
    </xf>
    <xf numFmtId="0" fontId="102" fillId="0" borderId="11" xfId="0" applyFont="1" applyFill="1" applyBorder="1" applyAlignment="1" applyProtection="1">
      <alignment horizontal="center" vertical="center" wrapText="1"/>
      <protection hidden="1"/>
    </xf>
    <xf numFmtId="4" fontId="61" fillId="0" borderId="3" xfId="0" applyNumberFormat="1" applyFont="1" applyBorder="1" applyAlignment="1" applyProtection="1">
      <alignment horizontal="center" vertical="center" wrapText="1"/>
      <protection hidden="1"/>
    </xf>
    <xf numFmtId="189" fontId="102" fillId="0" borderId="5" xfId="0" applyNumberFormat="1" applyFont="1" applyFill="1" applyBorder="1" applyAlignment="1" applyProtection="1">
      <alignment horizontal="center" vertical="center" wrapText="1"/>
      <protection hidden="1"/>
    </xf>
    <xf numFmtId="189" fontId="102" fillId="0" borderId="44" xfId="0" applyNumberFormat="1" applyFont="1" applyFill="1" applyBorder="1" applyAlignment="1" applyProtection="1">
      <alignment horizontal="center" vertical="center" wrapText="1"/>
      <protection hidden="1"/>
    </xf>
    <xf numFmtId="10" fontId="88" fillId="0" borderId="45" xfId="0" applyNumberFormat="1" applyFont="1" applyFill="1" applyBorder="1" applyAlignment="1" applyProtection="1">
      <alignment horizontal="center" vertical="center" wrapText="1"/>
      <protection hidden="1"/>
    </xf>
    <xf numFmtId="10" fontId="88" fillId="0" borderId="11" xfId="0" applyNumberFormat="1" applyFont="1" applyFill="1" applyBorder="1" applyAlignment="1" applyProtection="1">
      <alignment horizontal="center" vertical="center" wrapText="1"/>
      <protection hidden="1"/>
    </xf>
    <xf numFmtId="10" fontId="88" fillId="0" borderId="3" xfId="0" applyNumberFormat="1" applyFont="1" applyFill="1" applyBorder="1" applyAlignment="1" applyProtection="1">
      <alignment horizontal="center" vertical="center" wrapText="1"/>
      <protection hidden="1"/>
    </xf>
    <xf numFmtId="0" fontId="50" fillId="0" borderId="3" xfId="0" applyFont="1" applyBorder="1" applyAlignment="1" applyProtection="1">
      <alignment horizontal="center" vertical="center" wrapText="1"/>
      <protection hidden="1"/>
    </xf>
    <xf numFmtId="0" fontId="102" fillId="0" borderId="3" xfId="0" applyFont="1" applyFill="1" applyBorder="1" applyAlignment="1" applyProtection="1">
      <alignment horizontal="center" vertical="center" wrapText="1"/>
      <protection hidden="1"/>
    </xf>
    <xf numFmtId="0" fontId="61" fillId="0" borderId="45" xfId="0" applyFont="1" applyBorder="1" applyAlignment="1" applyProtection="1">
      <alignment horizontal="center" vertical="center" wrapText="1"/>
      <protection hidden="1"/>
    </xf>
    <xf numFmtId="0" fontId="61" fillId="0" borderId="28" xfId="0" applyFont="1" applyBorder="1" applyAlignment="1" applyProtection="1">
      <alignment horizontal="center" vertical="center" wrapText="1"/>
      <protection hidden="1"/>
    </xf>
    <xf numFmtId="0" fontId="61" fillId="0" borderId="11" xfId="0" applyFont="1" applyBorder="1" applyAlignment="1" applyProtection="1">
      <alignment horizontal="center" vertical="center" wrapText="1"/>
      <protection hidden="1"/>
    </xf>
    <xf numFmtId="0" fontId="101" fillId="0" borderId="3" xfId="0" applyFont="1" applyFill="1" applyBorder="1" applyAlignment="1" applyProtection="1">
      <alignment horizontal="center" vertical="center" wrapText="1"/>
      <protection hidden="1"/>
    </xf>
    <xf numFmtId="0" fontId="61" fillId="0" borderId="3" xfId="0" applyFont="1" applyFill="1" applyBorder="1" applyAlignment="1" applyProtection="1">
      <alignment horizontal="center" vertical="center"/>
      <protection hidden="1"/>
    </xf>
    <xf numFmtId="0" fontId="61" fillId="0" borderId="3" xfId="0" applyFont="1" applyFill="1" applyBorder="1" applyAlignment="1" applyProtection="1">
      <alignment horizontal="center" vertical="center" wrapText="1"/>
      <protection hidden="1"/>
    </xf>
    <xf numFmtId="4" fontId="88" fillId="0" borderId="45" xfId="0" applyNumberFormat="1" applyFont="1" applyFill="1" applyBorder="1" applyAlignment="1" applyProtection="1">
      <alignment horizontal="center" vertical="center" wrapText="1"/>
      <protection hidden="1"/>
    </xf>
    <xf numFmtId="4" fontId="88" fillId="0" borderId="11" xfId="0" applyNumberFormat="1" applyFont="1" applyFill="1" applyBorder="1" applyAlignment="1" applyProtection="1">
      <alignment horizontal="center" vertical="center" wrapText="1"/>
      <protection hidden="1"/>
    </xf>
    <xf numFmtId="0" fontId="88" fillId="0" borderId="45" xfId="0" applyFont="1" applyFill="1" applyBorder="1" applyAlignment="1" applyProtection="1">
      <alignment horizontal="center" vertical="center" wrapText="1"/>
      <protection hidden="1"/>
    </xf>
    <xf numFmtId="0" fontId="88" fillId="0" borderId="11" xfId="0" applyFont="1" applyFill="1" applyBorder="1" applyAlignment="1" applyProtection="1">
      <alignment horizontal="center" vertical="center" wrapText="1"/>
      <protection hidden="1"/>
    </xf>
    <xf numFmtId="0" fontId="88" fillId="0" borderId="45" xfId="0" applyNumberFormat="1" applyFont="1" applyFill="1" applyBorder="1" applyAlignment="1" applyProtection="1">
      <alignment horizontal="center" vertical="center" wrapText="1"/>
      <protection hidden="1"/>
    </xf>
    <xf numFmtId="0" fontId="88" fillId="0" borderId="11" xfId="0" applyNumberFormat="1" applyFont="1" applyFill="1" applyBorder="1" applyAlignment="1" applyProtection="1">
      <alignment horizontal="center" vertical="center" wrapText="1"/>
      <protection hidden="1"/>
    </xf>
    <xf numFmtId="2" fontId="50" fillId="0" borderId="3" xfId="0" applyNumberFormat="1" applyFont="1" applyFill="1" applyBorder="1" applyAlignment="1" applyProtection="1">
      <alignment horizontal="center" vertical="center"/>
      <protection hidden="1"/>
    </xf>
    <xf numFmtId="1" fontId="50" fillId="0" borderId="3" xfId="0" applyNumberFormat="1" applyFont="1" applyFill="1" applyBorder="1" applyAlignment="1" applyProtection="1">
      <alignment horizontal="center" vertical="center"/>
      <protection hidden="1"/>
    </xf>
    <xf numFmtId="0" fontId="102" fillId="0" borderId="3" xfId="0" applyFont="1" applyFill="1" applyBorder="1" applyAlignment="1" applyProtection="1">
      <alignment horizontal="center" vertical="center"/>
      <protection hidden="1"/>
    </xf>
    <xf numFmtId="2" fontId="88" fillId="0" borderId="45" xfId="0" applyNumberFormat="1" applyFont="1" applyFill="1" applyBorder="1" applyAlignment="1" applyProtection="1">
      <alignment horizontal="center" vertical="center" wrapText="1"/>
      <protection hidden="1"/>
    </xf>
    <xf numFmtId="2" fontId="88" fillId="0" borderId="11" xfId="0" applyNumberFormat="1" applyFont="1" applyFill="1" applyBorder="1" applyAlignment="1" applyProtection="1">
      <alignment horizontal="center" vertical="center" wrapText="1"/>
      <protection hidden="1"/>
    </xf>
    <xf numFmtId="186" fontId="88" fillId="0" borderId="45" xfId="0" applyNumberFormat="1" applyFont="1" applyFill="1" applyBorder="1" applyAlignment="1" applyProtection="1">
      <alignment horizontal="center" vertical="center" wrapText="1"/>
      <protection hidden="1"/>
    </xf>
    <xf numFmtId="186" fontId="88" fillId="0" borderId="11" xfId="0" applyNumberFormat="1" applyFont="1" applyFill="1" applyBorder="1" applyAlignment="1" applyProtection="1">
      <alignment horizontal="center" vertical="center" wrapText="1"/>
      <protection hidden="1"/>
    </xf>
    <xf numFmtId="0" fontId="102" fillId="0" borderId="45" xfId="0" applyFont="1" applyFill="1" applyBorder="1" applyAlignment="1" applyProtection="1">
      <alignment horizontal="center" vertical="distributed" wrapText="1"/>
      <protection hidden="1"/>
    </xf>
    <xf numFmtId="0" fontId="102" fillId="0" borderId="11" xfId="0" applyFont="1" applyFill="1" applyBorder="1" applyAlignment="1" applyProtection="1">
      <alignment horizontal="center" vertical="distributed" wrapText="1"/>
      <protection hidden="1"/>
    </xf>
    <xf numFmtId="1" fontId="88" fillId="0" borderId="45" xfId="0" applyNumberFormat="1" applyFont="1" applyFill="1" applyBorder="1" applyAlignment="1" applyProtection="1">
      <alignment horizontal="center" vertical="center" wrapText="1"/>
      <protection hidden="1"/>
    </xf>
    <xf numFmtId="1" fontId="88" fillId="0" borderId="11" xfId="0" applyNumberFormat="1" applyFont="1" applyFill="1" applyBorder="1" applyAlignment="1" applyProtection="1">
      <alignment horizontal="center" vertical="center" wrapText="1"/>
      <protection hidden="1"/>
    </xf>
    <xf numFmtId="0" fontId="102" fillId="0" borderId="53" xfId="0" applyFont="1" applyFill="1" applyBorder="1" applyAlignment="1" applyProtection="1">
      <alignment horizontal="center" vertical="center" wrapText="1"/>
      <protection hidden="1"/>
    </xf>
    <xf numFmtId="0" fontId="102" fillId="0" borderId="50" xfId="0" applyFont="1" applyFill="1" applyBorder="1" applyAlignment="1" applyProtection="1">
      <alignment horizontal="center" vertical="center" wrapText="1"/>
      <protection hidden="1"/>
    </xf>
    <xf numFmtId="0" fontId="50" fillId="0" borderId="3" xfId="0" applyNumberFormat="1" applyFont="1" applyFill="1" applyBorder="1" applyAlignment="1" applyProtection="1">
      <alignment horizontal="center" vertical="center"/>
      <protection hidden="1"/>
    </xf>
    <xf numFmtId="0" fontId="50" fillId="0" borderId="53" xfId="0" applyFont="1" applyFill="1" applyBorder="1" applyAlignment="1" applyProtection="1">
      <alignment horizontal="left" vertical="center"/>
      <protection hidden="1"/>
    </xf>
    <xf numFmtId="0" fontId="50" fillId="0" borderId="90" xfId="0" applyFont="1" applyFill="1" applyBorder="1" applyAlignment="1" applyProtection="1">
      <alignment horizontal="left" vertical="center"/>
      <protection hidden="1"/>
    </xf>
    <xf numFmtId="0" fontId="50" fillId="0" borderId="49" xfId="0" applyFont="1" applyFill="1" applyBorder="1" applyAlignment="1" applyProtection="1">
      <alignment horizontal="left" vertical="center"/>
      <protection hidden="1"/>
    </xf>
    <xf numFmtId="2" fontId="53" fillId="0" borderId="3" xfId="0" applyNumberFormat="1" applyFont="1" applyFill="1" applyBorder="1" applyAlignment="1" applyProtection="1">
      <alignment horizontal="center" vertical="center"/>
      <protection hidden="1"/>
    </xf>
    <xf numFmtId="0" fontId="50" fillId="0" borderId="3" xfId="0" applyFont="1" applyFill="1" applyBorder="1" applyAlignment="1" applyProtection="1">
      <alignment horizontal="left" vertical="center"/>
      <protection hidden="1"/>
    </xf>
    <xf numFmtId="0" fontId="102" fillId="0" borderId="5" xfId="0" applyFont="1" applyFill="1" applyBorder="1" applyAlignment="1" applyProtection="1">
      <alignment horizontal="center" vertical="center"/>
      <protection hidden="1"/>
    </xf>
    <xf numFmtId="0" fontId="102" fillId="0" borderId="2" xfId="0" applyFont="1" applyFill="1" applyBorder="1" applyAlignment="1" applyProtection="1">
      <alignment horizontal="center" vertical="center"/>
      <protection hidden="1"/>
    </xf>
    <xf numFmtId="0" fontId="102" fillId="0" borderId="44" xfId="0" applyFont="1" applyFill="1" applyBorder="1" applyAlignment="1" applyProtection="1">
      <alignment horizontal="center" vertical="center"/>
      <protection hidden="1"/>
    </xf>
    <xf numFmtId="0" fontId="85" fillId="0" borderId="0" xfId="0" applyFont="1" applyAlignment="1" applyProtection="1">
      <alignment horizontal="right"/>
      <protection hidden="1"/>
    </xf>
    <xf numFmtId="0" fontId="85" fillId="0" borderId="0" xfId="0" applyFont="1" applyAlignment="1" applyProtection="1">
      <alignment horizontal="center"/>
      <protection hidden="1"/>
    </xf>
    <xf numFmtId="0" fontId="85" fillId="0" borderId="0" xfId="0" applyFont="1" applyAlignment="1" applyProtection="1">
      <alignment horizontal="left"/>
      <protection hidden="1"/>
    </xf>
    <xf numFmtId="0" fontId="86" fillId="0" borderId="0" xfId="0" applyFont="1" applyAlignment="1" applyProtection="1">
      <alignment horizontal="left"/>
      <protection hidden="1"/>
    </xf>
    <xf numFmtId="0" fontId="85" fillId="0" borderId="0" xfId="0" applyFont="1" applyAlignment="1" applyProtection="1">
      <alignment horizontal="left" vertical="center"/>
      <protection hidden="1"/>
    </xf>
    <xf numFmtId="0" fontId="85" fillId="0" borderId="0" xfId="0" applyFont="1" applyAlignment="1" applyProtection="1">
      <alignment horizontal="right" vertical="center"/>
      <protection hidden="1"/>
    </xf>
    <xf numFmtId="0" fontId="41" fillId="0" borderId="0" xfId="0" applyFont="1" applyAlignment="1" applyProtection="1">
      <alignment horizontal="left" vertical="top" wrapText="1"/>
      <protection hidden="1"/>
    </xf>
    <xf numFmtId="0" fontId="50" fillId="0" borderId="3" xfId="0" applyFont="1" applyFill="1" applyBorder="1" applyAlignment="1" applyProtection="1">
      <alignment horizontal="center" vertical="center" wrapText="1"/>
      <protection hidden="1"/>
    </xf>
    <xf numFmtId="0" fontId="85" fillId="0" borderId="3" xfId="0" applyFont="1" applyBorder="1" applyAlignment="1" applyProtection="1">
      <alignment horizontal="left"/>
      <protection hidden="1"/>
    </xf>
    <xf numFmtId="0" fontId="85" fillId="9" borderId="3" xfId="0" applyFont="1" applyFill="1" applyBorder="1" applyAlignment="1" applyProtection="1">
      <alignment horizontal="center"/>
      <protection locked="0"/>
    </xf>
    <xf numFmtId="0" fontId="85" fillId="9" borderId="3" xfId="0" applyFont="1" applyFill="1" applyBorder="1" applyAlignment="1" applyProtection="1">
      <alignment horizontal="center" vertical="center"/>
      <protection locked="0"/>
    </xf>
    <xf numFmtId="0" fontId="114" fillId="9" borderId="0" xfId="0" applyFont="1" applyFill="1" applyAlignment="1" applyProtection="1">
      <alignment horizontal="center"/>
      <protection locked="0"/>
    </xf>
    <xf numFmtId="0" fontId="86" fillId="9" borderId="3" xfId="0" applyFont="1" applyFill="1" applyBorder="1" applyAlignment="1" applyProtection="1">
      <alignment horizontal="center" vertical="center" wrapText="1"/>
      <protection locked="0"/>
    </xf>
    <xf numFmtId="0" fontId="85" fillId="9" borderId="45" xfId="0" applyFont="1" applyFill="1" applyBorder="1" applyAlignment="1" applyProtection="1">
      <alignment horizontal="center" vertical="center"/>
      <protection locked="0"/>
    </xf>
    <xf numFmtId="0" fontId="85" fillId="9" borderId="28" xfId="0" applyFont="1" applyFill="1" applyBorder="1" applyAlignment="1" applyProtection="1">
      <alignment horizontal="center" vertical="center"/>
      <protection locked="0"/>
    </xf>
    <xf numFmtId="0" fontId="85" fillId="9" borderId="11" xfId="0" applyFont="1" applyFill="1" applyBorder="1" applyAlignment="1" applyProtection="1">
      <alignment horizontal="center" vertical="center"/>
      <protection locked="0"/>
    </xf>
    <xf numFmtId="0" fontId="115" fillId="9" borderId="49" xfId="0" applyFont="1" applyFill="1" applyBorder="1" applyAlignment="1" applyProtection="1">
      <alignment horizontal="center" vertical="center"/>
      <protection locked="0"/>
    </xf>
    <xf numFmtId="0" fontId="115" fillId="9" borderId="95" xfId="0" applyFont="1" applyFill="1" applyBorder="1" applyAlignment="1" applyProtection="1">
      <alignment horizontal="center" vertical="center"/>
      <protection locked="0"/>
    </xf>
    <xf numFmtId="0" fontId="115" fillId="9" borderId="48" xfId="0" applyFont="1" applyFill="1" applyBorder="1" applyAlignment="1" applyProtection="1">
      <alignment horizontal="center" vertical="center"/>
      <protection locked="0"/>
    </xf>
    <xf numFmtId="0" fontId="113" fillId="9" borderId="0" xfId="0" applyFont="1" applyFill="1" applyAlignment="1" applyProtection="1">
      <alignment horizontal="center" vertical="center"/>
      <protection locked="0"/>
    </xf>
    <xf numFmtId="0" fontId="2" fillId="4" borderId="54" xfId="1" applyFont="1" applyFill="1" applyBorder="1" applyAlignment="1" applyProtection="1">
      <alignment horizontal="center"/>
      <protection hidden="1"/>
    </xf>
    <xf numFmtId="0" fontId="2" fillId="4" borderId="11" xfId="1" applyFont="1" applyFill="1" applyBorder="1" applyAlignment="1" applyProtection="1">
      <alignment horizontal="center"/>
      <protection hidden="1"/>
    </xf>
    <xf numFmtId="0" fontId="2" fillId="4" borderId="42" xfId="1" applyFont="1" applyFill="1" applyBorder="1" applyAlignment="1" applyProtection="1">
      <alignment horizontal="center"/>
      <protection hidden="1"/>
    </xf>
    <xf numFmtId="0" fontId="2" fillId="4" borderId="3" xfId="1" applyFont="1" applyFill="1" applyBorder="1" applyAlignment="1" applyProtection="1">
      <alignment horizontal="center"/>
      <protection hidden="1"/>
    </xf>
    <xf numFmtId="0" fontId="2" fillId="4" borderId="16" xfId="1" applyFont="1" applyFill="1" applyBorder="1" applyAlignment="1" applyProtection="1">
      <alignment horizontal="center"/>
      <protection hidden="1"/>
    </xf>
    <xf numFmtId="0" fontId="2" fillId="4" borderId="12" xfId="1" applyFont="1" applyFill="1" applyBorder="1" applyAlignment="1" applyProtection="1">
      <alignment horizontal="center"/>
      <protection hidden="1"/>
    </xf>
    <xf numFmtId="0" fontId="3" fillId="4" borderId="8" xfId="1" applyFont="1" applyFill="1" applyBorder="1" applyAlignment="1" applyProtection="1">
      <alignment horizontal="center" vertical="center" wrapText="1"/>
      <protection hidden="1"/>
    </xf>
    <xf numFmtId="0" fontId="3" fillId="4" borderId="25" xfId="1" applyFont="1" applyFill="1" applyBorder="1" applyAlignment="1" applyProtection="1">
      <alignment horizontal="center" vertical="center" wrapText="1"/>
      <protection hidden="1"/>
    </xf>
    <xf numFmtId="0" fontId="3" fillId="4" borderId="17" xfId="1" applyFont="1" applyFill="1" applyBorder="1" applyAlignment="1" applyProtection="1">
      <alignment horizontal="center" vertical="center" wrapText="1"/>
      <protection hidden="1"/>
    </xf>
    <xf numFmtId="0" fontId="3" fillId="4" borderId="26" xfId="1" applyFont="1" applyFill="1" applyBorder="1" applyAlignment="1" applyProtection="1">
      <alignment horizontal="center" vertical="center" wrapText="1"/>
      <protection hidden="1"/>
    </xf>
    <xf numFmtId="0" fontId="2" fillId="2" borderId="51" xfId="1" applyFont="1" applyFill="1" applyBorder="1" applyAlignment="1" applyProtection="1">
      <alignment horizontal="center"/>
      <protection hidden="1"/>
    </xf>
    <xf numFmtId="0" fontId="2" fillId="2" borderId="4" xfId="1" applyFont="1" applyFill="1" applyBorder="1" applyAlignment="1" applyProtection="1">
      <alignment horizontal="center"/>
      <protection hidden="1"/>
    </xf>
    <xf numFmtId="0" fontId="2" fillId="2" borderId="20" xfId="1" applyFont="1" applyFill="1" applyBorder="1" applyAlignment="1" applyProtection="1">
      <alignment horizontal="center"/>
      <protection hidden="1"/>
    </xf>
    <xf numFmtId="0" fontId="2" fillId="2" borderId="33" xfId="1" applyFont="1" applyFill="1" applyBorder="1" applyAlignment="1" applyProtection="1">
      <alignment horizontal="center"/>
      <protection hidden="1"/>
    </xf>
    <xf numFmtId="0" fontId="2" fillId="2" borderId="0" xfId="1" applyFont="1" applyFill="1" applyBorder="1" applyAlignment="1" applyProtection="1">
      <alignment horizontal="center"/>
      <protection hidden="1"/>
    </xf>
    <xf numFmtId="0" fontId="2" fillId="2" borderId="18" xfId="1" applyFont="1" applyFill="1" applyBorder="1" applyAlignment="1" applyProtection="1">
      <alignment horizontal="center"/>
      <protection hidden="1"/>
    </xf>
    <xf numFmtId="0" fontId="49" fillId="4" borderId="39" xfId="1" applyFont="1" applyFill="1" applyBorder="1" applyAlignment="1" applyProtection="1">
      <alignment horizontal="center"/>
      <protection hidden="1"/>
    </xf>
    <xf numFmtId="0" fontId="49" fillId="4" borderId="40" xfId="1" applyFont="1" applyFill="1" applyBorder="1" applyAlignment="1" applyProtection="1">
      <alignment horizontal="center"/>
      <protection hidden="1"/>
    </xf>
    <xf numFmtId="0" fontId="49" fillId="4" borderId="41" xfId="1" applyFont="1" applyFill="1" applyBorder="1" applyAlignment="1" applyProtection="1">
      <alignment horizontal="center"/>
      <protection hidden="1"/>
    </xf>
    <xf numFmtId="0" fontId="49" fillId="2" borderId="0" xfId="1" applyFont="1" applyFill="1" applyAlignment="1" applyProtection="1">
      <alignment horizontal="center"/>
      <protection hidden="1"/>
    </xf>
    <xf numFmtId="0" fontId="3" fillId="4" borderId="35" xfId="1" applyFont="1" applyFill="1" applyBorder="1" applyAlignment="1" applyProtection="1">
      <alignment horizontal="center" wrapText="1"/>
      <protection hidden="1"/>
    </xf>
    <xf numFmtId="0" fontId="3" fillId="4" borderId="23" xfId="1" applyFont="1" applyFill="1" applyBorder="1" applyAlignment="1" applyProtection="1">
      <alignment horizontal="center" wrapText="1"/>
      <protection hidden="1"/>
    </xf>
    <xf numFmtId="0" fontId="3" fillId="4" borderId="16" xfId="1" applyFont="1" applyFill="1" applyBorder="1" applyAlignment="1" applyProtection="1">
      <alignment horizontal="center" wrapText="1"/>
      <protection hidden="1"/>
    </xf>
    <xf numFmtId="0" fontId="3" fillId="4" borderId="12" xfId="1" applyFont="1" applyFill="1" applyBorder="1" applyAlignment="1" applyProtection="1">
      <alignment horizontal="center" wrapText="1"/>
      <protection hidden="1"/>
    </xf>
    <xf numFmtId="0" fontId="50" fillId="0" borderId="7" xfId="0" applyFont="1" applyBorder="1" applyAlignment="1">
      <alignment horizontal="center"/>
    </xf>
    <xf numFmtId="0" fontId="50" fillId="0" borderId="0" xfId="0" applyFont="1" applyBorder="1" applyAlignment="1">
      <alignment horizontal="center"/>
    </xf>
    <xf numFmtId="0" fontId="61" fillId="0" borderId="24" xfId="0" applyFont="1" applyBorder="1" applyAlignment="1" applyProtection="1">
      <alignment horizontal="center" vertical="center"/>
      <protection hidden="1"/>
    </xf>
    <xf numFmtId="0" fontId="61" fillId="0" borderId="9" xfId="0" applyFont="1" applyBorder="1" applyAlignment="1" applyProtection="1">
      <alignment horizontal="center" vertical="center"/>
      <protection hidden="1"/>
    </xf>
    <xf numFmtId="0" fontId="61" fillId="0" borderId="46" xfId="0" applyFont="1" applyBorder="1" applyAlignment="1" applyProtection="1">
      <alignment horizontal="center" vertical="center" wrapText="1"/>
      <protection hidden="1"/>
    </xf>
    <xf numFmtId="0" fontId="61" fillId="0" borderId="29" xfId="0" applyFont="1" applyBorder="1" applyAlignment="1" applyProtection="1">
      <alignment horizontal="center" vertical="center" wrapText="1"/>
      <protection hidden="1"/>
    </xf>
    <xf numFmtId="0" fontId="61" fillId="0" borderId="31" xfId="0" applyFont="1" applyBorder="1" applyAlignment="1" applyProtection="1">
      <alignment horizontal="center" vertical="center" wrapText="1"/>
      <protection hidden="1"/>
    </xf>
    <xf numFmtId="0" fontId="61" fillId="0" borderId="94" xfId="0" applyFont="1" applyBorder="1" applyAlignment="1" applyProtection="1">
      <alignment horizontal="center" vertical="center" wrapText="1"/>
      <protection hidden="1"/>
    </xf>
    <xf numFmtId="0" fontId="50" fillId="0" borderId="3" xfId="0" applyFont="1" applyBorder="1" applyAlignment="1" applyProtection="1">
      <alignment horizontal="center" vertical="center"/>
      <protection hidden="1"/>
    </xf>
    <xf numFmtId="0" fontId="61" fillId="0" borderId="23" xfId="0" applyFont="1" applyBorder="1" applyAlignment="1" applyProtection="1">
      <alignment horizontal="center" vertical="center"/>
      <protection hidden="1"/>
    </xf>
    <xf numFmtId="0" fontId="40" fillId="0" borderId="89" xfId="0" applyFont="1" applyBorder="1" applyAlignment="1" applyProtection="1">
      <alignment horizontal="center" vertical="center"/>
      <protection hidden="1"/>
    </xf>
    <xf numFmtId="0" fontId="40" fillId="0" borderId="2" xfId="0" applyFont="1" applyBorder="1" applyAlignment="1" applyProtection="1">
      <alignment horizontal="center" vertical="center"/>
      <protection hidden="1"/>
    </xf>
    <xf numFmtId="0" fontId="40" fillId="0" borderId="44" xfId="0" applyFont="1" applyBorder="1" applyAlignment="1" applyProtection="1">
      <alignment horizontal="center" vertical="center"/>
      <protection hidden="1"/>
    </xf>
    <xf numFmtId="0" fontId="40" fillId="0" borderId="87" xfId="0" applyFont="1" applyBorder="1" applyAlignment="1" applyProtection="1">
      <alignment horizontal="center" vertical="center"/>
      <protection hidden="1"/>
    </xf>
    <xf numFmtId="0" fontId="40" fillId="0" borderId="88" xfId="0" applyFont="1" applyBorder="1" applyAlignment="1" applyProtection="1">
      <alignment horizontal="center" vertical="center"/>
      <protection hidden="1"/>
    </xf>
    <xf numFmtId="0" fontId="40" fillId="0" borderId="67" xfId="0" applyFont="1" applyBorder="1" applyAlignment="1" applyProtection="1">
      <alignment horizontal="center" vertical="center"/>
      <protection hidden="1"/>
    </xf>
    <xf numFmtId="0" fontId="24" fillId="0" borderId="85" xfId="0" applyFont="1" applyBorder="1" applyAlignment="1" applyProtection="1">
      <alignment horizontal="center" vertical="center"/>
      <protection hidden="1"/>
    </xf>
    <xf numFmtId="0" fontId="24" fillId="0" borderId="0" xfId="0" applyFont="1" applyBorder="1" applyAlignment="1" applyProtection="1">
      <alignment horizontal="center" vertical="center"/>
      <protection hidden="1"/>
    </xf>
    <xf numFmtId="0" fontId="24" fillId="0" borderId="86" xfId="0" applyFont="1" applyBorder="1" applyAlignment="1" applyProtection="1">
      <alignment horizontal="center" vertical="center"/>
      <protection hidden="1"/>
    </xf>
    <xf numFmtId="0" fontId="40" fillId="0" borderId="78" xfId="0" applyFont="1" applyBorder="1" applyAlignment="1" applyProtection="1">
      <alignment horizontal="center" vertical="center"/>
      <protection hidden="1"/>
    </xf>
    <xf numFmtId="0" fontId="40" fillId="0" borderId="72" xfId="0" applyFont="1" applyBorder="1" applyAlignment="1" applyProtection="1">
      <alignment horizontal="center" vertical="center"/>
      <protection hidden="1"/>
    </xf>
    <xf numFmtId="0" fontId="40" fillId="0" borderId="66" xfId="0" applyFont="1" applyBorder="1" applyAlignment="1" applyProtection="1">
      <alignment horizontal="center" vertical="center"/>
      <protection hidden="1"/>
    </xf>
    <xf numFmtId="0" fontId="40" fillId="0" borderId="61" xfId="0" applyFont="1" applyBorder="1" applyAlignment="1" applyProtection="1">
      <alignment horizontal="center" vertical="center"/>
      <protection hidden="1"/>
    </xf>
    <xf numFmtId="0" fontId="40" fillId="0" borderId="62" xfId="0" applyFont="1" applyBorder="1" applyAlignment="1" applyProtection="1">
      <alignment horizontal="center" vertical="center"/>
      <protection hidden="1"/>
    </xf>
    <xf numFmtId="0" fontId="40" fillId="0" borderId="65" xfId="0" applyFont="1" applyBorder="1" applyAlignment="1" applyProtection="1">
      <alignment horizontal="center" vertical="center"/>
      <protection hidden="1"/>
    </xf>
    <xf numFmtId="0" fontId="40" fillId="0" borderId="58" xfId="0" applyFont="1" applyBorder="1" applyAlignment="1" applyProtection="1">
      <alignment horizontal="center" vertical="center"/>
      <protection hidden="1"/>
    </xf>
    <xf numFmtId="0" fontId="40" fillId="0" borderId="62" xfId="0" applyFont="1" applyBorder="1" applyAlignment="1" applyProtection="1">
      <alignment horizontal="center" vertical="center" wrapText="1"/>
      <protection hidden="1"/>
    </xf>
    <xf numFmtId="0" fontId="52" fillId="0" borderId="62" xfId="0" applyFont="1" applyBorder="1" applyAlignment="1" applyProtection="1">
      <alignment horizontal="center" vertical="center"/>
      <protection hidden="1"/>
    </xf>
    <xf numFmtId="0" fontId="52" fillId="0" borderId="71" xfId="0" applyFont="1" applyBorder="1" applyAlignment="1" applyProtection="1">
      <alignment horizontal="center" vertical="center"/>
      <protection hidden="1"/>
    </xf>
    <xf numFmtId="0" fontId="52" fillId="0" borderId="61" xfId="0" applyFont="1" applyBorder="1" applyAlignment="1" applyProtection="1">
      <alignment horizontal="center" vertical="center"/>
      <protection hidden="1"/>
    </xf>
    <xf numFmtId="0" fontId="52" fillId="0" borderId="63" xfId="0" applyFont="1" applyBorder="1" applyAlignment="1" applyProtection="1">
      <alignment horizontal="center" vertical="center"/>
      <protection hidden="1"/>
    </xf>
    <xf numFmtId="0" fontId="24" fillId="0" borderId="91" xfId="0" applyFont="1" applyBorder="1" applyAlignment="1" applyProtection="1">
      <alignment horizontal="center" vertical="center"/>
      <protection hidden="1"/>
    </xf>
    <xf numFmtId="0" fontId="24" fillId="0" borderId="92" xfId="0" applyFont="1" applyBorder="1" applyAlignment="1" applyProtection="1">
      <alignment horizontal="center" vertical="center"/>
      <protection hidden="1"/>
    </xf>
    <xf numFmtId="164" fontId="26" fillId="0" borderId="64" xfId="0" applyNumberFormat="1" applyFont="1" applyBorder="1" applyAlignment="1" applyProtection="1">
      <alignment horizontal="center" vertical="center"/>
      <protection hidden="1"/>
    </xf>
    <xf numFmtId="0" fontId="26" fillId="0" borderId="3" xfId="0" applyFont="1" applyBorder="1" applyAlignment="1" applyProtection="1">
      <alignment horizontal="center" vertical="center" wrapText="1"/>
      <protection hidden="1"/>
    </xf>
    <xf numFmtId="0" fontId="26" fillId="0" borderId="3" xfId="0" applyFont="1" applyBorder="1" applyAlignment="1" applyProtection="1">
      <alignment horizontal="center" vertical="center"/>
      <protection hidden="1"/>
    </xf>
    <xf numFmtId="0" fontId="26" fillId="0" borderId="64" xfId="0" applyFont="1" applyBorder="1" applyAlignment="1" applyProtection="1">
      <alignment horizontal="center" vertical="center"/>
      <protection hidden="1"/>
    </xf>
    <xf numFmtId="0" fontId="26" fillId="0" borderId="65" xfId="0" applyFont="1" applyBorder="1" applyAlignment="1" applyProtection="1">
      <alignment horizontal="center" vertical="center"/>
      <protection hidden="1"/>
    </xf>
    <xf numFmtId="0" fontId="26" fillId="0" borderId="58" xfId="0" applyFont="1" applyBorder="1" applyAlignment="1" applyProtection="1">
      <alignment horizontal="center" vertical="center"/>
      <protection hidden="1"/>
    </xf>
    <xf numFmtId="0" fontId="50" fillId="0" borderId="93" xfId="0" applyFont="1" applyBorder="1" applyAlignment="1" applyProtection="1">
      <alignment horizontal="center"/>
      <protection hidden="1"/>
    </xf>
    <xf numFmtId="0" fontId="50" fillId="0" borderId="32" xfId="0" applyFont="1" applyBorder="1" applyAlignment="1" applyProtection="1">
      <alignment horizontal="center"/>
      <protection hidden="1"/>
    </xf>
    <xf numFmtId="0" fontId="50" fillId="0" borderId="54" xfId="0" applyFont="1" applyBorder="1" applyAlignment="1" applyProtection="1">
      <alignment horizontal="center"/>
      <protection hidden="1"/>
    </xf>
    <xf numFmtId="0" fontId="94" fillId="0" borderId="23" xfId="0" applyFont="1" applyBorder="1" applyAlignment="1" applyProtection="1">
      <alignment horizontal="center" vertical="center"/>
      <protection hidden="1"/>
    </xf>
    <xf numFmtId="0" fontId="94" fillId="0" borderId="3"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67" xfId="0" applyFont="1" applyBorder="1" applyAlignment="1" applyProtection="1">
      <alignment horizontal="center" vertical="center"/>
      <protection hidden="1"/>
    </xf>
    <xf numFmtId="0" fontId="105" fillId="0" borderId="62" xfId="0" applyFont="1" applyBorder="1" applyAlignment="1" applyProtection="1">
      <alignment horizontal="center" vertical="center" wrapText="1"/>
      <protection hidden="1"/>
    </xf>
    <xf numFmtId="0" fontId="105" fillId="0" borderId="3" xfId="0" applyFont="1" applyBorder="1" applyAlignment="1" applyProtection="1">
      <alignment horizontal="center" vertical="center"/>
      <protection hidden="1"/>
    </xf>
    <xf numFmtId="0" fontId="24" fillId="0" borderId="62" xfId="0" applyFont="1" applyBorder="1" applyAlignment="1" applyProtection="1">
      <alignment horizontal="center" vertical="center"/>
      <protection hidden="1"/>
    </xf>
    <xf numFmtId="0" fontId="24" fillId="0" borderId="63"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1" fillId="0" borderId="78" xfId="0" applyFont="1" applyBorder="1" applyAlignment="1" applyProtection="1">
      <alignment horizontal="center" vertical="center"/>
      <protection hidden="1"/>
    </xf>
    <xf numFmtId="0" fontId="51" fillId="0" borderId="72" xfId="0" applyFont="1" applyBorder="1" applyAlignment="1" applyProtection="1">
      <alignment horizontal="center" vertical="center"/>
      <protection hidden="1"/>
    </xf>
    <xf numFmtId="0" fontId="51" fillId="0" borderId="73" xfId="0" applyFont="1" applyBorder="1" applyAlignment="1" applyProtection="1">
      <alignment horizontal="center" vertical="center"/>
      <protection hidden="1"/>
    </xf>
    <xf numFmtId="0" fontId="0" fillId="0" borderId="79" xfId="0" applyBorder="1" applyAlignment="1" applyProtection="1">
      <alignment horizontal="center" vertical="center" wrapText="1"/>
      <protection hidden="1"/>
    </xf>
    <xf numFmtId="0" fontId="0" fillId="0" borderId="70" xfId="0" applyBorder="1" applyAlignment="1" applyProtection="1">
      <alignment horizontal="center" vertical="center" wrapText="1"/>
      <protection hidden="1"/>
    </xf>
    <xf numFmtId="0" fontId="0" fillId="0" borderId="5" xfId="0" applyBorder="1" applyAlignment="1" applyProtection="1">
      <alignment horizontal="center" vertical="center" wrapText="1"/>
      <protection hidden="1"/>
    </xf>
    <xf numFmtId="0" fontId="0" fillId="0" borderId="2" xfId="0" applyBorder="1" applyAlignment="1" applyProtection="1">
      <alignment horizontal="center" vertical="center" wrapText="1"/>
      <protection hidden="1"/>
    </xf>
    <xf numFmtId="0" fontId="0" fillId="0" borderId="44" xfId="0" applyBorder="1" applyAlignment="1" applyProtection="1">
      <alignment horizontal="center" vertical="center" wrapText="1"/>
      <protection hidden="1"/>
    </xf>
    <xf numFmtId="0" fontId="0" fillId="0" borderId="53" xfId="0" applyBorder="1" applyAlignment="1" applyProtection="1">
      <alignment horizontal="center" vertical="top" wrapText="1"/>
      <protection hidden="1"/>
    </xf>
    <xf numFmtId="0" fontId="0" fillId="0" borderId="49" xfId="0" applyBorder="1" applyAlignment="1" applyProtection="1">
      <alignment horizontal="center" vertical="top"/>
      <protection hidden="1"/>
    </xf>
    <xf numFmtId="0" fontId="0" fillId="0" borderId="50" xfId="0" applyBorder="1" applyAlignment="1" applyProtection="1">
      <alignment horizontal="center" vertical="top"/>
      <protection hidden="1"/>
    </xf>
    <xf numFmtId="0" fontId="0" fillId="0" borderId="48" xfId="0" applyBorder="1" applyAlignment="1" applyProtection="1">
      <alignment horizontal="center" vertical="top"/>
      <protection hidden="1"/>
    </xf>
    <xf numFmtId="0" fontId="0" fillId="0" borderId="80" xfId="0" applyBorder="1" applyAlignment="1" applyProtection="1">
      <alignment horizontal="center" vertical="center" wrapText="1"/>
      <protection hidden="1"/>
    </xf>
    <xf numFmtId="0" fontId="0" fillId="0" borderId="81" xfId="0" applyBorder="1" applyAlignment="1" applyProtection="1">
      <alignment horizontal="center" vertical="center"/>
      <protection hidden="1"/>
    </xf>
    <xf numFmtId="0" fontId="5" fillId="0" borderId="5" xfId="0" applyFont="1" applyBorder="1" applyAlignment="1" applyProtection="1">
      <alignment horizontal="center" vertical="center" wrapText="1"/>
      <protection hidden="1"/>
    </xf>
    <xf numFmtId="0" fontId="5" fillId="0" borderId="44" xfId="0" applyFont="1" applyBorder="1" applyAlignment="1" applyProtection="1">
      <alignment horizontal="center" vertical="center" wrapText="1"/>
      <protection hidden="1"/>
    </xf>
    <xf numFmtId="0" fontId="52" fillId="0" borderId="69" xfId="0" applyFont="1" applyBorder="1" applyAlignment="1" applyProtection="1">
      <alignment horizontal="center" vertical="center" wrapText="1"/>
      <protection hidden="1"/>
    </xf>
    <xf numFmtId="0" fontId="52" fillId="0" borderId="70" xfId="0" applyFont="1" applyBorder="1" applyAlignment="1" applyProtection="1">
      <alignment horizontal="center" vertical="center"/>
      <protection hidden="1"/>
    </xf>
    <xf numFmtId="0" fontId="42" fillId="0" borderId="71" xfId="0" applyFont="1" applyBorder="1" applyAlignment="1" applyProtection="1">
      <alignment horizontal="center" vertical="center"/>
      <protection hidden="1"/>
    </xf>
    <xf numFmtId="0" fontId="42" fillId="0" borderId="72" xfId="0" applyFont="1" applyBorder="1" applyAlignment="1" applyProtection="1">
      <alignment horizontal="center" vertical="center"/>
      <protection hidden="1"/>
    </xf>
    <xf numFmtId="0" fontId="42" fillId="0" borderId="73" xfId="0" applyFont="1" applyBorder="1" applyAlignment="1" applyProtection="1">
      <alignment horizontal="center" vertical="center"/>
      <protection hidden="1"/>
    </xf>
    <xf numFmtId="0" fontId="42" fillId="0" borderId="8" xfId="0" applyFont="1" applyBorder="1" applyAlignment="1" applyProtection="1">
      <alignment horizontal="center" vertical="center" wrapText="1"/>
      <protection hidden="1"/>
    </xf>
    <xf numFmtId="0" fontId="42" fillId="0" borderId="7" xfId="0" applyFont="1" applyBorder="1" applyAlignment="1" applyProtection="1">
      <alignment horizontal="center" vertical="center" wrapText="1"/>
      <protection hidden="1"/>
    </xf>
    <xf numFmtId="0" fontId="42" fillId="0" borderId="19" xfId="0" applyFont="1" applyBorder="1" applyAlignment="1" applyProtection="1">
      <alignment horizontal="center" vertical="center" wrapText="1"/>
      <protection hidden="1"/>
    </xf>
    <xf numFmtId="0" fontId="42" fillId="0" borderId="17" xfId="0" applyFont="1" applyBorder="1" applyAlignment="1" applyProtection="1">
      <alignment horizontal="center" vertical="center" wrapText="1"/>
      <protection hidden="1"/>
    </xf>
    <xf numFmtId="0" fontId="42" fillId="0" borderId="4" xfId="0" applyFont="1" applyBorder="1" applyAlignment="1" applyProtection="1">
      <alignment horizontal="center" vertical="center" wrapText="1"/>
      <protection hidden="1"/>
    </xf>
    <xf numFmtId="0" fontId="42" fillId="0" borderId="20" xfId="0" applyFont="1" applyBorder="1" applyAlignment="1" applyProtection="1">
      <alignment horizontal="center" vertical="center" wrapText="1"/>
      <protection hidden="1"/>
    </xf>
    <xf numFmtId="0" fontId="42" fillId="0" borderId="43" xfId="0" applyFont="1" applyBorder="1" applyAlignment="1" applyProtection="1">
      <alignment horizontal="center" vertical="center" wrapText="1"/>
      <protection hidden="1"/>
    </xf>
    <xf numFmtId="0" fontId="42" fillId="0" borderId="40" xfId="0" applyFont="1" applyBorder="1" applyAlignment="1" applyProtection="1">
      <alignment horizontal="center" vertical="center" wrapText="1"/>
      <protection hidden="1"/>
    </xf>
    <xf numFmtId="0" fontId="42" fillId="0" borderId="41" xfId="0" applyFont="1" applyBorder="1" applyAlignment="1" applyProtection="1">
      <alignment horizontal="center" vertical="center" wrapText="1"/>
      <protection hidden="1"/>
    </xf>
    <xf numFmtId="1" fontId="78" fillId="0" borderId="52" xfId="0" applyNumberFormat="1" applyFont="1" applyBorder="1" applyAlignment="1" applyProtection="1">
      <alignment horizontal="center" vertical="center" wrapText="1"/>
      <protection hidden="1"/>
    </xf>
    <xf numFmtId="1" fontId="78" fillId="0" borderId="54" xfId="0" applyNumberFormat="1" applyFont="1" applyBorder="1" applyAlignment="1" applyProtection="1">
      <alignment horizontal="center" vertical="center" wrapText="1"/>
      <protection hidden="1"/>
    </xf>
    <xf numFmtId="0" fontId="52" fillId="0" borderId="5" xfId="0" applyFont="1" applyBorder="1" applyAlignment="1" applyProtection="1">
      <alignment horizontal="center"/>
      <protection hidden="1"/>
    </xf>
    <xf numFmtId="0" fontId="52" fillId="0" borderId="2" xfId="0" applyFont="1" applyBorder="1" applyAlignment="1" applyProtection="1">
      <alignment horizontal="center"/>
      <protection hidden="1"/>
    </xf>
    <xf numFmtId="0" fontId="52" fillId="0" borderId="47" xfId="0" applyFont="1" applyBorder="1" applyAlignment="1" applyProtection="1">
      <alignment horizontal="center"/>
      <protection hidden="1"/>
    </xf>
  </cellXfs>
  <cellStyles count="72">
    <cellStyle name="??" xfId="2"/>
    <cellStyle name="?? [0.00]_PRODUCT DETAIL Q1" xfId="3"/>
    <cellStyle name="?? [0]" xfId="4"/>
    <cellStyle name="?_x001d_??%U©÷u&amp;H©÷9_x0008_?_x0009_s_x000a__x0007__x0001__x0001_" xfId="5"/>
    <cellStyle name="???? [0.00]_PRODUCT DETAIL Q1" xfId="6"/>
    <cellStyle name="????_PRODUCT DETAIL Q1" xfId="7"/>
    <cellStyle name="???[0]_Book1" xfId="8"/>
    <cellStyle name="???_95" xfId="9"/>
    <cellStyle name="??_(????)??????" xfId="10"/>
    <cellStyle name="??A? [0]_ÿÿÿÿÿÿ_1_¢¬???¢â? " xfId="11"/>
    <cellStyle name="??A?_ÿÿÿÿÿÿ_1_¢¬???¢â? " xfId="12"/>
    <cellStyle name="?¡±¢¥?_?¨ù??¢´¢¥_¢¬???¢â? " xfId="13"/>
    <cellStyle name="?ðÇ%U?&amp;H?_x0008_?s_x000a__x0007__x0001__x0001_" xfId="14"/>
    <cellStyle name="AeE­ [0]_INQUIRY ¿μ¾÷AßAø " xfId="15"/>
    <cellStyle name="AeE­_INQUIRY ¿µ¾÷AßAø " xfId="16"/>
    <cellStyle name="ÄÞ¸¶ [0]_1" xfId="17"/>
    <cellStyle name="AÞ¸¶ [0]_INQUIRY ¿?¾÷AßAø " xfId="18"/>
    <cellStyle name="ÄÞ¸¶_1" xfId="19"/>
    <cellStyle name="AÞ¸¶_INQUIRY ¿?¾÷AßAø " xfId="20"/>
    <cellStyle name="C?AØ_¿?¾÷CoE² " xfId="21"/>
    <cellStyle name="C￥AØ_¿μ¾÷CoE² " xfId="22"/>
    <cellStyle name="Ç¥ÁØ_ÿÿÿÿÿÿ_4_ÃÑÇÕ°è " xfId="23"/>
    <cellStyle name="category" xfId="24"/>
    <cellStyle name="Comma 2" xfId="25"/>
    <cellStyle name="Comma0" xfId="26"/>
    <cellStyle name="Currency0" xfId="27"/>
    <cellStyle name="Date" xfId="28"/>
    <cellStyle name="Fixed" xfId="29"/>
    <cellStyle name="Grey" xfId="30"/>
    <cellStyle name="Group" xfId="31"/>
    <cellStyle name="HEADER" xfId="32"/>
    <cellStyle name="Header1" xfId="33"/>
    <cellStyle name="Header2" xfId="34"/>
    <cellStyle name="Heading 1 2" xfId="35"/>
    <cellStyle name="Heading 2 2" xfId="36"/>
    <cellStyle name="Input [yellow]" xfId="37"/>
    <cellStyle name="Model" xfId="38"/>
    <cellStyle name="n" xfId="39"/>
    <cellStyle name="Normal" xfId="0" builtinId="0"/>
    <cellStyle name="Normal - Style1" xfId="40"/>
    <cellStyle name="Normal 2" xfId="1"/>
    <cellStyle name="NWM" xfId="41"/>
    <cellStyle name="Percent [2]" xfId="42"/>
    <cellStyle name="Style Date" xfId="43"/>
    <cellStyle name="subhead" xfId="44"/>
    <cellStyle name="T" xfId="45"/>
    <cellStyle name="th" xfId="46"/>
    <cellStyle name="Title 2" xfId="47"/>
    <cellStyle name="Total 2" xfId="48"/>
    <cellStyle name="viet" xfId="49"/>
    <cellStyle name="viet2" xfId="50"/>
    <cellStyle name="xuan" xfId="51"/>
    <cellStyle name=" [0.00]_ Att. 1- Cover" xfId="52"/>
    <cellStyle name="_ Att. 1- Cover" xfId="53"/>
    <cellStyle name="?_ Att. 1- Cover" xfId="54"/>
    <cellStyle name="똿뗦먛귟 [0.00]_PRODUCT DETAIL Q1" xfId="55"/>
    <cellStyle name="똿뗦먛귟_PRODUCT DETAIL Q1" xfId="56"/>
    <cellStyle name="믅됞 [0.00]_PRODUCT DETAIL Q1" xfId="57"/>
    <cellStyle name="믅됞_PRODUCT DETAIL Q1" xfId="58"/>
    <cellStyle name="백분율_95" xfId="59"/>
    <cellStyle name="뷭?_BOOKSHIP" xfId="60"/>
    <cellStyle name="콤마 [0]_1202" xfId="61"/>
    <cellStyle name="콤마_1202" xfId="62"/>
    <cellStyle name="통화 [0]_1202" xfId="63"/>
    <cellStyle name="통화_1202" xfId="64"/>
    <cellStyle name="표준_(정보부문)월별인원계획" xfId="65"/>
    <cellStyle name="一般_00Q3902REV.1" xfId="66"/>
    <cellStyle name="千分位[0]_00Q3902REV.1" xfId="67"/>
    <cellStyle name="千分位_00Q3902REV.1" xfId="68"/>
    <cellStyle name="貨幣 [0]_00Q3902REV.1" xfId="69"/>
    <cellStyle name="貨幣[0]_BRE" xfId="70"/>
    <cellStyle name="貨幣_00Q3902REV.1" xfId="71"/>
  </cellStyles>
  <dxfs count="7">
    <dxf>
      <font>
        <color rgb="FF7030A0"/>
      </font>
      <fill>
        <patternFill>
          <bgColor rgb="FF7030A0"/>
        </patternFill>
      </fill>
    </dxf>
    <dxf>
      <font>
        <color rgb="FF7030A0"/>
      </font>
      <fill>
        <patternFill>
          <bgColor rgb="FF7030A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2560631697687537E-3"/>
          <c:y val="2.2382908428264887E-3"/>
          <c:w val="0.99387066458639028"/>
          <c:h val="0.99776170915717355"/>
        </c:manualLayout>
      </c:layout>
      <c:lineChart>
        <c:grouping val="standard"/>
        <c:varyColors val="0"/>
        <c:ser>
          <c:idx val="4"/>
          <c:order val="3"/>
          <c:marker>
            <c:symbol val="none"/>
          </c:marker>
          <c:val>
            <c:numRef>
              <c:f>'3.1. D.chính 4 nhịp'!$K$197:$K$209</c:f>
              <c:numCache>
                <c:formatCode>General</c:formatCode>
                <c:ptCount val="13"/>
                <c:pt idx="0">
                  <c:v>0</c:v>
                </c:pt>
                <c:pt idx="1">
                  <c:v>-463.64</c:v>
                </c:pt>
                <c:pt idx="2">
                  <c:v>-350.03000000000003</c:v>
                </c:pt>
                <c:pt idx="3">
                  <c:v>147.09</c:v>
                </c:pt>
                <c:pt idx="4">
                  <c:v>-273.84999999999997</c:v>
                </c:pt>
                <c:pt idx="5">
                  <c:v>-311.94</c:v>
                </c:pt>
                <c:pt idx="6">
                  <c:v>20.950000000000003</c:v>
                </c:pt>
                <c:pt idx="7">
                  <c:v>-311.94</c:v>
                </c:pt>
                <c:pt idx="8">
                  <c:v>-273.84999999999997</c:v>
                </c:pt>
                <c:pt idx="9">
                  <c:v>147.09</c:v>
                </c:pt>
                <c:pt idx="10">
                  <c:v>-350.03000000000003</c:v>
                </c:pt>
                <c:pt idx="11">
                  <c:v>-463.64</c:v>
                </c:pt>
                <c:pt idx="12">
                  <c:v>0</c:v>
                </c:pt>
              </c:numCache>
            </c:numRef>
          </c:val>
          <c:smooth val="0"/>
        </c:ser>
        <c:ser>
          <c:idx val="5"/>
          <c:order val="4"/>
          <c:marker>
            <c:symbol val="none"/>
          </c:marker>
          <c:val>
            <c:numRef>
              <c:f>'3.1. D.chính 4 nhịp'!$E$197:$E$209</c:f>
              <c:numCache>
                <c:formatCode>General</c:formatCode>
                <c:ptCount val="13"/>
              </c:numCache>
            </c:numRef>
          </c:val>
          <c:smooth val="0"/>
        </c:ser>
        <c:ser>
          <c:idx val="6"/>
          <c:order val="5"/>
          <c:marker>
            <c:symbol val="none"/>
          </c:marker>
          <c:val>
            <c:numRef>
              <c:f>'3.1. D.chính 4 nhịp'!$L$197:$L$209</c:f>
              <c:numCache>
                <c:formatCode>General</c:formatCode>
                <c:ptCount val="13"/>
                <c:pt idx="0">
                  <c:v>0</c:v>
                </c:pt>
                <c:pt idx="1">
                  <c:v>-102.91999999999999</c:v>
                </c:pt>
                <c:pt idx="2">
                  <c:v>9.61</c:v>
                </c:pt>
                <c:pt idx="3">
                  <c:v>532.65</c:v>
                </c:pt>
                <c:pt idx="4">
                  <c:v>85.789999999999992</c:v>
                </c:pt>
                <c:pt idx="5">
                  <c:v>47.699999999999989</c:v>
                </c:pt>
                <c:pt idx="6">
                  <c:v>432.43</c:v>
                </c:pt>
                <c:pt idx="7">
                  <c:v>47.699999999999989</c:v>
                </c:pt>
                <c:pt idx="8">
                  <c:v>85.789999999999992</c:v>
                </c:pt>
                <c:pt idx="9">
                  <c:v>532.65</c:v>
                </c:pt>
                <c:pt idx="10">
                  <c:v>9.61</c:v>
                </c:pt>
                <c:pt idx="11">
                  <c:v>-102.91999999999999</c:v>
                </c:pt>
                <c:pt idx="12">
                  <c:v>0</c:v>
                </c:pt>
              </c:numCache>
            </c:numRef>
          </c:val>
          <c:smooth val="0"/>
        </c:ser>
        <c:ser>
          <c:idx val="7"/>
          <c:order val="6"/>
          <c:marker>
            <c:symbol val="none"/>
          </c:marker>
          <c:val>
            <c:numRef>
              <c:f>'3.1. D.chính 4 nhịp'!$E$197:$E$209</c:f>
              <c:numCache>
                <c:formatCode>General</c:formatCode>
                <c:ptCount val="13"/>
              </c:numCache>
            </c:numRef>
          </c:val>
          <c:smooth val="0"/>
        </c:ser>
        <c:ser>
          <c:idx val="2"/>
          <c:order val="1"/>
          <c:marker>
            <c:symbol val="none"/>
          </c:marker>
          <c:val>
            <c:numRef>
              <c:f>'3.1. D.chính 4 nhịp'!$J$197:$J$209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2"/>
          <c:marker>
            <c:symbol val="none"/>
          </c:marker>
          <c:val>
            <c:numRef>
              <c:f>'3.1. D.chính 4 nhịp'!$E$197:$E$209</c:f>
              <c:numCache>
                <c:formatCode>General</c:formatCode>
                <c:ptCount val="13"/>
              </c:numCache>
            </c:numRef>
          </c:val>
          <c:smooth val="0"/>
        </c:ser>
        <c:ser>
          <c:idx val="1"/>
          <c:order val="0"/>
          <c:marker>
            <c:symbol val="none"/>
          </c:marker>
          <c:val>
            <c:numRef>
              <c:f>'3.1. D.chính 4 nhịp'!$E$197:$E$209</c:f>
              <c:numCache>
                <c:formatCode>General</c:formatCode>
                <c:ptCount val="13"/>
              </c:numCache>
            </c:numRef>
          </c:val>
          <c:smooth val="0"/>
        </c:ser>
        <c:dLbls>
          <c:showLegendKey val="0"/>
          <c:showVal val="0"/>
          <c:showCatName val="0"/>
          <c:showSerName val="0"/>
          <c:showPercent val="0"/>
          <c:showBubbleSize val="0"/>
        </c:dLbls>
        <c:marker val="1"/>
        <c:smooth val="0"/>
        <c:axId val="215012096"/>
        <c:axId val="215013632"/>
      </c:lineChart>
      <c:catAx>
        <c:axId val="215012096"/>
        <c:scaling>
          <c:orientation val="minMax"/>
        </c:scaling>
        <c:delete val="1"/>
        <c:axPos val="b"/>
        <c:majorTickMark val="out"/>
        <c:minorTickMark val="none"/>
        <c:tickLblPos val="nextTo"/>
        <c:crossAx val="215013632"/>
        <c:crosses val="autoZero"/>
        <c:auto val="1"/>
        <c:lblAlgn val="ctr"/>
        <c:lblOffset val="100"/>
        <c:noMultiLvlLbl val="0"/>
      </c:catAx>
      <c:valAx>
        <c:axId val="215013632"/>
        <c:scaling>
          <c:orientation val="minMax"/>
        </c:scaling>
        <c:delete val="1"/>
        <c:axPos val="l"/>
        <c:numFmt formatCode="General" sourceLinked="1"/>
        <c:majorTickMark val="out"/>
        <c:minorTickMark val="none"/>
        <c:tickLblPos val="nextTo"/>
        <c:crossAx val="215012096"/>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JPG"/><Relationship Id="rId7" Type="http://schemas.openxmlformats.org/officeDocument/2006/relationships/image" Target="../media/image15.JPG"/><Relationship Id="rId2" Type="http://schemas.microsoft.com/office/2007/relationships/hdphoto" Target="../media/hdphoto1.wdp"/><Relationship Id="rId1" Type="http://schemas.openxmlformats.org/officeDocument/2006/relationships/image" Target="../media/image10.jpeg"/><Relationship Id="rId6" Type="http://schemas.openxmlformats.org/officeDocument/2006/relationships/image" Target="../media/image14.JPG"/><Relationship Id="rId5" Type="http://schemas.openxmlformats.org/officeDocument/2006/relationships/image" Target="../media/image13.JPG"/><Relationship Id="rId4" Type="http://schemas.openxmlformats.org/officeDocument/2006/relationships/image" Target="../media/image12.JPG"/></Relationships>
</file>

<file path=xl/drawings/_rels/drawing2.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24.JPG"/><Relationship Id="rId7" Type="http://schemas.openxmlformats.org/officeDocument/2006/relationships/image" Target="../media/image28.emf"/><Relationship Id="rId2" Type="http://schemas.openxmlformats.org/officeDocument/2006/relationships/image" Target="../media/image23.JPG"/><Relationship Id="rId1" Type="http://schemas.openxmlformats.org/officeDocument/2006/relationships/image" Target="../media/image22.JPG"/><Relationship Id="rId6" Type="http://schemas.openxmlformats.org/officeDocument/2006/relationships/image" Target="../media/image27.emf"/><Relationship Id="rId11" Type="http://schemas.openxmlformats.org/officeDocument/2006/relationships/image" Target="../media/image32.JPG"/><Relationship Id="rId5" Type="http://schemas.openxmlformats.org/officeDocument/2006/relationships/image" Target="../media/image26.emf"/><Relationship Id="rId10" Type="http://schemas.openxmlformats.org/officeDocument/2006/relationships/image" Target="../media/image31.JPG"/><Relationship Id="rId4" Type="http://schemas.openxmlformats.org/officeDocument/2006/relationships/image" Target="../media/image25.emf"/><Relationship Id="rId9" Type="http://schemas.openxmlformats.org/officeDocument/2006/relationships/image" Target="../media/image30.emf"/></Relationships>
</file>

<file path=xl/drawings/_rels/drawing3.xml.rels><?xml version="1.0" encoding="UTF-8" standalone="yes"?>
<Relationships xmlns="http://schemas.openxmlformats.org/package/2006/relationships"><Relationship Id="rId8" Type="http://schemas.openxmlformats.org/officeDocument/2006/relationships/image" Target="../media/image40.JPG"/><Relationship Id="rId13" Type="http://schemas.openxmlformats.org/officeDocument/2006/relationships/image" Target="../media/image45.JPG"/><Relationship Id="rId3" Type="http://schemas.openxmlformats.org/officeDocument/2006/relationships/image" Target="../media/image35.JPG"/><Relationship Id="rId7" Type="http://schemas.openxmlformats.org/officeDocument/2006/relationships/image" Target="../media/image39.JPG"/><Relationship Id="rId12" Type="http://schemas.openxmlformats.org/officeDocument/2006/relationships/image" Target="../media/image44.jpeg"/><Relationship Id="rId2" Type="http://schemas.openxmlformats.org/officeDocument/2006/relationships/image" Target="../media/image34.JPG"/><Relationship Id="rId1" Type="http://schemas.openxmlformats.org/officeDocument/2006/relationships/image" Target="../media/image33.JPG"/><Relationship Id="rId6" Type="http://schemas.openxmlformats.org/officeDocument/2006/relationships/image" Target="../media/image38.JPG"/><Relationship Id="rId11" Type="http://schemas.openxmlformats.org/officeDocument/2006/relationships/image" Target="../media/image43.jpeg"/><Relationship Id="rId5" Type="http://schemas.openxmlformats.org/officeDocument/2006/relationships/image" Target="../media/image37.JPG"/><Relationship Id="rId10" Type="http://schemas.openxmlformats.org/officeDocument/2006/relationships/chart" Target="../charts/chart1.xml"/><Relationship Id="rId4" Type="http://schemas.openxmlformats.org/officeDocument/2006/relationships/image" Target="../media/image36.JPG"/><Relationship Id="rId9" Type="http://schemas.openxmlformats.org/officeDocument/2006/relationships/image" Target="../media/image41.JPG"/></Relationships>
</file>

<file path=xl/drawings/_rels/drawing4.x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18" Type="http://schemas.openxmlformats.org/officeDocument/2006/relationships/image" Target="../media/image63.emf"/><Relationship Id="rId26" Type="http://schemas.openxmlformats.org/officeDocument/2006/relationships/image" Target="../media/image71.emf"/><Relationship Id="rId3" Type="http://schemas.openxmlformats.org/officeDocument/2006/relationships/image" Target="../media/image48.emf"/><Relationship Id="rId21" Type="http://schemas.openxmlformats.org/officeDocument/2006/relationships/image" Target="../media/image66.emf"/><Relationship Id="rId7" Type="http://schemas.openxmlformats.org/officeDocument/2006/relationships/image" Target="../media/image52.emf"/><Relationship Id="rId12" Type="http://schemas.openxmlformats.org/officeDocument/2006/relationships/image" Target="../media/image57.emf"/><Relationship Id="rId17" Type="http://schemas.openxmlformats.org/officeDocument/2006/relationships/image" Target="../media/image62.emf"/><Relationship Id="rId25" Type="http://schemas.openxmlformats.org/officeDocument/2006/relationships/image" Target="../media/image70.emf"/><Relationship Id="rId2" Type="http://schemas.openxmlformats.org/officeDocument/2006/relationships/image" Target="../media/image47.emf"/><Relationship Id="rId16" Type="http://schemas.openxmlformats.org/officeDocument/2006/relationships/image" Target="../media/image61.emf"/><Relationship Id="rId20" Type="http://schemas.openxmlformats.org/officeDocument/2006/relationships/image" Target="../media/image65.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24" Type="http://schemas.openxmlformats.org/officeDocument/2006/relationships/image" Target="../media/image69.emf"/><Relationship Id="rId5" Type="http://schemas.openxmlformats.org/officeDocument/2006/relationships/image" Target="../media/image50.emf"/><Relationship Id="rId15" Type="http://schemas.openxmlformats.org/officeDocument/2006/relationships/image" Target="../media/image60.emf"/><Relationship Id="rId23" Type="http://schemas.openxmlformats.org/officeDocument/2006/relationships/image" Target="../media/image68.emf"/><Relationship Id="rId10" Type="http://schemas.openxmlformats.org/officeDocument/2006/relationships/image" Target="../media/image55.emf"/><Relationship Id="rId19" Type="http://schemas.openxmlformats.org/officeDocument/2006/relationships/image" Target="../media/image64.emf"/><Relationship Id="rId4" Type="http://schemas.openxmlformats.org/officeDocument/2006/relationships/image" Target="../media/image49.emf"/><Relationship Id="rId9" Type="http://schemas.openxmlformats.org/officeDocument/2006/relationships/image" Target="../media/image54.emf"/><Relationship Id="rId14" Type="http://schemas.openxmlformats.org/officeDocument/2006/relationships/image" Target="../media/image59.emf"/><Relationship Id="rId22"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93</xdr:row>
      <xdr:rowOff>0</xdr:rowOff>
    </xdr:from>
    <xdr:to>
      <xdr:col>8</xdr:col>
      <xdr:colOff>31750</xdr:colOff>
      <xdr:row>101</xdr:row>
      <xdr:rowOff>164522</xdr:rowOff>
    </xdr:to>
    <xdr:pic>
      <xdr:nvPicPr>
        <xdr:cNvPr id="3" name="Picture 2"/>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0" y="21312188"/>
          <a:ext cx="6072188" cy="1752022"/>
        </a:xfrm>
        <a:prstGeom prst="rect">
          <a:avLst/>
        </a:prstGeom>
        <a:scene3d>
          <a:camera prst="orthographicFront"/>
          <a:lightRig rig="soft" dir="t"/>
        </a:scene3d>
        <a:sp3d prstMaterial="translucentPowder"/>
      </xdr:spPr>
    </xdr:pic>
    <xdr:clientData/>
  </xdr:twoCellAnchor>
  <xdr:twoCellAnchor editAs="oneCell">
    <xdr:from>
      <xdr:col>0</xdr:col>
      <xdr:colOff>1</xdr:colOff>
      <xdr:row>106</xdr:row>
      <xdr:rowOff>39687</xdr:rowOff>
    </xdr:from>
    <xdr:to>
      <xdr:col>8</xdr:col>
      <xdr:colOff>547687</xdr:colOff>
      <xdr:row>112</xdr:row>
      <xdr:rowOff>1174749</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 y="24407812"/>
          <a:ext cx="6588124" cy="226218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85725</xdr:colOff>
          <xdr:row>148</xdr:row>
          <xdr:rowOff>180975</xdr:rowOff>
        </xdr:from>
        <xdr:to>
          <xdr:col>2</xdr:col>
          <xdr:colOff>504825</xdr:colOff>
          <xdr:row>149</xdr:row>
          <xdr:rowOff>200025</xdr:rowOff>
        </xdr:to>
        <xdr:sp macro="" textlink="">
          <xdr:nvSpPr>
            <xdr:cNvPr id="1036" name="Object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xdr:twoCellAnchor editAs="oneCell">
    <xdr:from>
      <xdr:col>4</xdr:col>
      <xdr:colOff>769936</xdr:colOff>
      <xdr:row>137</xdr:row>
      <xdr:rowOff>1174750</xdr:rowOff>
    </xdr:from>
    <xdr:to>
      <xdr:col>7</xdr:col>
      <xdr:colOff>538161</xdr:colOff>
      <xdr:row>142</xdr:row>
      <xdr:rowOff>85725</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30624" y="29575125"/>
          <a:ext cx="2228850" cy="103822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141</xdr:row>
          <xdr:rowOff>19050</xdr:rowOff>
        </xdr:from>
        <xdr:to>
          <xdr:col>2</xdr:col>
          <xdr:colOff>0</xdr:colOff>
          <xdr:row>142</xdr:row>
          <xdr:rowOff>171450</xdr:rowOff>
        </xdr:to>
        <xdr:sp macro="" textlink="">
          <xdr:nvSpPr>
            <xdr:cNvPr id="1038" name="Object 1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127</xdr:row>
      <xdr:rowOff>1</xdr:rowOff>
    </xdr:from>
    <xdr:to>
      <xdr:col>9</xdr:col>
      <xdr:colOff>15874</xdr:colOff>
      <xdr:row>137</xdr:row>
      <xdr:rowOff>1026866</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30083126"/>
          <a:ext cx="6619874" cy="301124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57150</xdr:colOff>
          <xdr:row>143</xdr:row>
          <xdr:rowOff>0</xdr:rowOff>
        </xdr:from>
        <xdr:to>
          <xdr:col>3</xdr:col>
          <xdr:colOff>123825</xdr:colOff>
          <xdr:row>144</xdr:row>
          <xdr:rowOff>47625</xdr:rowOff>
        </xdr:to>
        <xdr:sp macro="" textlink="">
          <xdr:nvSpPr>
            <xdr:cNvPr id="1039" name="Object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962025</xdr:colOff>
          <xdr:row>144</xdr:row>
          <xdr:rowOff>190500</xdr:rowOff>
        </xdr:from>
        <xdr:to>
          <xdr:col>3</xdr:col>
          <xdr:colOff>733425</xdr:colOff>
          <xdr:row>146</xdr:row>
          <xdr:rowOff>0</xdr:rowOff>
        </xdr:to>
        <xdr:sp macro="" textlink="">
          <xdr:nvSpPr>
            <xdr:cNvPr id="1040" name="Object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247650</xdr:colOff>
          <xdr:row>144</xdr:row>
          <xdr:rowOff>76200</xdr:rowOff>
        </xdr:from>
        <xdr:to>
          <xdr:col>5</xdr:col>
          <xdr:colOff>314325</xdr:colOff>
          <xdr:row>146</xdr:row>
          <xdr:rowOff>57150</xdr:rowOff>
        </xdr:to>
        <xdr:sp macro="" textlink="">
          <xdr:nvSpPr>
            <xdr:cNvPr id="1041" name="Object 17"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157</xdr:row>
          <xdr:rowOff>38100</xdr:rowOff>
        </xdr:from>
        <xdr:to>
          <xdr:col>2</xdr:col>
          <xdr:colOff>0</xdr:colOff>
          <xdr:row>159</xdr:row>
          <xdr:rowOff>85725</xdr:rowOff>
        </xdr:to>
        <xdr:sp macro="" textlink="">
          <xdr:nvSpPr>
            <xdr:cNvPr id="1042" name="Object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160</xdr:row>
          <xdr:rowOff>47625</xdr:rowOff>
        </xdr:from>
        <xdr:to>
          <xdr:col>2</xdr:col>
          <xdr:colOff>0</xdr:colOff>
          <xdr:row>162</xdr:row>
          <xdr:rowOff>85725</xdr:rowOff>
        </xdr:to>
        <xdr:sp macro="" textlink="">
          <xdr:nvSpPr>
            <xdr:cNvPr id="1044" name="Object 20"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9525</xdr:rowOff>
        </xdr:from>
        <xdr:to>
          <xdr:col>1</xdr:col>
          <xdr:colOff>781050</xdr:colOff>
          <xdr:row>4</xdr:row>
          <xdr:rowOff>133350</xdr:rowOff>
        </xdr:to>
        <xdr:sp macro="" textlink="">
          <xdr:nvSpPr>
            <xdr:cNvPr id="1045" name="Object 2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xdr:twoCellAnchor editAs="oneCell">
    <xdr:from>
      <xdr:col>0</xdr:col>
      <xdr:colOff>222250</xdr:colOff>
      <xdr:row>10</xdr:row>
      <xdr:rowOff>31748</xdr:rowOff>
    </xdr:from>
    <xdr:to>
      <xdr:col>8</xdr:col>
      <xdr:colOff>150812</xdr:colOff>
      <xdr:row>42</xdr:row>
      <xdr:rowOff>129743</xdr:rowOff>
    </xdr:to>
    <xdr:pic>
      <xdr:nvPicPr>
        <xdr:cNvPr id="9" name="Picture 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2250" y="2008186"/>
          <a:ext cx="5969000" cy="6447995"/>
        </a:xfrm>
        <a:prstGeom prst="rect">
          <a:avLst/>
        </a:prstGeom>
      </xdr:spPr>
    </xdr:pic>
    <xdr:clientData/>
  </xdr:twoCellAnchor>
  <xdr:twoCellAnchor editAs="oneCell">
    <xdr:from>
      <xdr:col>0</xdr:col>
      <xdr:colOff>15875</xdr:colOff>
      <xdr:row>59</xdr:row>
      <xdr:rowOff>63500</xdr:rowOff>
    </xdr:from>
    <xdr:to>
      <xdr:col>8</xdr:col>
      <xdr:colOff>555625</xdr:colOff>
      <xdr:row>61</xdr:row>
      <xdr:rowOff>801688</xdr:rowOff>
    </xdr:to>
    <xdr:pic>
      <xdr:nvPicPr>
        <xdr:cNvPr id="2" name="Picture 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5875" y="11731625"/>
          <a:ext cx="6580188" cy="294481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285750</xdr:colOff>
          <xdr:row>171</xdr:row>
          <xdr:rowOff>19050</xdr:rowOff>
        </xdr:from>
        <xdr:to>
          <xdr:col>1</xdr:col>
          <xdr:colOff>847725</xdr:colOff>
          <xdr:row>174</xdr:row>
          <xdr:rowOff>180975</xdr:rowOff>
        </xdr:to>
        <xdr:sp macro="" textlink="">
          <xdr:nvSpPr>
            <xdr:cNvPr id="1046" name="Object 22"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editAs="oneCell">
    <xdr:from>
      <xdr:col>2</xdr:col>
      <xdr:colOff>1</xdr:colOff>
      <xdr:row>174</xdr:row>
      <xdr:rowOff>142875</xdr:rowOff>
    </xdr:from>
    <xdr:to>
      <xdr:col>8</xdr:col>
      <xdr:colOff>547688</xdr:colOff>
      <xdr:row>184</xdr:row>
      <xdr:rowOff>31746</xdr:rowOff>
    </xdr:to>
    <xdr:pic>
      <xdr:nvPicPr>
        <xdr:cNvPr id="18" name="Picture 134"/>
        <xdr:cNvPicPr>
          <a:picLocks noChangeAspect="1" noChangeArrowheads="1"/>
        </xdr:cNvPicPr>
      </xdr:nvPicPr>
      <xdr:blipFill>
        <a:blip xmlns:r="http://schemas.openxmlformats.org/officeDocument/2006/relationships" r:embed="rId8"/>
        <a:srcRect/>
        <a:stretch>
          <a:fillRect/>
        </a:stretch>
      </xdr:blipFill>
      <xdr:spPr bwMode="auto">
        <a:xfrm>
          <a:off x="1643064" y="41941750"/>
          <a:ext cx="4945062" cy="187324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28575</xdr:colOff>
          <xdr:row>149</xdr:row>
          <xdr:rowOff>104775</xdr:rowOff>
        </xdr:from>
        <xdr:to>
          <xdr:col>3</xdr:col>
          <xdr:colOff>714375</xdr:colOff>
          <xdr:row>149</xdr:row>
          <xdr:rowOff>352425</xdr:rowOff>
        </xdr:to>
        <xdr:sp macro="" textlink="">
          <xdr:nvSpPr>
            <xdr:cNvPr id="1054" name="Object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148</xdr:row>
          <xdr:rowOff>152400</xdr:rowOff>
        </xdr:from>
        <xdr:to>
          <xdr:col>4</xdr:col>
          <xdr:colOff>685800</xdr:colOff>
          <xdr:row>149</xdr:row>
          <xdr:rowOff>228600</xdr:rowOff>
        </xdr:to>
        <xdr:sp macro="" textlink="">
          <xdr:nvSpPr>
            <xdr:cNvPr id="1058" name="Object 34"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277091</xdr:colOff>
      <xdr:row>10</xdr:row>
      <xdr:rowOff>86592</xdr:rowOff>
    </xdr:from>
    <xdr:to>
      <xdr:col>9</xdr:col>
      <xdr:colOff>60614</xdr:colOff>
      <xdr:row>17</xdr:row>
      <xdr:rowOff>6062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7091" y="2130137"/>
          <a:ext cx="5420591" cy="1252970"/>
        </a:xfrm>
        <a:prstGeom prst="rect">
          <a:avLst/>
        </a:prstGeom>
        <a:scene3d>
          <a:camera prst="orthographicFront"/>
          <a:lightRig rig="soft" dir="t"/>
        </a:scene3d>
        <a:sp3d prstMaterial="translucentPowder"/>
      </xdr:spPr>
    </xdr:pic>
    <xdr:clientData/>
  </xdr:twoCellAnchor>
  <xdr:twoCellAnchor editAs="oneCell">
    <xdr:from>
      <xdr:col>1</xdr:col>
      <xdr:colOff>155863</xdr:colOff>
      <xdr:row>17</xdr:row>
      <xdr:rowOff>0</xdr:rowOff>
    </xdr:from>
    <xdr:to>
      <xdr:col>8</xdr:col>
      <xdr:colOff>1154</xdr:colOff>
      <xdr:row>24</xdr:row>
      <xdr:rowOff>104775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1999" y="3377045"/>
          <a:ext cx="4267200" cy="1438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28575</xdr:colOff>
          <xdr:row>26</xdr:row>
          <xdr:rowOff>95250</xdr:rowOff>
        </xdr:from>
        <xdr:to>
          <xdr:col>6</xdr:col>
          <xdr:colOff>590550</xdr:colOff>
          <xdr:row>27</xdr:row>
          <xdr:rowOff>114300</xdr:rowOff>
        </xdr:to>
        <xdr:sp macro="" textlink="">
          <xdr:nvSpPr>
            <xdr:cNvPr id="7169" name="Object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twoCellAnchor editAs="oneCell">
    <xdr:from>
      <xdr:col>0</xdr:col>
      <xdr:colOff>51955</xdr:colOff>
      <xdr:row>46</xdr:row>
      <xdr:rowOff>18297</xdr:rowOff>
    </xdr:from>
    <xdr:to>
      <xdr:col>4</xdr:col>
      <xdr:colOff>450273</xdr:colOff>
      <xdr:row>50</xdr:row>
      <xdr:rowOff>169436</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955" y="9144979"/>
          <a:ext cx="3004704" cy="913139"/>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52</xdr:row>
          <xdr:rowOff>47625</xdr:rowOff>
        </xdr:from>
        <xdr:to>
          <xdr:col>4</xdr:col>
          <xdr:colOff>514350</xdr:colOff>
          <xdr:row>52</xdr:row>
          <xdr:rowOff>381000</xdr:rowOff>
        </xdr:to>
        <xdr:sp macro="" textlink="">
          <xdr:nvSpPr>
            <xdr:cNvPr id="7171" name="Object 3"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xdr:colOff>
          <xdr:row>52</xdr:row>
          <xdr:rowOff>47625</xdr:rowOff>
        </xdr:from>
        <xdr:to>
          <xdr:col>6</xdr:col>
          <xdr:colOff>514350</xdr:colOff>
          <xdr:row>52</xdr:row>
          <xdr:rowOff>381000</xdr:rowOff>
        </xdr:to>
        <xdr:sp macro="" textlink="">
          <xdr:nvSpPr>
            <xdr:cNvPr id="7172" name="Object 4" hidden="1">
              <a:extLst>
                <a:ext uri="{63B3BB69-23CF-44E3-9099-C40C66FF867C}">
                  <a14:compatExt spid="_x0000_s7172"/>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71</xdr:row>
      <xdr:rowOff>0</xdr:rowOff>
    </xdr:from>
    <xdr:to>
      <xdr:col>9</xdr:col>
      <xdr:colOff>447675</xdr:colOff>
      <xdr:row>78</xdr:row>
      <xdr:rowOff>38100</xdr:rowOff>
    </xdr:to>
    <xdr:pic>
      <xdr:nvPicPr>
        <xdr:cNvPr id="14" name="Picture 136"/>
        <xdr:cNvPicPr>
          <a:picLocks noChangeAspect="1" noChangeArrowheads="1"/>
        </xdr:cNvPicPr>
      </xdr:nvPicPr>
      <xdr:blipFill>
        <a:blip xmlns:r="http://schemas.openxmlformats.org/officeDocument/2006/relationships" r:embed="rId4"/>
        <a:srcRect/>
        <a:stretch>
          <a:fillRect/>
        </a:stretch>
      </xdr:blipFill>
      <xdr:spPr bwMode="auto">
        <a:xfrm>
          <a:off x="0" y="14325600"/>
          <a:ext cx="6115050" cy="1371600"/>
        </a:xfrm>
        <a:prstGeom prst="rect">
          <a:avLst/>
        </a:prstGeom>
        <a:noFill/>
        <a:ln w="9525">
          <a:noFill/>
          <a:miter lim="800000"/>
          <a:headEnd/>
          <a:tailEnd/>
        </a:ln>
      </xdr:spPr>
    </xdr:pic>
    <xdr:clientData/>
  </xdr:twoCellAnchor>
  <xdr:twoCellAnchor editAs="oneCell">
    <xdr:from>
      <xdr:col>0</xdr:col>
      <xdr:colOff>34636</xdr:colOff>
      <xdr:row>72</xdr:row>
      <xdr:rowOff>69272</xdr:rowOff>
    </xdr:from>
    <xdr:to>
      <xdr:col>0</xdr:col>
      <xdr:colOff>329911</xdr:colOff>
      <xdr:row>74</xdr:row>
      <xdr:rowOff>59747</xdr:rowOff>
    </xdr:to>
    <xdr:pic>
      <xdr:nvPicPr>
        <xdr:cNvPr id="15" name="Picture 17"/>
        <xdr:cNvPicPr>
          <a:picLocks noChangeAspect="1" noChangeArrowheads="1"/>
        </xdr:cNvPicPr>
      </xdr:nvPicPr>
      <xdr:blipFill>
        <a:blip xmlns:r="http://schemas.openxmlformats.org/officeDocument/2006/relationships" r:embed="rId5"/>
        <a:srcRect/>
        <a:stretch>
          <a:fillRect/>
        </a:stretch>
      </xdr:blipFill>
      <xdr:spPr bwMode="auto">
        <a:xfrm>
          <a:off x="34636" y="14755090"/>
          <a:ext cx="295275" cy="371475"/>
        </a:xfrm>
        <a:prstGeom prst="rect">
          <a:avLst/>
        </a:prstGeom>
        <a:noFill/>
        <a:ln w="9525">
          <a:noFill/>
          <a:miter lim="800000"/>
          <a:headEnd/>
          <a:tailEnd/>
        </a:ln>
      </xdr:spPr>
    </xdr:pic>
    <xdr:clientData/>
  </xdr:twoCellAnchor>
  <xdr:twoCellAnchor editAs="oneCell">
    <xdr:from>
      <xdr:col>3</xdr:col>
      <xdr:colOff>142874</xdr:colOff>
      <xdr:row>71</xdr:row>
      <xdr:rowOff>132484</xdr:rowOff>
    </xdr:from>
    <xdr:to>
      <xdr:col>3</xdr:col>
      <xdr:colOff>498763</xdr:colOff>
      <xdr:row>73</xdr:row>
      <xdr:rowOff>142009</xdr:rowOff>
    </xdr:to>
    <xdr:pic>
      <xdr:nvPicPr>
        <xdr:cNvPr id="16" name="Picture 19"/>
        <xdr:cNvPicPr>
          <a:picLocks noChangeAspect="1" noChangeArrowheads="1"/>
        </xdr:cNvPicPr>
      </xdr:nvPicPr>
      <xdr:blipFill>
        <a:blip xmlns:r="http://schemas.openxmlformats.org/officeDocument/2006/relationships" r:embed="rId6"/>
        <a:srcRect/>
        <a:stretch>
          <a:fillRect/>
        </a:stretch>
      </xdr:blipFill>
      <xdr:spPr bwMode="auto">
        <a:xfrm>
          <a:off x="1971674" y="14458084"/>
          <a:ext cx="355889" cy="390525"/>
        </a:xfrm>
        <a:prstGeom prst="rect">
          <a:avLst/>
        </a:prstGeom>
        <a:noFill/>
        <a:ln w="9525">
          <a:noFill/>
          <a:miter lim="800000"/>
          <a:headEnd/>
          <a:tailEnd/>
        </a:ln>
      </xdr:spPr>
    </xdr:pic>
    <xdr:clientData/>
  </xdr:twoCellAnchor>
  <xdr:twoCellAnchor editAs="oneCell">
    <xdr:from>
      <xdr:col>3</xdr:col>
      <xdr:colOff>627783</xdr:colOff>
      <xdr:row>75</xdr:row>
      <xdr:rowOff>23379</xdr:rowOff>
    </xdr:from>
    <xdr:to>
      <xdr:col>4</xdr:col>
      <xdr:colOff>192231</xdr:colOff>
      <xdr:row>77</xdr:row>
      <xdr:rowOff>32904</xdr:rowOff>
    </xdr:to>
    <xdr:pic>
      <xdr:nvPicPr>
        <xdr:cNvPr id="17" name="Picture 18"/>
        <xdr:cNvPicPr>
          <a:picLocks noChangeAspect="1" noChangeArrowheads="1"/>
        </xdr:cNvPicPr>
      </xdr:nvPicPr>
      <xdr:blipFill>
        <a:blip xmlns:r="http://schemas.openxmlformats.org/officeDocument/2006/relationships" r:embed="rId7"/>
        <a:srcRect/>
        <a:stretch>
          <a:fillRect/>
        </a:stretch>
      </xdr:blipFill>
      <xdr:spPr bwMode="auto">
        <a:xfrm>
          <a:off x="2456583" y="15110979"/>
          <a:ext cx="355023" cy="390525"/>
        </a:xfrm>
        <a:prstGeom prst="rect">
          <a:avLst/>
        </a:prstGeom>
        <a:noFill/>
        <a:ln w="9525">
          <a:noFill/>
          <a:miter lim="800000"/>
          <a:headEnd/>
          <a:tailEnd/>
        </a:ln>
      </xdr:spPr>
    </xdr:pic>
    <xdr:clientData/>
  </xdr:twoCellAnchor>
  <xdr:twoCellAnchor editAs="oneCell">
    <xdr:from>
      <xdr:col>6</xdr:col>
      <xdr:colOff>522144</xdr:colOff>
      <xdr:row>71</xdr:row>
      <xdr:rowOff>142875</xdr:rowOff>
    </xdr:from>
    <xdr:to>
      <xdr:col>7</xdr:col>
      <xdr:colOff>264969</xdr:colOff>
      <xdr:row>73</xdr:row>
      <xdr:rowOff>152400</xdr:rowOff>
    </xdr:to>
    <xdr:pic>
      <xdr:nvPicPr>
        <xdr:cNvPr id="18" name="Picture 20"/>
        <xdr:cNvPicPr>
          <a:picLocks noChangeAspect="1" noChangeArrowheads="1"/>
        </xdr:cNvPicPr>
      </xdr:nvPicPr>
      <xdr:blipFill>
        <a:blip xmlns:r="http://schemas.openxmlformats.org/officeDocument/2006/relationships" r:embed="rId8"/>
        <a:srcRect/>
        <a:stretch>
          <a:fillRect/>
        </a:stretch>
      </xdr:blipFill>
      <xdr:spPr bwMode="auto">
        <a:xfrm>
          <a:off x="4360719" y="14468475"/>
          <a:ext cx="352425" cy="390525"/>
        </a:xfrm>
        <a:prstGeom prst="rect">
          <a:avLst/>
        </a:prstGeom>
        <a:noFill/>
        <a:ln w="9525">
          <a:noFill/>
          <a:miter lim="800000"/>
          <a:headEnd/>
          <a:tailEnd/>
        </a:ln>
      </xdr:spPr>
    </xdr:pic>
    <xdr:clientData/>
  </xdr:twoCellAnchor>
  <xdr:twoCellAnchor editAs="oneCell">
    <xdr:from>
      <xdr:col>7</xdr:col>
      <xdr:colOff>335974</xdr:colOff>
      <xdr:row>74</xdr:row>
      <xdr:rowOff>116032</xdr:rowOff>
    </xdr:from>
    <xdr:to>
      <xdr:col>8</xdr:col>
      <xdr:colOff>78799</xdr:colOff>
      <xdr:row>76</xdr:row>
      <xdr:rowOff>125557</xdr:rowOff>
    </xdr:to>
    <xdr:pic>
      <xdr:nvPicPr>
        <xdr:cNvPr id="19" name="Picture 21"/>
        <xdr:cNvPicPr>
          <a:picLocks noChangeAspect="1" noChangeArrowheads="1"/>
        </xdr:cNvPicPr>
      </xdr:nvPicPr>
      <xdr:blipFill>
        <a:blip xmlns:r="http://schemas.openxmlformats.org/officeDocument/2006/relationships" r:embed="rId9"/>
        <a:srcRect/>
        <a:stretch>
          <a:fillRect/>
        </a:stretch>
      </xdr:blipFill>
      <xdr:spPr bwMode="auto">
        <a:xfrm>
          <a:off x="4784149" y="15013132"/>
          <a:ext cx="352425" cy="390525"/>
        </a:xfrm>
        <a:prstGeom prst="rect">
          <a:avLst/>
        </a:prstGeom>
        <a:noFill/>
        <a:ln w="9525">
          <a:noFill/>
          <a:miter lim="800000"/>
          <a:headEnd/>
          <a:tailEnd/>
        </a:ln>
      </xdr:spPr>
    </xdr:pic>
    <xdr:clientData/>
  </xdr:twoCellAnchor>
  <xdr:twoCellAnchor editAs="oneCell">
    <xdr:from>
      <xdr:col>0</xdr:col>
      <xdr:colOff>0</xdr:colOff>
      <xdr:row>34</xdr:row>
      <xdr:rowOff>19050</xdr:rowOff>
    </xdr:from>
    <xdr:to>
      <xdr:col>9</xdr:col>
      <xdr:colOff>495300</xdr:colOff>
      <xdr:row>43</xdr:row>
      <xdr:rowOff>161925</xdr:rowOff>
    </xdr:to>
    <xdr:pic>
      <xdr:nvPicPr>
        <xdr:cNvPr id="7" name="Picture 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7067550"/>
          <a:ext cx="6162675" cy="1857375"/>
        </a:xfrm>
        <a:prstGeom prst="rect">
          <a:avLst/>
        </a:prstGeom>
      </xdr:spPr>
    </xdr:pic>
    <xdr:clientData/>
  </xdr:twoCellAnchor>
  <xdr:twoCellAnchor editAs="oneCell">
    <xdr:from>
      <xdr:col>0</xdr:col>
      <xdr:colOff>0</xdr:colOff>
      <xdr:row>88</xdr:row>
      <xdr:rowOff>0</xdr:rowOff>
    </xdr:from>
    <xdr:to>
      <xdr:col>9</xdr:col>
      <xdr:colOff>504825</xdr:colOff>
      <xdr:row>108</xdr:row>
      <xdr:rowOff>104775</xdr:rowOff>
    </xdr:to>
    <xdr:pic>
      <xdr:nvPicPr>
        <xdr:cNvPr id="11" name="Picture 10"/>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18526125"/>
          <a:ext cx="6172200" cy="39147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600075</xdr:colOff>
          <xdr:row>112</xdr:row>
          <xdr:rowOff>19050</xdr:rowOff>
        </xdr:from>
        <xdr:to>
          <xdr:col>2</xdr:col>
          <xdr:colOff>266700</xdr:colOff>
          <xdr:row>114</xdr:row>
          <xdr:rowOff>180975</xdr:rowOff>
        </xdr:to>
        <xdr:sp macro="" textlink="">
          <xdr:nvSpPr>
            <xdr:cNvPr id="7182" name="Object 14" hidden="1">
              <a:extLst>
                <a:ext uri="{63B3BB69-23CF-44E3-9099-C40C66FF867C}">
                  <a14:compatExt spid="_x0000_s7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129</xdr:row>
          <xdr:rowOff>228600</xdr:rowOff>
        </xdr:from>
        <xdr:to>
          <xdr:col>6</xdr:col>
          <xdr:colOff>485775</xdr:colOff>
          <xdr:row>130</xdr:row>
          <xdr:rowOff>276225</xdr:rowOff>
        </xdr:to>
        <xdr:sp macro="" textlink="">
          <xdr:nvSpPr>
            <xdr:cNvPr id="7186" name="Object 18" hidden="1">
              <a:extLst>
                <a:ext uri="{63B3BB69-23CF-44E3-9099-C40C66FF867C}">
                  <a14:compatExt spid="_x0000_s718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76199</xdr:rowOff>
    </xdr:from>
    <xdr:to>
      <xdr:col>8</xdr:col>
      <xdr:colOff>419100</xdr:colOff>
      <xdr:row>24</xdr:row>
      <xdr:rowOff>46871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9699"/>
          <a:ext cx="5505450" cy="3209172"/>
        </a:xfrm>
        <a:prstGeom prst="rect">
          <a:avLst/>
        </a:prstGeom>
      </xdr:spPr>
    </xdr:pic>
    <xdr:clientData/>
  </xdr:twoCellAnchor>
  <xdr:twoCellAnchor editAs="oneCell">
    <xdr:from>
      <xdr:col>0</xdr:col>
      <xdr:colOff>0</xdr:colOff>
      <xdr:row>37</xdr:row>
      <xdr:rowOff>47625</xdr:rowOff>
    </xdr:from>
    <xdr:to>
      <xdr:col>8</xdr:col>
      <xdr:colOff>647700</xdr:colOff>
      <xdr:row>65</xdr:row>
      <xdr:rowOff>114300</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7210425"/>
          <a:ext cx="5734050" cy="5400675"/>
        </a:xfrm>
        <a:prstGeom prst="rect">
          <a:avLst/>
        </a:prstGeom>
      </xdr:spPr>
    </xdr:pic>
    <xdr:clientData/>
  </xdr:twoCellAnchor>
  <xdr:twoCellAnchor editAs="oneCell">
    <xdr:from>
      <xdr:col>0</xdr:col>
      <xdr:colOff>0</xdr:colOff>
      <xdr:row>69</xdr:row>
      <xdr:rowOff>38100</xdr:rowOff>
    </xdr:from>
    <xdr:to>
      <xdr:col>9</xdr:col>
      <xdr:colOff>47625</xdr:colOff>
      <xdr:row>76</xdr:row>
      <xdr:rowOff>38100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49325"/>
          <a:ext cx="5791200" cy="1238250"/>
        </a:xfrm>
        <a:prstGeom prst="rect">
          <a:avLst/>
        </a:prstGeom>
      </xdr:spPr>
    </xdr:pic>
    <xdr:clientData/>
  </xdr:twoCellAnchor>
  <xdr:twoCellAnchor editAs="oneCell">
    <xdr:from>
      <xdr:col>0</xdr:col>
      <xdr:colOff>0</xdr:colOff>
      <xdr:row>93</xdr:row>
      <xdr:rowOff>85725</xdr:rowOff>
    </xdr:from>
    <xdr:to>
      <xdr:col>8</xdr:col>
      <xdr:colOff>647699</xdr:colOff>
      <xdr:row>93</xdr:row>
      <xdr:rowOff>1371600</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8278475"/>
          <a:ext cx="5734049" cy="1285875"/>
        </a:xfrm>
        <a:prstGeom prst="rect">
          <a:avLst/>
        </a:prstGeom>
      </xdr:spPr>
    </xdr:pic>
    <xdr:clientData/>
  </xdr:twoCellAnchor>
  <xdr:twoCellAnchor editAs="oneCell">
    <xdr:from>
      <xdr:col>0</xdr:col>
      <xdr:colOff>0</xdr:colOff>
      <xdr:row>110</xdr:row>
      <xdr:rowOff>0</xdr:rowOff>
    </xdr:from>
    <xdr:to>
      <xdr:col>8</xdr:col>
      <xdr:colOff>638174</xdr:colOff>
      <xdr:row>110</xdr:row>
      <xdr:rowOff>1171575</xdr:rowOff>
    </xdr:to>
    <xdr:pic>
      <xdr:nvPicPr>
        <xdr:cNvPr id="7"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3145750"/>
          <a:ext cx="5724524" cy="1171575"/>
        </a:xfrm>
        <a:prstGeom prst="rect">
          <a:avLst/>
        </a:prstGeom>
      </xdr:spPr>
    </xdr:pic>
    <xdr:clientData/>
  </xdr:twoCellAnchor>
  <xdr:twoCellAnchor editAs="oneCell">
    <xdr:from>
      <xdr:col>0</xdr:col>
      <xdr:colOff>0</xdr:colOff>
      <xdr:row>127</xdr:row>
      <xdr:rowOff>0</xdr:rowOff>
    </xdr:from>
    <xdr:to>
      <xdr:col>9</xdr:col>
      <xdr:colOff>38100</xdr:colOff>
      <xdr:row>127</xdr:row>
      <xdr:rowOff>1164451</xdr:rowOff>
    </xdr:to>
    <xdr:pic>
      <xdr:nvPicPr>
        <xdr:cNvPr id="8" name="Picture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27879675"/>
          <a:ext cx="5781675" cy="1164451"/>
        </a:xfrm>
        <a:prstGeom prst="rect">
          <a:avLst/>
        </a:prstGeom>
      </xdr:spPr>
    </xdr:pic>
    <xdr:clientData/>
  </xdr:twoCellAnchor>
  <xdr:twoCellAnchor editAs="oneCell">
    <xdr:from>
      <xdr:col>0</xdr:col>
      <xdr:colOff>66675</xdr:colOff>
      <xdr:row>144</xdr:row>
      <xdr:rowOff>0</xdr:rowOff>
    </xdr:from>
    <xdr:to>
      <xdr:col>8</xdr:col>
      <xdr:colOff>509289</xdr:colOff>
      <xdr:row>144</xdr:row>
      <xdr:rowOff>1162050</xdr:rowOff>
    </xdr:to>
    <xdr:pic>
      <xdr:nvPicPr>
        <xdr:cNvPr id="9" name="Picture 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6675" y="32613600"/>
          <a:ext cx="5528964" cy="1162050"/>
        </a:xfrm>
        <a:prstGeom prst="rect">
          <a:avLst/>
        </a:prstGeom>
      </xdr:spPr>
    </xdr:pic>
    <xdr:clientData/>
  </xdr:twoCellAnchor>
  <xdr:twoCellAnchor editAs="oneCell">
    <xdr:from>
      <xdr:col>0</xdr:col>
      <xdr:colOff>85725</xdr:colOff>
      <xdr:row>161</xdr:row>
      <xdr:rowOff>0</xdr:rowOff>
    </xdr:from>
    <xdr:to>
      <xdr:col>8</xdr:col>
      <xdr:colOff>542925</xdr:colOff>
      <xdr:row>161</xdr:row>
      <xdr:rowOff>1166455</xdr:rowOff>
    </xdr:to>
    <xdr:pic>
      <xdr:nvPicPr>
        <xdr:cNvPr id="10"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5725" y="37357050"/>
          <a:ext cx="5543550" cy="1166455"/>
        </a:xfrm>
        <a:prstGeom prst="rect">
          <a:avLst/>
        </a:prstGeom>
      </xdr:spPr>
    </xdr:pic>
    <xdr:clientData/>
  </xdr:twoCellAnchor>
  <xdr:twoCellAnchor editAs="oneCell">
    <xdr:from>
      <xdr:col>0</xdr:col>
      <xdr:colOff>104775</xdr:colOff>
      <xdr:row>178</xdr:row>
      <xdr:rowOff>0</xdr:rowOff>
    </xdr:from>
    <xdr:to>
      <xdr:col>8</xdr:col>
      <xdr:colOff>504825</xdr:colOff>
      <xdr:row>178</xdr:row>
      <xdr:rowOff>1181100</xdr:rowOff>
    </xdr:to>
    <xdr:pic>
      <xdr:nvPicPr>
        <xdr:cNvPr id="11" name="Picture 1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4775" y="42081450"/>
          <a:ext cx="5486400" cy="1181100"/>
        </a:xfrm>
        <a:prstGeom prst="rect">
          <a:avLst/>
        </a:prstGeom>
      </xdr:spPr>
    </xdr:pic>
    <xdr:clientData/>
  </xdr:twoCellAnchor>
  <xdr:twoCellAnchor>
    <xdr:from>
      <xdr:col>0</xdr:col>
      <xdr:colOff>76199</xdr:colOff>
      <xdr:row>211</xdr:row>
      <xdr:rowOff>95250</xdr:rowOff>
    </xdr:from>
    <xdr:to>
      <xdr:col>8</xdr:col>
      <xdr:colOff>619124</xdr:colOff>
      <xdr:row>225</xdr:row>
      <xdr:rowOff>142875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0</xdr:colOff>
      <xdr:row>230</xdr:row>
      <xdr:rowOff>38100</xdr:rowOff>
    </xdr:from>
    <xdr:to>
      <xdr:col>8</xdr:col>
      <xdr:colOff>409575</xdr:colOff>
      <xdr:row>237</xdr:row>
      <xdr:rowOff>147280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373100"/>
          <a:ext cx="5495925" cy="1442680"/>
        </a:xfrm>
        <a:prstGeom prst="rect">
          <a:avLst/>
        </a:prstGeom>
      </xdr:spPr>
    </xdr:pic>
    <xdr:clientData/>
  </xdr:twoCellAnchor>
  <xdr:twoCellAnchor editAs="oneCell">
    <xdr:from>
      <xdr:col>0</xdr:col>
      <xdr:colOff>1</xdr:colOff>
      <xdr:row>250</xdr:row>
      <xdr:rowOff>85725</xdr:rowOff>
    </xdr:from>
    <xdr:to>
      <xdr:col>8</xdr:col>
      <xdr:colOff>438151</xdr:colOff>
      <xdr:row>250</xdr:row>
      <xdr:rowOff>1248172</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8202275"/>
          <a:ext cx="5524500" cy="1162447"/>
        </a:xfrm>
        <a:prstGeom prst="rect">
          <a:avLst/>
        </a:prstGeom>
      </xdr:spPr>
    </xdr:pic>
    <xdr:clientData/>
  </xdr:twoCellAnchor>
  <xdr:twoCellAnchor editAs="oneCell">
    <xdr:from>
      <xdr:col>0</xdr:col>
      <xdr:colOff>0</xdr:colOff>
      <xdr:row>262</xdr:row>
      <xdr:rowOff>0</xdr:rowOff>
    </xdr:from>
    <xdr:to>
      <xdr:col>8</xdr:col>
      <xdr:colOff>481530</xdr:colOff>
      <xdr:row>262</xdr:row>
      <xdr:rowOff>1171575</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3088600"/>
          <a:ext cx="5567880" cy="1171575"/>
        </a:xfrm>
        <a:prstGeom prst="rect">
          <a:avLst/>
        </a:prstGeom>
      </xdr:spPr>
    </xdr:pic>
    <xdr:clientData/>
  </xdr:twoCellAnchor>
  <xdr:twoCellAnchor editAs="oneCell">
    <xdr:from>
      <xdr:col>0</xdr:col>
      <xdr:colOff>0</xdr:colOff>
      <xdr:row>274</xdr:row>
      <xdr:rowOff>0</xdr:rowOff>
    </xdr:from>
    <xdr:to>
      <xdr:col>8</xdr:col>
      <xdr:colOff>447675</xdr:colOff>
      <xdr:row>274</xdr:row>
      <xdr:rowOff>1164451</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27822525"/>
          <a:ext cx="5534025" cy="1164451"/>
        </a:xfrm>
        <a:prstGeom prst="rect">
          <a:avLst/>
        </a:prstGeom>
      </xdr:spPr>
    </xdr:pic>
    <xdr:clientData/>
  </xdr:twoCellAnchor>
  <xdr:twoCellAnchor editAs="oneCell">
    <xdr:from>
      <xdr:col>0</xdr:col>
      <xdr:colOff>0</xdr:colOff>
      <xdr:row>286</xdr:row>
      <xdr:rowOff>47624</xdr:rowOff>
    </xdr:from>
    <xdr:to>
      <xdr:col>8</xdr:col>
      <xdr:colOff>442614</xdr:colOff>
      <xdr:row>286</xdr:row>
      <xdr:rowOff>1428749</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68999099"/>
          <a:ext cx="5528964" cy="1381125"/>
        </a:xfrm>
        <a:prstGeom prst="rect">
          <a:avLst/>
        </a:prstGeom>
      </xdr:spPr>
    </xdr:pic>
    <xdr:clientData/>
  </xdr:twoCellAnchor>
  <xdr:twoCellAnchor editAs="oneCell">
    <xdr:from>
      <xdr:col>0</xdr:col>
      <xdr:colOff>0</xdr:colOff>
      <xdr:row>298</xdr:row>
      <xdr:rowOff>0</xdr:rowOff>
    </xdr:from>
    <xdr:to>
      <xdr:col>8</xdr:col>
      <xdr:colOff>457200</xdr:colOff>
      <xdr:row>298</xdr:row>
      <xdr:rowOff>1166455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37299900"/>
          <a:ext cx="5543550" cy="1166455"/>
        </a:xfrm>
        <a:prstGeom prst="rect">
          <a:avLst/>
        </a:prstGeom>
      </xdr:spPr>
    </xdr:pic>
    <xdr:clientData/>
  </xdr:twoCellAnchor>
  <xdr:twoCellAnchor editAs="oneCell">
    <xdr:from>
      <xdr:col>0</xdr:col>
      <xdr:colOff>0</xdr:colOff>
      <xdr:row>310</xdr:row>
      <xdr:rowOff>0</xdr:rowOff>
    </xdr:from>
    <xdr:to>
      <xdr:col>8</xdr:col>
      <xdr:colOff>400050</xdr:colOff>
      <xdr:row>310</xdr:row>
      <xdr:rowOff>1038225</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76390500"/>
          <a:ext cx="5486400" cy="1038225"/>
        </a:xfrm>
        <a:prstGeom prst="rect">
          <a:avLst/>
        </a:prstGeom>
      </xdr:spPr>
    </xdr:pic>
    <xdr:clientData/>
  </xdr:twoCellAnchor>
  <xdr:twoCellAnchor editAs="oneCell">
    <xdr:from>
      <xdr:col>0</xdr:col>
      <xdr:colOff>104775</xdr:colOff>
      <xdr:row>223</xdr:row>
      <xdr:rowOff>114300</xdr:rowOff>
    </xdr:from>
    <xdr:to>
      <xdr:col>1</xdr:col>
      <xdr:colOff>12065</xdr:colOff>
      <xdr:row>225</xdr:row>
      <xdr:rowOff>83185</xdr:rowOff>
    </xdr:to>
    <xdr:pic>
      <xdr:nvPicPr>
        <xdr:cNvPr id="27" name="Picture 26" descr="C:\Users\a\Desktop\Capture.JPG"/>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4775" y="51854100"/>
          <a:ext cx="516890" cy="349885"/>
        </a:xfrm>
        <a:prstGeom prst="rect">
          <a:avLst/>
        </a:prstGeom>
        <a:noFill/>
        <a:ln>
          <a:noFill/>
        </a:ln>
      </xdr:spPr>
    </xdr:pic>
    <xdr:clientData/>
  </xdr:twoCellAnchor>
  <xdr:twoCellAnchor editAs="oneCell">
    <xdr:from>
      <xdr:col>0</xdr:col>
      <xdr:colOff>133350</xdr:colOff>
      <xdr:row>211</xdr:row>
      <xdr:rowOff>180975</xdr:rowOff>
    </xdr:from>
    <xdr:to>
      <xdr:col>1</xdr:col>
      <xdr:colOff>40640</xdr:colOff>
      <xdr:row>213</xdr:row>
      <xdr:rowOff>149860</xdr:rowOff>
    </xdr:to>
    <xdr:pic>
      <xdr:nvPicPr>
        <xdr:cNvPr id="28" name="Picture 27" descr="C:\Users\a\Desktop\Capture.JPG"/>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50596800"/>
          <a:ext cx="516890" cy="349885"/>
        </a:xfrm>
        <a:prstGeom prst="rect">
          <a:avLst/>
        </a:prstGeom>
        <a:noFill/>
        <a:ln>
          <a:noFill/>
        </a:ln>
      </xdr:spPr>
    </xdr:pic>
    <xdr:clientData/>
  </xdr:twoCellAnchor>
  <xdr:twoCellAnchor editAs="oneCell">
    <xdr:from>
      <xdr:col>0</xdr:col>
      <xdr:colOff>0</xdr:colOff>
      <xdr:row>332</xdr:row>
      <xdr:rowOff>76200</xdr:rowOff>
    </xdr:from>
    <xdr:to>
      <xdr:col>9</xdr:col>
      <xdr:colOff>9525</xdr:colOff>
      <xdr:row>338</xdr:row>
      <xdr:rowOff>197846</xdr:rowOff>
    </xdr:to>
    <xdr:pic>
      <xdr:nvPicPr>
        <xdr:cNvPr id="32" name="Picture 31"/>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0" y="83153250"/>
          <a:ext cx="5753100" cy="1264646"/>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0.00338</cdr:x>
      <cdr:y>0.50277</cdr:y>
    </cdr:from>
    <cdr:to>
      <cdr:x>0.9799</cdr:x>
      <cdr:y>0.59712</cdr:y>
    </cdr:to>
    <cdr:pic>
      <cdr:nvPicPr>
        <cdr:cNvPr id="2" name="Picture 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19051" y="1407928"/>
          <a:ext cx="5497074" cy="264220"/>
        </a:xfrm>
        <a:prstGeom xmlns:a="http://schemas.openxmlformats.org/drawingml/2006/main" prst="rect">
          <a:avLst/>
        </a:prstGeom>
        <a:noFill xmlns:a="http://schemas.openxmlformats.org/drawingml/2006/main"/>
        <a:ln xmlns:a="http://schemas.openxmlformats.org/drawingml/2006/main">
          <a:noFill/>
        </a:ln>
        <a:scene3d xmlns:a="http://schemas.openxmlformats.org/drawingml/2006/main">
          <a:camera prst="orthographicFront"/>
          <a:lightRig rig="soft" dir="t"/>
        </a:scene3d>
        <a:sp3d xmlns:a="http://schemas.openxmlformats.org/drawingml/2006/main" prstMaterial="translucentPowder"/>
      </cdr:spPr>
    </cdr:pic>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1</xdr:col>
          <xdr:colOff>666750</xdr:colOff>
          <xdr:row>4</xdr:row>
          <xdr:rowOff>104775</xdr:rowOff>
        </xdr:to>
        <xdr:sp macro="" textlink="">
          <xdr:nvSpPr>
            <xdr:cNvPr id="5121" name="Object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0</xdr:colOff>
      <xdr:row>12</xdr:row>
      <xdr:rowOff>0</xdr:rowOff>
    </xdr:from>
    <xdr:to>
      <xdr:col>3</xdr:col>
      <xdr:colOff>38100</xdr:colOff>
      <xdr:row>13</xdr:row>
      <xdr:rowOff>104775</xdr:rowOff>
    </xdr:to>
    <xdr:grpSp>
      <xdr:nvGrpSpPr>
        <xdr:cNvPr id="2" name="Group 1"/>
        <xdr:cNvGrpSpPr>
          <a:grpSpLocks noChangeAspect="1"/>
        </xdr:cNvGrpSpPr>
      </xdr:nvGrpSpPr>
      <xdr:grpSpPr bwMode="auto">
        <a:xfrm>
          <a:off x="1828800" y="3390900"/>
          <a:ext cx="38100" cy="361950"/>
          <a:chOff x="201" y="166"/>
          <a:chExt cx="14" cy="29"/>
        </a:xfrm>
      </xdr:grpSpPr>
      <xdr:sp macro="" textlink="">
        <xdr:nvSpPr>
          <xdr:cNvPr id="3" name="AutoShape 2"/>
          <xdr:cNvSpPr>
            <a:spLocks noChangeAspect="1" noChangeArrowheads="1"/>
          </xdr:cNvSpPr>
        </xdr:nvSpPr>
        <xdr:spPr bwMode="auto">
          <a:xfrm>
            <a:off x="201" y="181"/>
            <a:ext cx="14" cy="14"/>
          </a:xfrm>
          <a:prstGeom prst="rect">
            <a:avLst/>
          </a:prstGeom>
          <a:noFill/>
          <a:ln w="9525">
            <a:noFill/>
            <a:miter lim="800000"/>
            <a:headEnd/>
            <a:tailEnd/>
          </a:ln>
        </xdr:spPr>
      </xdr:sp>
      <xdr:sp macro="" textlink="">
        <xdr:nvSpPr>
          <xdr:cNvPr id="4" name="Rectangle 3"/>
          <xdr:cNvSpPr>
            <a:spLocks noChangeArrowheads="1"/>
          </xdr:cNvSpPr>
        </xdr:nvSpPr>
        <xdr:spPr bwMode="auto">
          <a:xfrm>
            <a:off x="201" y="166"/>
            <a:ext cx="1" cy="15"/>
          </a:xfrm>
          <a:prstGeom prst="rect">
            <a:avLst/>
          </a:prstGeom>
          <a:noFill/>
          <a:ln w="9525">
            <a:noFill/>
            <a:miter lim="800000"/>
            <a:headEnd/>
            <a:tailEnd/>
          </a:ln>
        </xdr:spPr>
      </xdr:sp>
    </xdr:grpSp>
    <xdr:clientData/>
  </xdr:twoCellAnchor>
  <xdr:twoCellAnchor>
    <xdr:from>
      <xdr:col>3</xdr:col>
      <xdr:colOff>0</xdr:colOff>
      <xdr:row>13</xdr:row>
      <xdr:rowOff>57150</xdr:rowOff>
    </xdr:from>
    <xdr:to>
      <xdr:col>3</xdr:col>
      <xdr:colOff>38100</xdr:colOff>
      <xdr:row>14</xdr:row>
      <xdr:rowOff>133350</xdr:rowOff>
    </xdr:to>
    <xdr:grpSp>
      <xdr:nvGrpSpPr>
        <xdr:cNvPr id="5" name="Group 4"/>
        <xdr:cNvGrpSpPr>
          <a:grpSpLocks noChangeAspect="1"/>
        </xdr:cNvGrpSpPr>
      </xdr:nvGrpSpPr>
      <xdr:grpSpPr bwMode="auto">
        <a:xfrm>
          <a:off x="1828800" y="3705225"/>
          <a:ext cx="38100" cy="342900"/>
          <a:chOff x="201" y="169"/>
          <a:chExt cx="14" cy="26"/>
        </a:xfrm>
      </xdr:grpSpPr>
      <xdr:sp macro="" textlink="">
        <xdr:nvSpPr>
          <xdr:cNvPr id="6" name="AutoShape 5"/>
          <xdr:cNvSpPr>
            <a:spLocks noChangeAspect="1" noChangeArrowheads="1"/>
          </xdr:cNvSpPr>
        </xdr:nvSpPr>
        <xdr:spPr bwMode="auto">
          <a:xfrm>
            <a:off x="201" y="181"/>
            <a:ext cx="14" cy="14"/>
          </a:xfrm>
          <a:prstGeom prst="rect">
            <a:avLst/>
          </a:prstGeom>
          <a:noFill/>
          <a:ln w="9525">
            <a:noFill/>
            <a:miter lim="800000"/>
            <a:headEnd/>
            <a:tailEnd/>
          </a:ln>
        </xdr:spPr>
      </xdr:sp>
      <xdr:sp macro="" textlink="">
        <xdr:nvSpPr>
          <xdr:cNvPr id="7" name="Rectangle 6"/>
          <xdr:cNvSpPr>
            <a:spLocks noChangeArrowheads="1"/>
          </xdr:cNvSpPr>
        </xdr:nvSpPr>
        <xdr:spPr bwMode="auto">
          <a:xfrm>
            <a:off x="201" y="169"/>
            <a:ext cx="1" cy="15"/>
          </a:xfrm>
          <a:prstGeom prst="rect">
            <a:avLst/>
          </a:prstGeom>
          <a:noFill/>
          <a:ln w="9525">
            <a:noFill/>
            <a:miter lim="800000"/>
            <a:headEnd/>
            <a:tailEnd/>
          </a:ln>
        </xdr:spPr>
      </xdr:sp>
    </xdr:grpSp>
    <xdr:clientData/>
  </xdr:twoCellAnchor>
  <mc:AlternateContent xmlns:mc="http://schemas.openxmlformats.org/markup-compatibility/2006">
    <mc:Choice xmlns:a14="http://schemas.microsoft.com/office/drawing/2010/main" Requires="a14">
      <xdr:twoCellAnchor editAs="oneCell">
        <xdr:from>
          <xdr:col>2</xdr:col>
          <xdr:colOff>238125</xdr:colOff>
          <xdr:row>25</xdr:row>
          <xdr:rowOff>76200</xdr:rowOff>
        </xdr:from>
        <xdr:to>
          <xdr:col>2</xdr:col>
          <xdr:colOff>419100</xdr:colOff>
          <xdr:row>25</xdr:row>
          <xdr:rowOff>190500</xdr:rowOff>
        </xdr:to>
        <xdr:sp macro="" textlink="">
          <xdr:nvSpPr>
            <xdr:cNvPr id="4097" name="Object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25</xdr:row>
          <xdr:rowOff>209550</xdr:rowOff>
        </xdr:from>
        <xdr:to>
          <xdr:col>2</xdr:col>
          <xdr:colOff>438150</xdr:colOff>
          <xdr:row>26</xdr:row>
          <xdr:rowOff>180975</xdr:rowOff>
        </xdr:to>
        <xdr:sp macro="" textlink="">
          <xdr:nvSpPr>
            <xdr:cNvPr id="4098" name="Object 2"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27</xdr:row>
          <xdr:rowOff>0</xdr:rowOff>
        </xdr:from>
        <xdr:to>
          <xdr:col>2</xdr:col>
          <xdr:colOff>447675</xdr:colOff>
          <xdr:row>27</xdr:row>
          <xdr:rowOff>190500</xdr:rowOff>
        </xdr:to>
        <xdr:sp macro="" textlink="">
          <xdr:nvSpPr>
            <xdr:cNvPr id="4099" name="Object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27</xdr:row>
          <xdr:rowOff>209550</xdr:rowOff>
        </xdr:from>
        <xdr:to>
          <xdr:col>2</xdr:col>
          <xdr:colOff>438150</xdr:colOff>
          <xdr:row>28</xdr:row>
          <xdr:rowOff>180975</xdr:rowOff>
        </xdr:to>
        <xdr:sp macro="" textlink="">
          <xdr:nvSpPr>
            <xdr:cNvPr id="4100" name="Object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29</xdr:row>
          <xdr:rowOff>0</xdr:rowOff>
        </xdr:from>
        <xdr:to>
          <xdr:col>2</xdr:col>
          <xdr:colOff>447675</xdr:colOff>
          <xdr:row>29</xdr:row>
          <xdr:rowOff>190500</xdr:rowOff>
        </xdr:to>
        <xdr:sp macro="" textlink="">
          <xdr:nvSpPr>
            <xdr:cNvPr id="4101" name="Object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29</xdr:row>
          <xdr:rowOff>209550</xdr:rowOff>
        </xdr:from>
        <xdr:to>
          <xdr:col>2</xdr:col>
          <xdr:colOff>438150</xdr:colOff>
          <xdr:row>30</xdr:row>
          <xdr:rowOff>180975</xdr:rowOff>
        </xdr:to>
        <xdr:sp macro="" textlink="">
          <xdr:nvSpPr>
            <xdr:cNvPr id="4102" name="Object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31</xdr:row>
          <xdr:rowOff>0</xdr:rowOff>
        </xdr:from>
        <xdr:to>
          <xdr:col>2</xdr:col>
          <xdr:colOff>447675</xdr:colOff>
          <xdr:row>31</xdr:row>
          <xdr:rowOff>190500</xdr:rowOff>
        </xdr:to>
        <xdr:sp macro="" textlink="">
          <xdr:nvSpPr>
            <xdr:cNvPr id="4103" name="Object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32</xdr:row>
          <xdr:rowOff>76200</xdr:rowOff>
        </xdr:from>
        <xdr:to>
          <xdr:col>2</xdr:col>
          <xdr:colOff>419100</xdr:colOff>
          <xdr:row>32</xdr:row>
          <xdr:rowOff>190500</xdr:rowOff>
        </xdr:to>
        <xdr:sp macro="" textlink="">
          <xdr:nvSpPr>
            <xdr:cNvPr id="4104" name="Object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32</xdr:row>
          <xdr:rowOff>209550</xdr:rowOff>
        </xdr:from>
        <xdr:to>
          <xdr:col>2</xdr:col>
          <xdr:colOff>438150</xdr:colOff>
          <xdr:row>33</xdr:row>
          <xdr:rowOff>180975</xdr:rowOff>
        </xdr:to>
        <xdr:sp macro="" textlink="">
          <xdr:nvSpPr>
            <xdr:cNvPr id="4105" name="Object 9" hidden="1">
              <a:extLst>
                <a:ext uri="{63B3BB69-23CF-44E3-9099-C40C66FF867C}">
                  <a14:compatExt spid="_x0000_s4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34</xdr:row>
          <xdr:rowOff>0</xdr:rowOff>
        </xdr:from>
        <xdr:to>
          <xdr:col>2</xdr:col>
          <xdr:colOff>447675</xdr:colOff>
          <xdr:row>34</xdr:row>
          <xdr:rowOff>190500</xdr:rowOff>
        </xdr:to>
        <xdr:sp macro="" textlink="">
          <xdr:nvSpPr>
            <xdr:cNvPr id="4106" name="Object 10" hidden="1">
              <a:extLst>
                <a:ext uri="{63B3BB69-23CF-44E3-9099-C40C66FF867C}">
                  <a14:compatExt spid="_x0000_s4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39</xdr:row>
          <xdr:rowOff>76200</xdr:rowOff>
        </xdr:from>
        <xdr:to>
          <xdr:col>2</xdr:col>
          <xdr:colOff>419100</xdr:colOff>
          <xdr:row>39</xdr:row>
          <xdr:rowOff>190500</xdr:rowOff>
        </xdr:to>
        <xdr:sp macro="" textlink="">
          <xdr:nvSpPr>
            <xdr:cNvPr id="4107" name="Object 11" hidden="1">
              <a:extLst>
                <a:ext uri="{63B3BB69-23CF-44E3-9099-C40C66FF867C}">
                  <a14:compatExt spid="_x0000_s4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39</xdr:row>
          <xdr:rowOff>209550</xdr:rowOff>
        </xdr:from>
        <xdr:to>
          <xdr:col>2</xdr:col>
          <xdr:colOff>438150</xdr:colOff>
          <xdr:row>40</xdr:row>
          <xdr:rowOff>180975</xdr:rowOff>
        </xdr:to>
        <xdr:sp macro="" textlink="">
          <xdr:nvSpPr>
            <xdr:cNvPr id="4108" name="Object 12" hidden="1">
              <a:extLst>
                <a:ext uri="{63B3BB69-23CF-44E3-9099-C40C66FF867C}">
                  <a14:compatExt spid="_x0000_s4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41</xdr:row>
          <xdr:rowOff>0</xdr:rowOff>
        </xdr:from>
        <xdr:to>
          <xdr:col>2</xdr:col>
          <xdr:colOff>447675</xdr:colOff>
          <xdr:row>41</xdr:row>
          <xdr:rowOff>190500</xdr:rowOff>
        </xdr:to>
        <xdr:sp macro="" textlink="">
          <xdr:nvSpPr>
            <xdr:cNvPr id="4109" name="Object 13" hidden="1">
              <a:extLst>
                <a:ext uri="{63B3BB69-23CF-44E3-9099-C40C66FF867C}">
                  <a14:compatExt spid="_x0000_s4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34</xdr:row>
          <xdr:rowOff>209550</xdr:rowOff>
        </xdr:from>
        <xdr:to>
          <xdr:col>2</xdr:col>
          <xdr:colOff>438150</xdr:colOff>
          <xdr:row>35</xdr:row>
          <xdr:rowOff>180975</xdr:rowOff>
        </xdr:to>
        <xdr:sp macro="" textlink="">
          <xdr:nvSpPr>
            <xdr:cNvPr id="4110" name="Object 14" hidden="1">
              <a:extLst>
                <a:ext uri="{63B3BB69-23CF-44E3-9099-C40C66FF867C}">
                  <a14:compatExt spid="_x0000_s4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36</xdr:row>
          <xdr:rowOff>0</xdr:rowOff>
        </xdr:from>
        <xdr:to>
          <xdr:col>2</xdr:col>
          <xdr:colOff>447675</xdr:colOff>
          <xdr:row>36</xdr:row>
          <xdr:rowOff>190500</xdr:rowOff>
        </xdr:to>
        <xdr:sp macro="" textlink="">
          <xdr:nvSpPr>
            <xdr:cNvPr id="4111" name="Object 15" hidden="1">
              <a:extLst>
                <a:ext uri="{63B3BB69-23CF-44E3-9099-C40C66FF867C}">
                  <a14:compatExt spid="_x0000_s4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36</xdr:row>
          <xdr:rowOff>209550</xdr:rowOff>
        </xdr:from>
        <xdr:to>
          <xdr:col>2</xdr:col>
          <xdr:colOff>438150</xdr:colOff>
          <xdr:row>37</xdr:row>
          <xdr:rowOff>180975</xdr:rowOff>
        </xdr:to>
        <xdr:sp macro="" textlink="">
          <xdr:nvSpPr>
            <xdr:cNvPr id="4112" name="Object 16" hidden="1">
              <a:extLst>
                <a:ext uri="{63B3BB69-23CF-44E3-9099-C40C66FF867C}">
                  <a14:compatExt spid="_x0000_s4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38</xdr:row>
          <xdr:rowOff>0</xdr:rowOff>
        </xdr:from>
        <xdr:to>
          <xdr:col>2</xdr:col>
          <xdr:colOff>447675</xdr:colOff>
          <xdr:row>38</xdr:row>
          <xdr:rowOff>190500</xdr:rowOff>
        </xdr:to>
        <xdr:sp macro="" textlink="">
          <xdr:nvSpPr>
            <xdr:cNvPr id="4113" name="Object 17" hidden="1">
              <a:extLst>
                <a:ext uri="{63B3BB69-23CF-44E3-9099-C40C66FF867C}">
                  <a14:compatExt spid="_x0000_s4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41</xdr:row>
          <xdr:rowOff>209550</xdr:rowOff>
        </xdr:from>
        <xdr:to>
          <xdr:col>2</xdr:col>
          <xdr:colOff>438150</xdr:colOff>
          <xdr:row>42</xdr:row>
          <xdr:rowOff>180975</xdr:rowOff>
        </xdr:to>
        <xdr:sp macro="" textlink="">
          <xdr:nvSpPr>
            <xdr:cNvPr id="4114" name="Object 18" hidden="1">
              <a:extLst>
                <a:ext uri="{63B3BB69-23CF-44E3-9099-C40C66FF867C}">
                  <a14:compatExt spid="_x0000_s4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43</xdr:row>
          <xdr:rowOff>0</xdr:rowOff>
        </xdr:from>
        <xdr:to>
          <xdr:col>2</xdr:col>
          <xdr:colOff>457200</xdr:colOff>
          <xdr:row>43</xdr:row>
          <xdr:rowOff>190500</xdr:rowOff>
        </xdr:to>
        <xdr:sp macro="" textlink="">
          <xdr:nvSpPr>
            <xdr:cNvPr id="4115" name="Object 19" hidden="1">
              <a:extLst>
                <a:ext uri="{63B3BB69-23CF-44E3-9099-C40C66FF867C}">
                  <a14:compatExt spid="_x0000_s4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43</xdr:row>
          <xdr:rowOff>209550</xdr:rowOff>
        </xdr:from>
        <xdr:to>
          <xdr:col>2</xdr:col>
          <xdr:colOff>438150</xdr:colOff>
          <xdr:row>44</xdr:row>
          <xdr:rowOff>180975</xdr:rowOff>
        </xdr:to>
        <xdr:sp macro="" textlink="">
          <xdr:nvSpPr>
            <xdr:cNvPr id="4116" name="Object 20" hidden="1">
              <a:extLst>
                <a:ext uri="{63B3BB69-23CF-44E3-9099-C40C66FF867C}">
                  <a14:compatExt spid="_x0000_s4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45</xdr:row>
          <xdr:rowOff>0</xdr:rowOff>
        </xdr:from>
        <xdr:to>
          <xdr:col>2</xdr:col>
          <xdr:colOff>447675</xdr:colOff>
          <xdr:row>45</xdr:row>
          <xdr:rowOff>190500</xdr:rowOff>
        </xdr:to>
        <xdr:sp macro="" textlink="">
          <xdr:nvSpPr>
            <xdr:cNvPr id="4117" name="Object 21" hidden="1">
              <a:extLst>
                <a:ext uri="{63B3BB69-23CF-44E3-9099-C40C66FF867C}">
                  <a14:compatExt spid="_x0000_s4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18</xdr:row>
          <xdr:rowOff>0</xdr:rowOff>
        </xdr:from>
        <xdr:to>
          <xdr:col>2</xdr:col>
          <xdr:colOff>419100</xdr:colOff>
          <xdr:row>18</xdr:row>
          <xdr:rowOff>171450</xdr:rowOff>
        </xdr:to>
        <xdr:sp macro="" textlink="">
          <xdr:nvSpPr>
            <xdr:cNvPr id="4118" name="Object 22" hidden="1">
              <a:extLst>
                <a:ext uri="{63B3BB69-23CF-44E3-9099-C40C66FF867C}">
                  <a14:compatExt spid="_x0000_s4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18</xdr:row>
          <xdr:rowOff>209550</xdr:rowOff>
        </xdr:from>
        <xdr:to>
          <xdr:col>2</xdr:col>
          <xdr:colOff>438150</xdr:colOff>
          <xdr:row>19</xdr:row>
          <xdr:rowOff>180975</xdr:rowOff>
        </xdr:to>
        <xdr:sp macro="" textlink="">
          <xdr:nvSpPr>
            <xdr:cNvPr id="4119" name="Object 23" hidden="1">
              <a:extLst>
                <a:ext uri="{63B3BB69-23CF-44E3-9099-C40C66FF867C}">
                  <a14:compatExt spid="_x0000_s4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20</xdr:row>
          <xdr:rowOff>0</xdr:rowOff>
        </xdr:from>
        <xdr:to>
          <xdr:col>2</xdr:col>
          <xdr:colOff>447675</xdr:colOff>
          <xdr:row>20</xdr:row>
          <xdr:rowOff>190500</xdr:rowOff>
        </xdr:to>
        <xdr:sp macro="" textlink="">
          <xdr:nvSpPr>
            <xdr:cNvPr id="4120" name="Object 24" hidden="1">
              <a:extLst>
                <a:ext uri="{63B3BB69-23CF-44E3-9099-C40C66FF867C}">
                  <a14:compatExt spid="_x0000_s4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20</xdr:row>
          <xdr:rowOff>209550</xdr:rowOff>
        </xdr:from>
        <xdr:to>
          <xdr:col>2</xdr:col>
          <xdr:colOff>438150</xdr:colOff>
          <xdr:row>21</xdr:row>
          <xdr:rowOff>180975</xdr:rowOff>
        </xdr:to>
        <xdr:sp macro="" textlink="">
          <xdr:nvSpPr>
            <xdr:cNvPr id="4121" name="Object 25" hidden="1">
              <a:extLst>
                <a:ext uri="{63B3BB69-23CF-44E3-9099-C40C66FF867C}">
                  <a14:compatExt spid="_x0000_s4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22</xdr:row>
          <xdr:rowOff>0</xdr:rowOff>
        </xdr:from>
        <xdr:to>
          <xdr:col>2</xdr:col>
          <xdr:colOff>447675</xdr:colOff>
          <xdr:row>22</xdr:row>
          <xdr:rowOff>190500</xdr:rowOff>
        </xdr:to>
        <xdr:sp macro="" textlink="">
          <xdr:nvSpPr>
            <xdr:cNvPr id="4122" name="Object 26" hidden="1">
              <a:extLst>
                <a:ext uri="{63B3BB69-23CF-44E3-9099-C40C66FF867C}">
                  <a14:compatExt spid="_x0000_s4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24</xdr:row>
          <xdr:rowOff>0</xdr:rowOff>
        </xdr:from>
        <xdr:to>
          <xdr:col>15</xdr:col>
          <xdr:colOff>447675</xdr:colOff>
          <xdr:row>24</xdr:row>
          <xdr:rowOff>0</xdr:rowOff>
        </xdr:to>
        <xdr:sp macro="" textlink="">
          <xdr:nvSpPr>
            <xdr:cNvPr id="4123" name="Object 27" hidden="1">
              <a:extLst>
                <a:ext uri="{63B3BB69-23CF-44E3-9099-C40C66FF867C}">
                  <a14:compatExt spid="_x0000_s4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22</xdr:row>
          <xdr:rowOff>209550</xdr:rowOff>
        </xdr:from>
        <xdr:to>
          <xdr:col>2</xdr:col>
          <xdr:colOff>438150</xdr:colOff>
          <xdr:row>23</xdr:row>
          <xdr:rowOff>180975</xdr:rowOff>
        </xdr:to>
        <xdr:sp macro="" textlink="">
          <xdr:nvSpPr>
            <xdr:cNvPr id="4124" name="Object 28" hidden="1">
              <a:extLst>
                <a:ext uri="{63B3BB69-23CF-44E3-9099-C40C66FF867C}">
                  <a14:compatExt spid="_x0000_s4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24</xdr:row>
          <xdr:rowOff>0</xdr:rowOff>
        </xdr:from>
        <xdr:to>
          <xdr:col>2</xdr:col>
          <xdr:colOff>447675</xdr:colOff>
          <xdr:row>24</xdr:row>
          <xdr:rowOff>190500</xdr:rowOff>
        </xdr:to>
        <xdr:sp macro="" textlink="">
          <xdr:nvSpPr>
            <xdr:cNvPr id="4125" name="Object 29" hidden="1">
              <a:extLst>
                <a:ext uri="{63B3BB69-23CF-44E3-9099-C40C66FF867C}">
                  <a14:compatExt spid="_x0000_s4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22</xdr:row>
          <xdr:rowOff>76200</xdr:rowOff>
        </xdr:from>
        <xdr:to>
          <xdr:col>16</xdr:col>
          <xdr:colOff>533400</xdr:colOff>
          <xdr:row>25</xdr:row>
          <xdr:rowOff>123825</xdr:rowOff>
        </xdr:to>
        <xdr:sp macro="" textlink="">
          <xdr:nvSpPr>
            <xdr:cNvPr id="4126" name="Object 30" hidden="1">
              <a:extLst>
                <a:ext uri="{63B3BB69-23CF-44E3-9099-C40C66FF867C}">
                  <a14:compatExt spid="_x0000_s4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28575</xdr:rowOff>
        </xdr:from>
        <xdr:to>
          <xdr:col>2</xdr:col>
          <xdr:colOff>561975</xdr:colOff>
          <xdr:row>54</xdr:row>
          <xdr:rowOff>190500</xdr:rowOff>
        </xdr:to>
        <xdr:sp macro="" textlink="">
          <xdr:nvSpPr>
            <xdr:cNvPr id="4127" name="Object 31" hidden="1">
              <a:extLst>
                <a:ext uri="{63B3BB69-23CF-44E3-9099-C40C66FF867C}">
                  <a14:compatExt spid="_x0000_s4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55</xdr:row>
          <xdr:rowOff>28575</xdr:rowOff>
        </xdr:from>
        <xdr:to>
          <xdr:col>2</xdr:col>
          <xdr:colOff>561975</xdr:colOff>
          <xdr:row>55</xdr:row>
          <xdr:rowOff>190500</xdr:rowOff>
        </xdr:to>
        <xdr:sp macro="" textlink="">
          <xdr:nvSpPr>
            <xdr:cNvPr id="4128" name="Object 32" hidden="1">
              <a:extLst>
                <a:ext uri="{63B3BB69-23CF-44E3-9099-C40C66FF867C}">
                  <a14:compatExt spid="_x0000_s4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28575</xdr:rowOff>
        </xdr:from>
        <xdr:to>
          <xdr:col>2</xdr:col>
          <xdr:colOff>581025</xdr:colOff>
          <xdr:row>57</xdr:row>
          <xdr:rowOff>190500</xdr:rowOff>
        </xdr:to>
        <xdr:sp macro="" textlink="">
          <xdr:nvSpPr>
            <xdr:cNvPr id="4129" name="Object 33" hidden="1">
              <a:extLst>
                <a:ext uri="{63B3BB69-23CF-44E3-9099-C40C66FF867C}">
                  <a14:compatExt spid="_x0000_s4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28575</xdr:rowOff>
        </xdr:from>
        <xdr:to>
          <xdr:col>2</xdr:col>
          <xdr:colOff>581025</xdr:colOff>
          <xdr:row>58</xdr:row>
          <xdr:rowOff>190500</xdr:rowOff>
        </xdr:to>
        <xdr:sp macro="" textlink="">
          <xdr:nvSpPr>
            <xdr:cNvPr id="4130" name="Object 34" hidden="1">
              <a:extLst>
                <a:ext uri="{63B3BB69-23CF-44E3-9099-C40C66FF867C}">
                  <a14:compatExt spid="_x0000_s4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28575</xdr:rowOff>
        </xdr:from>
        <xdr:to>
          <xdr:col>2</xdr:col>
          <xdr:colOff>581025</xdr:colOff>
          <xdr:row>59</xdr:row>
          <xdr:rowOff>190500</xdr:rowOff>
        </xdr:to>
        <xdr:sp macro="" textlink="">
          <xdr:nvSpPr>
            <xdr:cNvPr id="4131" name="Object 35" hidden="1">
              <a:extLst>
                <a:ext uri="{63B3BB69-23CF-44E3-9099-C40C66FF867C}">
                  <a14:compatExt spid="_x0000_s4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28575</xdr:rowOff>
        </xdr:from>
        <xdr:to>
          <xdr:col>2</xdr:col>
          <xdr:colOff>581025</xdr:colOff>
          <xdr:row>60</xdr:row>
          <xdr:rowOff>190500</xdr:rowOff>
        </xdr:to>
        <xdr:sp macro="" textlink="">
          <xdr:nvSpPr>
            <xdr:cNvPr id="4132" name="Object 36" hidden="1">
              <a:extLst>
                <a:ext uri="{63B3BB69-23CF-44E3-9099-C40C66FF867C}">
                  <a14:compatExt spid="_x0000_s4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28575</xdr:rowOff>
        </xdr:from>
        <xdr:to>
          <xdr:col>2</xdr:col>
          <xdr:colOff>581025</xdr:colOff>
          <xdr:row>61</xdr:row>
          <xdr:rowOff>190500</xdr:rowOff>
        </xdr:to>
        <xdr:sp macro="" textlink="">
          <xdr:nvSpPr>
            <xdr:cNvPr id="4133" name="Object 37" hidden="1">
              <a:extLst>
                <a:ext uri="{63B3BB69-23CF-44E3-9099-C40C66FF867C}">
                  <a14:compatExt spid="_x0000_s4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28575</xdr:rowOff>
        </xdr:from>
        <xdr:to>
          <xdr:col>2</xdr:col>
          <xdr:colOff>581025</xdr:colOff>
          <xdr:row>63</xdr:row>
          <xdr:rowOff>190500</xdr:rowOff>
        </xdr:to>
        <xdr:sp macro="" textlink="">
          <xdr:nvSpPr>
            <xdr:cNvPr id="4134" name="Object 38" hidden="1">
              <a:extLst>
                <a:ext uri="{63B3BB69-23CF-44E3-9099-C40C66FF867C}">
                  <a14:compatExt spid="_x0000_s4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28575</xdr:rowOff>
        </xdr:from>
        <xdr:to>
          <xdr:col>2</xdr:col>
          <xdr:colOff>581025</xdr:colOff>
          <xdr:row>64</xdr:row>
          <xdr:rowOff>190500</xdr:rowOff>
        </xdr:to>
        <xdr:sp macro="" textlink="">
          <xdr:nvSpPr>
            <xdr:cNvPr id="4135" name="Object 39" hidden="1">
              <a:extLst>
                <a:ext uri="{63B3BB69-23CF-44E3-9099-C40C66FF867C}">
                  <a14:compatExt spid="_x0000_s4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28575</xdr:rowOff>
        </xdr:from>
        <xdr:to>
          <xdr:col>2</xdr:col>
          <xdr:colOff>581025</xdr:colOff>
          <xdr:row>65</xdr:row>
          <xdr:rowOff>190500</xdr:rowOff>
        </xdr:to>
        <xdr:sp macro="" textlink="">
          <xdr:nvSpPr>
            <xdr:cNvPr id="4136" name="Object 40" hidden="1">
              <a:extLst>
                <a:ext uri="{63B3BB69-23CF-44E3-9099-C40C66FF867C}">
                  <a14:compatExt spid="_x0000_s4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28575</xdr:rowOff>
        </xdr:from>
        <xdr:to>
          <xdr:col>2</xdr:col>
          <xdr:colOff>581025</xdr:colOff>
          <xdr:row>66</xdr:row>
          <xdr:rowOff>190500</xdr:rowOff>
        </xdr:to>
        <xdr:sp macro="" textlink="">
          <xdr:nvSpPr>
            <xdr:cNvPr id="4137" name="Object 41" hidden="1">
              <a:extLst>
                <a:ext uri="{63B3BB69-23CF-44E3-9099-C40C66FF867C}">
                  <a14:compatExt spid="_x0000_s4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28575</xdr:rowOff>
        </xdr:from>
        <xdr:to>
          <xdr:col>2</xdr:col>
          <xdr:colOff>581025</xdr:colOff>
          <xdr:row>67</xdr:row>
          <xdr:rowOff>190500</xdr:rowOff>
        </xdr:to>
        <xdr:sp macro="" textlink="">
          <xdr:nvSpPr>
            <xdr:cNvPr id="4138" name="Object 42" hidden="1">
              <a:extLst>
                <a:ext uri="{63B3BB69-23CF-44E3-9099-C40C66FF867C}">
                  <a14:compatExt spid="_x0000_s4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68</xdr:row>
          <xdr:rowOff>28575</xdr:rowOff>
        </xdr:from>
        <xdr:to>
          <xdr:col>2</xdr:col>
          <xdr:colOff>590550</xdr:colOff>
          <xdr:row>68</xdr:row>
          <xdr:rowOff>190500</xdr:rowOff>
        </xdr:to>
        <xdr:sp macro="" textlink="">
          <xdr:nvSpPr>
            <xdr:cNvPr id="4139" name="Object 43" hidden="1">
              <a:extLst>
                <a:ext uri="{63B3BB69-23CF-44E3-9099-C40C66FF867C}">
                  <a14:compatExt spid="_x0000_s4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69</xdr:row>
          <xdr:rowOff>28575</xdr:rowOff>
        </xdr:from>
        <xdr:to>
          <xdr:col>2</xdr:col>
          <xdr:colOff>581025</xdr:colOff>
          <xdr:row>69</xdr:row>
          <xdr:rowOff>190500</xdr:rowOff>
        </xdr:to>
        <xdr:sp macro="" textlink="">
          <xdr:nvSpPr>
            <xdr:cNvPr id="4140" name="Object 44" hidden="1">
              <a:extLst>
                <a:ext uri="{63B3BB69-23CF-44E3-9099-C40C66FF867C}">
                  <a14:compatExt spid="_x0000_s4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71</xdr:row>
          <xdr:rowOff>28575</xdr:rowOff>
        </xdr:from>
        <xdr:to>
          <xdr:col>2</xdr:col>
          <xdr:colOff>581025</xdr:colOff>
          <xdr:row>71</xdr:row>
          <xdr:rowOff>190500</xdr:rowOff>
        </xdr:to>
        <xdr:sp macro="" textlink="">
          <xdr:nvSpPr>
            <xdr:cNvPr id="4141" name="Object 45" hidden="1">
              <a:extLst>
                <a:ext uri="{63B3BB69-23CF-44E3-9099-C40C66FF867C}">
                  <a14:compatExt spid="_x0000_s4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72</xdr:row>
          <xdr:rowOff>19050</xdr:rowOff>
        </xdr:from>
        <xdr:to>
          <xdr:col>2</xdr:col>
          <xdr:colOff>571500</xdr:colOff>
          <xdr:row>72</xdr:row>
          <xdr:rowOff>190500</xdr:rowOff>
        </xdr:to>
        <xdr:sp macro="" textlink="">
          <xdr:nvSpPr>
            <xdr:cNvPr id="4142" name="Object 46" hidden="1">
              <a:extLst>
                <a:ext uri="{63B3BB69-23CF-44E3-9099-C40C66FF867C}">
                  <a14:compatExt spid="_x0000_s4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73</xdr:row>
          <xdr:rowOff>28575</xdr:rowOff>
        </xdr:from>
        <xdr:to>
          <xdr:col>2</xdr:col>
          <xdr:colOff>581025</xdr:colOff>
          <xdr:row>73</xdr:row>
          <xdr:rowOff>190500</xdr:rowOff>
        </xdr:to>
        <xdr:sp macro="" textlink="">
          <xdr:nvSpPr>
            <xdr:cNvPr id="4143" name="Object 47" hidden="1">
              <a:extLst>
                <a:ext uri="{63B3BB69-23CF-44E3-9099-C40C66FF867C}">
                  <a14:compatExt spid="_x0000_s4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74</xdr:row>
          <xdr:rowOff>28575</xdr:rowOff>
        </xdr:from>
        <xdr:to>
          <xdr:col>2</xdr:col>
          <xdr:colOff>581025</xdr:colOff>
          <xdr:row>74</xdr:row>
          <xdr:rowOff>190500</xdr:rowOff>
        </xdr:to>
        <xdr:sp macro="" textlink="">
          <xdr:nvSpPr>
            <xdr:cNvPr id="4144" name="Object 48" hidden="1">
              <a:extLst>
                <a:ext uri="{63B3BB69-23CF-44E3-9099-C40C66FF867C}">
                  <a14:compatExt spid="_x0000_s4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75</xdr:row>
          <xdr:rowOff>28575</xdr:rowOff>
        </xdr:from>
        <xdr:to>
          <xdr:col>2</xdr:col>
          <xdr:colOff>581025</xdr:colOff>
          <xdr:row>75</xdr:row>
          <xdr:rowOff>190500</xdr:rowOff>
        </xdr:to>
        <xdr:sp macro="" textlink="">
          <xdr:nvSpPr>
            <xdr:cNvPr id="4145" name="Object 49" hidden="1">
              <a:extLst>
                <a:ext uri="{63B3BB69-23CF-44E3-9099-C40C66FF867C}">
                  <a14:compatExt spid="_x0000_s4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76</xdr:row>
          <xdr:rowOff>28575</xdr:rowOff>
        </xdr:from>
        <xdr:to>
          <xdr:col>2</xdr:col>
          <xdr:colOff>581025</xdr:colOff>
          <xdr:row>76</xdr:row>
          <xdr:rowOff>190500</xdr:rowOff>
        </xdr:to>
        <xdr:sp macro="" textlink="">
          <xdr:nvSpPr>
            <xdr:cNvPr id="4146" name="Object 50" hidden="1">
              <a:extLst>
                <a:ext uri="{63B3BB69-23CF-44E3-9099-C40C66FF867C}">
                  <a14:compatExt spid="_x0000_s4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77</xdr:row>
          <xdr:rowOff>28575</xdr:rowOff>
        </xdr:from>
        <xdr:to>
          <xdr:col>2</xdr:col>
          <xdr:colOff>581025</xdr:colOff>
          <xdr:row>77</xdr:row>
          <xdr:rowOff>190500</xdr:rowOff>
        </xdr:to>
        <xdr:sp macro="" textlink="">
          <xdr:nvSpPr>
            <xdr:cNvPr id="4147" name="Object 51" hidden="1">
              <a:extLst>
                <a:ext uri="{63B3BB69-23CF-44E3-9099-C40C66FF867C}">
                  <a14:compatExt spid="_x0000_s4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17</xdr:row>
          <xdr:rowOff>0</xdr:rowOff>
        </xdr:from>
        <xdr:to>
          <xdr:col>0</xdr:col>
          <xdr:colOff>485775</xdr:colOff>
          <xdr:row>18</xdr:row>
          <xdr:rowOff>9525</xdr:rowOff>
        </xdr:to>
        <xdr:sp macro="" textlink="">
          <xdr:nvSpPr>
            <xdr:cNvPr id="4148" name="Object 52" hidden="1">
              <a:extLst>
                <a:ext uri="{63B3BB69-23CF-44E3-9099-C40C66FF867C}">
                  <a14:compatExt spid="_x0000_s414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image" Target="../media/image7.emf"/><Relationship Id="rId3" Type="http://schemas.openxmlformats.org/officeDocument/2006/relationships/vmlDrawing" Target="../drawings/vmlDrawing1.vml"/><Relationship Id="rId21" Type="http://schemas.openxmlformats.org/officeDocument/2006/relationships/oleObject" Target="../embeddings/oleObject10.bin"/><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oleObject" Target="../embeddings/oleObject8.bin"/><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image" Target="../media/image8.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emf"/><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9.emf"/><Relationship Id="rId10" Type="http://schemas.openxmlformats.org/officeDocument/2006/relationships/oleObject" Target="../embeddings/oleObject4.bin"/><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14.bin"/><Relationship Id="rId13" Type="http://schemas.openxmlformats.org/officeDocument/2006/relationships/image" Target="../media/image21.emf"/><Relationship Id="rId3" Type="http://schemas.openxmlformats.org/officeDocument/2006/relationships/vmlDrawing" Target="../drawings/vmlDrawing2.vml"/><Relationship Id="rId7" Type="http://schemas.openxmlformats.org/officeDocument/2006/relationships/image" Target="../media/image18.emf"/><Relationship Id="rId12" Type="http://schemas.openxmlformats.org/officeDocument/2006/relationships/oleObject" Target="../embeddings/oleObject16.bin"/><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13.bin"/><Relationship Id="rId11" Type="http://schemas.openxmlformats.org/officeDocument/2006/relationships/image" Target="../media/image20.emf"/><Relationship Id="rId5" Type="http://schemas.openxmlformats.org/officeDocument/2006/relationships/image" Target="../media/image17.emf"/><Relationship Id="rId10" Type="http://schemas.openxmlformats.org/officeDocument/2006/relationships/oleObject" Target="../embeddings/oleObject15.bin"/><Relationship Id="rId4" Type="http://schemas.openxmlformats.org/officeDocument/2006/relationships/oleObject" Target="../embeddings/oleObject12.bin"/><Relationship Id="rId9" Type="http://schemas.openxmlformats.org/officeDocument/2006/relationships/image" Target="../media/image19.emf"/><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oleObject" Target="../embeddings/oleObject17.bin"/></Relationships>
</file>

<file path=xl/worksheets/_rels/sheet5.xml.rels><?xml version="1.0" encoding="UTF-8" standalone="yes"?>
<Relationships xmlns="http://schemas.openxmlformats.org/package/2006/relationships"><Relationship Id="rId13" Type="http://schemas.openxmlformats.org/officeDocument/2006/relationships/oleObject" Target="../embeddings/oleObject24.bin"/><Relationship Id="rId18" Type="http://schemas.openxmlformats.org/officeDocument/2006/relationships/oleObject" Target="../embeddings/oleObject29.bin"/><Relationship Id="rId26" Type="http://schemas.openxmlformats.org/officeDocument/2006/relationships/oleObject" Target="../embeddings/oleObject37.bin"/><Relationship Id="rId39" Type="http://schemas.openxmlformats.org/officeDocument/2006/relationships/image" Target="../media/image50.emf"/><Relationship Id="rId21" Type="http://schemas.openxmlformats.org/officeDocument/2006/relationships/oleObject" Target="../embeddings/oleObject32.bin"/><Relationship Id="rId34" Type="http://schemas.openxmlformats.org/officeDocument/2006/relationships/oleObject" Target="../embeddings/oleObject45.bin"/><Relationship Id="rId42" Type="http://schemas.openxmlformats.org/officeDocument/2006/relationships/oleObject" Target="../embeddings/oleObject50.bin"/><Relationship Id="rId47" Type="http://schemas.openxmlformats.org/officeDocument/2006/relationships/image" Target="../media/image54.emf"/><Relationship Id="rId50" Type="http://schemas.openxmlformats.org/officeDocument/2006/relationships/oleObject" Target="../embeddings/oleObject54.bin"/><Relationship Id="rId55" Type="http://schemas.openxmlformats.org/officeDocument/2006/relationships/image" Target="../media/image58.emf"/><Relationship Id="rId63" Type="http://schemas.openxmlformats.org/officeDocument/2006/relationships/image" Target="../media/image62.emf"/><Relationship Id="rId68" Type="http://schemas.openxmlformats.org/officeDocument/2006/relationships/oleObject" Target="../embeddings/oleObject63.bin"/><Relationship Id="rId76" Type="http://schemas.openxmlformats.org/officeDocument/2006/relationships/oleObject" Target="../embeddings/oleObject67.bin"/><Relationship Id="rId7" Type="http://schemas.openxmlformats.org/officeDocument/2006/relationships/image" Target="../media/image47.emf"/><Relationship Id="rId71" Type="http://schemas.openxmlformats.org/officeDocument/2006/relationships/image" Target="../media/image66.emf"/><Relationship Id="rId2" Type="http://schemas.openxmlformats.org/officeDocument/2006/relationships/drawing" Target="../drawings/drawing6.xml"/><Relationship Id="rId16" Type="http://schemas.openxmlformats.org/officeDocument/2006/relationships/oleObject" Target="../embeddings/oleObject27.bin"/><Relationship Id="rId29" Type="http://schemas.openxmlformats.org/officeDocument/2006/relationships/oleObject" Target="../embeddings/oleObject40.bin"/><Relationship Id="rId11" Type="http://schemas.openxmlformats.org/officeDocument/2006/relationships/oleObject" Target="../embeddings/oleObject22.bin"/><Relationship Id="rId24" Type="http://schemas.openxmlformats.org/officeDocument/2006/relationships/oleObject" Target="../embeddings/oleObject35.bin"/><Relationship Id="rId32" Type="http://schemas.openxmlformats.org/officeDocument/2006/relationships/oleObject" Target="../embeddings/oleObject43.bin"/><Relationship Id="rId37" Type="http://schemas.openxmlformats.org/officeDocument/2006/relationships/image" Target="../media/image49.emf"/><Relationship Id="rId40" Type="http://schemas.openxmlformats.org/officeDocument/2006/relationships/oleObject" Target="../embeddings/oleObject49.bin"/><Relationship Id="rId45" Type="http://schemas.openxmlformats.org/officeDocument/2006/relationships/image" Target="../media/image53.emf"/><Relationship Id="rId53" Type="http://schemas.openxmlformats.org/officeDocument/2006/relationships/image" Target="../media/image57.emf"/><Relationship Id="rId58" Type="http://schemas.openxmlformats.org/officeDocument/2006/relationships/oleObject" Target="../embeddings/oleObject58.bin"/><Relationship Id="rId66" Type="http://schemas.openxmlformats.org/officeDocument/2006/relationships/oleObject" Target="../embeddings/oleObject62.bin"/><Relationship Id="rId74" Type="http://schemas.openxmlformats.org/officeDocument/2006/relationships/oleObject" Target="../embeddings/oleObject66.bin"/><Relationship Id="rId79" Type="http://schemas.openxmlformats.org/officeDocument/2006/relationships/image" Target="../media/image70.emf"/><Relationship Id="rId5" Type="http://schemas.openxmlformats.org/officeDocument/2006/relationships/image" Target="../media/image46.emf"/><Relationship Id="rId61" Type="http://schemas.openxmlformats.org/officeDocument/2006/relationships/image" Target="../media/image61.emf"/><Relationship Id="rId10" Type="http://schemas.openxmlformats.org/officeDocument/2006/relationships/oleObject" Target="../embeddings/oleObject21.bin"/><Relationship Id="rId19" Type="http://schemas.openxmlformats.org/officeDocument/2006/relationships/oleObject" Target="../embeddings/oleObject30.bin"/><Relationship Id="rId31" Type="http://schemas.openxmlformats.org/officeDocument/2006/relationships/oleObject" Target="../embeddings/oleObject42.bin"/><Relationship Id="rId44" Type="http://schemas.openxmlformats.org/officeDocument/2006/relationships/oleObject" Target="../embeddings/oleObject51.bin"/><Relationship Id="rId52" Type="http://schemas.openxmlformats.org/officeDocument/2006/relationships/oleObject" Target="../embeddings/oleObject55.bin"/><Relationship Id="rId60" Type="http://schemas.openxmlformats.org/officeDocument/2006/relationships/oleObject" Target="../embeddings/oleObject59.bin"/><Relationship Id="rId65" Type="http://schemas.openxmlformats.org/officeDocument/2006/relationships/image" Target="../media/image63.emf"/><Relationship Id="rId73" Type="http://schemas.openxmlformats.org/officeDocument/2006/relationships/image" Target="../media/image67.emf"/><Relationship Id="rId78" Type="http://schemas.openxmlformats.org/officeDocument/2006/relationships/oleObject" Target="../embeddings/oleObject68.bin"/><Relationship Id="rId81" Type="http://schemas.openxmlformats.org/officeDocument/2006/relationships/image" Target="../media/image71.emf"/><Relationship Id="rId4" Type="http://schemas.openxmlformats.org/officeDocument/2006/relationships/oleObject" Target="../embeddings/oleObject18.bin"/><Relationship Id="rId9" Type="http://schemas.openxmlformats.org/officeDocument/2006/relationships/image" Target="../media/image48.emf"/><Relationship Id="rId14" Type="http://schemas.openxmlformats.org/officeDocument/2006/relationships/oleObject" Target="../embeddings/oleObject25.bin"/><Relationship Id="rId22" Type="http://schemas.openxmlformats.org/officeDocument/2006/relationships/oleObject" Target="../embeddings/oleObject33.bin"/><Relationship Id="rId27" Type="http://schemas.openxmlformats.org/officeDocument/2006/relationships/oleObject" Target="../embeddings/oleObject38.bin"/><Relationship Id="rId30" Type="http://schemas.openxmlformats.org/officeDocument/2006/relationships/oleObject" Target="../embeddings/oleObject41.bin"/><Relationship Id="rId35" Type="http://schemas.openxmlformats.org/officeDocument/2006/relationships/oleObject" Target="../embeddings/oleObject46.bin"/><Relationship Id="rId43" Type="http://schemas.openxmlformats.org/officeDocument/2006/relationships/image" Target="../media/image52.emf"/><Relationship Id="rId48" Type="http://schemas.openxmlformats.org/officeDocument/2006/relationships/oleObject" Target="../embeddings/oleObject53.bin"/><Relationship Id="rId56" Type="http://schemas.openxmlformats.org/officeDocument/2006/relationships/oleObject" Target="../embeddings/oleObject57.bin"/><Relationship Id="rId64" Type="http://schemas.openxmlformats.org/officeDocument/2006/relationships/oleObject" Target="../embeddings/oleObject61.bin"/><Relationship Id="rId69" Type="http://schemas.openxmlformats.org/officeDocument/2006/relationships/image" Target="../media/image65.emf"/><Relationship Id="rId77" Type="http://schemas.openxmlformats.org/officeDocument/2006/relationships/image" Target="../media/image69.emf"/><Relationship Id="rId8" Type="http://schemas.openxmlformats.org/officeDocument/2006/relationships/oleObject" Target="../embeddings/oleObject20.bin"/><Relationship Id="rId51" Type="http://schemas.openxmlformats.org/officeDocument/2006/relationships/image" Target="../media/image56.emf"/><Relationship Id="rId72" Type="http://schemas.openxmlformats.org/officeDocument/2006/relationships/oleObject" Target="../embeddings/oleObject65.bin"/><Relationship Id="rId80" Type="http://schemas.openxmlformats.org/officeDocument/2006/relationships/oleObject" Target="../embeddings/oleObject69.bin"/><Relationship Id="rId3" Type="http://schemas.openxmlformats.org/officeDocument/2006/relationships/vmlDrawing" Target="../drawings/vmlDrawing4.vml"/><Relationship Id="rId12" Type="http://schemas.openxmlformats.org/officeDocument/2006/relationships/oleObject" Target="../embeddings/oleObject23.bin"/><Relationship Id="rId17" Type="http://schemas.openxmlformats.org/officeDocument/2006/relationships/oleObject" Target="../embeddings/oleObject28.bin"/><Relationship Id="rId25" Type="http://schemas.openxmlformats.org/officeDocument/2006/relationships/oleObject" Target="../embeddings/oleObject36.bin"/><Relationship Id="rId33" Type="http://schemas.openxmlformats.org/officeDocument/2006/relationships/oleObject" Target="../embeddings/oleObject44.bin"/><Relationship Id="rId38" Type="http://schemas.openxmlformats.org/officeDocument/2006/relationships/oleObject" Target="../embeddings/oleObject48.bin"/><Relationship Id="rId46" Type="http://schemas.openxmlformats.org/officeDocument/2006/relationships/oleObject" Target="../embeddings/oleObject52.bin"/><Relationship Id="rId59" Type="http://schemas.openxmlformats.org/officeDocument/2006/relationships/image" Target="../media/image60.emf"/><Relationship Id="rId67" Type="http://schemas.openxmlformats.org/officeDocument/2006/relationships/image" Target="../media/image64.emf"/><Relationship Id="rId20" Type="http://schemas.openxmlformats.org/officeDocument/2006/relationships/oleObject" Target="../embeddings/oleObject31.bin"/><Relationship Id="rId41" Type="http://schemas.openxmlformats.org/officeDocument/2006/relationships/image" Target="../media/image51.emf"/><Relationship Id="rId54" Type="http://schemas.openxmlformats.org/officeDocument/2006/relationships/oleObject" Target="../embeddings/oleObject56.bin"/><Relationship Id="rId62" Type="http://schemas.openxmlformats.org/officeDocument/2006/relationships/oleObject" Target="../embeddings/oleObject60.bin"/><Relationship Id="rId70" Type="http://schemas.openxmlformats.org/officeDocument/2006/relationships/oleObject" Target="../embeddings/oleObject64.bin"/><Relationship Id="rId75" Type="http://schemas.openxmlformats.org/officeDocument/2006/relationships/image" Target="../media/image68.emf"/><Relationship Id="rId1" Type="http://schemas.openxmlformats.org/officeDocument/2006/relationships/printerSettings" Target="../printerSettings/printerSettings5.bin"/><Relationship Id="rId6" Type="http://schemas.openxmlformats.org/officeDocument/2006/relationships/oleObject" Target="../embeddings/oleObject19.bin"/><Relationship Id="rId15" Type="http://schemas.openxmlformats.org/officeDocument/2006/relationships/oleObject" Target="../embeddings/oleObject26.bin"/><Relationship Id="rId23" Type="http://schemas.openxmlformats.org/officeDocument/2006/relationships/oleObject" Target="../embeddings/oleObject34.bin"/><Relationship Id="rId28" Type="http://schemas.openxmlformats.org/officeDocument/2006/relationships/oleObject" Target="../embeddings/oleObject39.bin"/><Relationship Id="rId36" Type="http://schemas.openxmlformats.org/officeDocument/2006/relationships/oleObject" Target="../embeddings/oleObject47.bin"/><Relationship Id="rId49" Type="http://schemas.openxmlformats.org/officeDocument/2006/relationships/image" Target="../media/image55.emf"/><Relationship Id="rId57" Type="http://schemas.openxmlformats.org/officeDocument/2006/relationships/image" Target="../media/image5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84"/>
  <sheetViews>
    <sheetView tabSelected="1" view="pageBreakPreview" topLeftCell="A169" zoomScale="120" zoomScaleNormal="110" zoomScaleSheetLayoutView="120" workbookViewId="0">
      <selection activeCell="D46" sqref="D46:D55"/>
    </sheetView>
  </sheetViews>
  <sheetFormatPr defaultRowHeight="15.75"/>
  <cols>
    <col min="1" max="1" width="10.140625" style="4" customWidth="1"/>
    <col min="2" max="2" width="14.5703125" style="4" customWidth="1"/>
    <col min="3" max="3" width="9.28515625" style="4" customWidth="1"/>
    <col min="4" max="4" width="11.140625" style="4" customWidth="1"/>
    <col min="5" max="5" width="12.5703125" style="4" customWidth="1"/>
    <col min="6" max="6" width="13.5703125" style="4" customWidth="1"/>
    <col min="7" max="7" width="10.7109375" style="5" customWidth="1"/>
    <col min="8" max="8" width="8.5703125" style="5" customWidth="1"/>
    <col min="9" max="9" width="8.42578125" style="221" customWidth="1"/>
    <col min="10" max="11" width="12.7109375" style="221" bestFit="1" customWidth="1"/>
    <col min="12" max="12" width="4.42578125" style="221" bestFit="1" customWidth="1"/>
    <col min="13" max="13" width="9.140625" style="212"/>
    <col min="14" max="14" width="9.140625" style="205"/>
    <col min="15" max="16384" width="9.140625" style="4"/>
  </cols>
  <sheetData>
    <row r="1" spans="1:8">
      <c r="C1" s="368" t="s">
        <v>161</v>
      </c>
      <c r="D1" s="368"/>
      <c r="E1" s="368"/>
      <c r="F1" s="368"/>
      <c r="G1" s="368"/>
      <c r="H1" s="368"/>
    </row>
    <row r="2" spans="1:8">
      <c r="C2" s="368"/>
      <c r="D2" s="368"/>
      <c r="E2" s="368"/>
      <c r="F2" s="368"/>
      <c r="G2" s="368"/>
      <c r="H2" s="368"/>
    </row>
    <row r="3" spans="1:8">
      <c r="C3" s="369" t="s">
        <v>165</v>
      </c>
      <c r="D3" s="370"/>
      <c r="E3" s="370"/>
      <c r="F3" s="370"/>
      <c r="G3" s="370"/>
      <c r="H3" s="370"/>
    </row>
    <row r="4" spans="1:8">
      <c r="C4" s="370"/>
      <c r="D4" s="370"/>
      <c r="E4" s="370"/>
      <c r="F4" s="370"/>
      <c r="G4" s="370"/>
      <c r="H4" s="370"/>
    </row>
    <row r="5" spans="1:8" ht="12" customHeight="1"/>
    <row r="6" spans="1:8" ht="18.75" customHeight="1">
      <c r="A6" s="368" t="s">
        <v>162</v>
      </c>
      <c r="B6" s="368"/>
      <c r="C6" s="368"/>
      <c r="D6" s="368"/>
      <c r="E6" s="368"/>
      <c r="F6" s="368"/>
      <c r="G6" s="368"/>
      <c r="H6" s="368"/>
    </row>
    <row r="7" spans="1:8">
      <c r="A7" s="368"/>
      <c r="B7" s="368"/>
      <c r="C7" s="368"/>
      <c r="D7" s="368"/>
      <c r="E7" s="368"/>
      <c r="F7" s="368"/>
      <c r="G7" s="368"/>
      <c r="H7" s="368"/>
    </row>
    <row r="8" spans="1:8">
      <c r="B8" s="4" t="s">
        <v>163</v>
      </c>
    </row>
    <row r="9" spans="1:8">
      <c r="B9" s="4" t="s">
        <v>164</v>
      </c>
    </row>
    <row r="10" spans="1:8">
      <c r="A10" s="11" t="s">
        <v>314</v>
      </c>
    </row>
    <row r="45" spans="1:8" ht="18.75" customHeight="1">
      <c r="A45" s="6" t="s">
        <v>315</v>
      </c>
    </row>
    <row r="46" spans="1:8">
      <c r="B46" s="379" t="s">
        <v>59</v>
      </c>
      <c r="C46" s="379"/>
      <c r="D46" s="1">
        <v>2.5</v>
      </c>
      <c r="F46" s="7"/>
      <c r="G46" s="8"/>
      <c r="H46" s="8"/>
    </row>
    <row r="47" spans="1:8">
      <c r="B47" s="379" t="s">
        <v>60</v>
      </c>
      <c r="C47" s="379"/>
      <c r="D47" s="1">
        <v>6</v>
      </c>
      <c r="F47" s="7"/>
      <c r="G47" s="8"/>
      <c r="H47" s="8"/>
    </row>
    <row r="48" spans="1:8">
      <c r="B48" s="379" t="s">
        <v>54</v>
      </c>
      <c r="C48" s="379"/>
      <c r="D48" s="1">
        <v>800</v>
      </c>
      <c r="F48" s="7"/>
      <c r="G48" s="8"/>
      <c r="H48" s="8"/>
    </row>
    <row r="49" spans="1:13">
      <c r="B49" s="380" t="s">
        <v>52</v>
      </c>
      <c r="C49" s="380"/>
      <c r="D49" s="2" t="s">
        <v>3</v>
      </c>
      <c r="F49" s="7"/>
      <c r="G49" s="8"/>
      <c r="H49" s="8"/>
      <c r="J49" s="222">
        <f>IF(D49='CĐ Thep-BT'!D9,12.5,IF(D49='CĐ Thep-BT'!E9,15,IF(D49='CĐ Thep-BT'!F9,20,IF(D49='CĐ Thep-BT'!G9,25,IF(D49='CĐ Thep-BT'!H9,30,IF('CĐ Thep-BT'!I9=D49,35,IF(D49='CĐ Thep-BT'!J9,40,IF(D49='CĐ Thep-BT'!K9,45,IF(D49='CĐ Thep-BT'!L9,50,IF(D49='CĐ Thep-BT'!M9,55,IF(D49='CĐ Thep-BT'!N9,60,0)))))))))))</f>
        <v>15</v>
      </c>
      <c r="K49" s="221" t="s">
        <v>305</v>
      </c>
      <c r="L49" s="221">
        <v>0.75</v>
      </c>
      <c r="M49" s="221">
        <f>IF(D50=K49,L49,L50)</f>
        <v>0.6</v>
      </c>
    </row>
    <row r="50" spans="1:13">
      <c r="B50" s="377" t="s">
        <v>304</v>
      </c>
      <c r="C50" s="378"/>
      <c r="D50" s="2" t="s">
        <v>306</v>
      </c>
      <c r="F50" s="7"/>
      <c r="G50" s="8"/>
      <c r="H50" s="8"/>
      <c r="J50" s="222"/>
      <c r="K50" s="221" t="s">
        <v>306</v>
      </c>
      <c r="L50" s="221">
        <v>0.6</v>
      </c>
      <c r="M50" s="221"/>
    </row>
    <row r="51" spans="1:13">
      <c r="B51" s="380" t="s">
        <v>57</v>
      </c>
      <c r="C51" s="380"/>
      <c r="D51" s="1">
        <v>3</v>
      </c>
      <c r="F51" s="9"/>
      <c r="G51" s="10"/>
      <c r="H51" s="8"/>
      <c r="J51" s="9"/>
      <c r="M51" s="221"/>
    </row>
    <row r="52" spans="1:13">
      <c r="B52" s="380" t="s">
        <v>53</v>
      </c>
      <c r="C52" s="380"/>
      <c r="D52" s="2" t="s">
        <v>14</v>
      </c>
      <c r="F52" s="9"/>
      <c r="G52" s="10"/>
      <c r="H52" s="8"/>
      <c r="J52" s="223">
        <f>HLOOKUP(D52,'CĐ Thep-BT'!$D$16:$O$21,6)</f>
        <v>1</v>
      </c>
      <c r="M52" s="221"/>
    </row>
    <row r="53" spans="1:13">
      <c r="B53" s="380" t="s">
        <v>55</v>
      </c>
      <c r="C53" s="380"/>
      <c r="D53" s="2" t="s">
        <v>14</v>
      </c>
      <c r="F53" s="9"/>
      <c r="G53" s="10"/>
      <c r="H53" s="8"/>
      <c r="J53" s="223">
        <f>HLOOKUP(D53,'CĐ Thep-BT'!$D$16:$O$21,6)</f>
        <v>1</v>
      </c>
      <c r="M53" s="221"/>
    </row>
    <row r="54" spans="1:13">
      <c r="B54" s="380" t="s">
        <v>56</v>
      </c>
      <c r="C54" s="380"/>
      <c r="D54" s="2" t="s">
        <v>14</v>
      </c>
      <c r="F54" s="9"/>
      <c r="G54" s="10"/>
      <c r="H54" s="8"/>
      <c r="J54" s="223">
        <f>HLOOKUP(D54,'CĐ Thep-BT'!$D$16:$O$21,6)</f>
        <v>1</v>
      </c>
      <c r="M54" s="221"/>
    </row>
    <row r="55" spans="1:13">
      <c r="B55" s="379" t="s">
        <v>58</v>
      </c>
      <c r="C55" s="379"/>
      <c r="D55" s="2">
        <v>0.9</v>
      </c>
      <c r="E55" s="9"/>
      <c r="F55" s="9"/>
      <c r="G55" s="10"/>
      <c r="H55" s="8"/>
    </row>
    <row r="56" spans="1:13" ht="9.75" customHeight="1">
      <c r="F56" s="7"/>
      <c r="G56" s="8"/>
      <c r="H56" s="8"/>
    </row>
    <row r="57" spans="1:13">
      <c r="A57" s="11" t="s">
        <v>189</v>
      </c>
      <c r="F57" s="7"/>
      <c r="G57" s="8"/>
      <c r="H57" s="8"/>
    </row>
    <row r="58" spans="1:13">
      <c r="A58" s="4" t="s">
        <v>317</v>
      </c>
      <c r="D58" s="291">
        <f>D47/D46</f>
        <v>2.4</v>
      </c>
    </row>
    <row r="59" spans="1:13">
      <c r="A59" s="335" t="str">
        <f>IF(D58&gt;2,"--&gt; Bản 1 phương","--&gt; Bản 2 phương")</f>
        <v>--&gt; Bản 1 phương</v>
      </c>
      <c r="C59" s="291"/>
    </row>
    <row r="60" spans="1:13" ht="87" customHeight="1">
      <c r="A60" s="335"/>
      <c r="C60" s="291"/>
    </row>
    <row r="61" spans="1:13" ht="87" customHeight="1">
      <c r="A61" s="335"/>
      <c r="C61" s="291"/>
    </row>
    <row r="62" spans="1:13" ht="69.75" customHeight="1">
      <c r="A62" s="335"/>
      <c r="C62" s="291"/>
    </row>
    <row r="63" spans="1:13">
      <c r="A63" s="4" t="s">
        <v>79</v>
      </c>
    </row>
    <row r="64" spans="1:13">
      <c r="A64" s="4" t="str">
        <f>"- Bê tông "&amp;D49&amp;" có :"</f>
        <v>- Bê tông B15 có :</v>
      </c>
    </row>
    <row r="65" spans="1:14" ht="19.5">
      <c r="C65" s="336" t="s">
        <v>80</v>
      </c>
      <c r="D65" s="336" t="s">
        <v>81</v>
      </c>
      <c r="E65" s="336" t="s">
        <v>243</v>
      </c>
      <c r="G65" s="12"/>
      <c r="H65" s="12"/>
    </row>
    <row r="66" spans="1:14">
      <c r="C66" s="13">
        <f>HLOOKUP($D$49,'CĐ Thep-BT'!$D$9:$N$12,2,0)</f>
        <v>8.5</v>
      </c>
      <c r="D66" s="13">
        <f>HLOOKUP($D$49,'CĐ Thep-BT'!$D$9:$N$12,3,0)</f>
        <v>0.75</v>
      </c>
      <c r="E66" s="13">
        <f>HLOOKUP($D$49,'CĐ Thep-BT'!$D$9:$N$12,4,0)</f>
        <v>23</v>
      </c>
      <c r="G66" s="12"/>
      <c r="H66" s="12"/>
    </row>
    <row r="67" spans="1:14">
      <c r="A67" s="4" t="str">
        <f>"- Cốt thép dầm loại "&amp;D52&amp;" có :"</f>
        <v>- Cốt thép dầm loại AI có :</v>
      </c>
    </row>
    <row r="68" spans="1:14" s="14" customFormat="1" ht="19.5">
      <c r="C68" s="337" t="s">
        <v>82</v>
      </c>
      <c r="D68" s="337" t="s">
        <v>83</v>
      </c>
      <c r="E68" s="337" t="s">
        <v>84</v>
      </c>
      <c r="F68" s="337" t="s">
        <v>244</v>
      </c>
      <c r="G68" s="338"/>
      <c r="H68" s="8"/>
      <c r="I68" s="224"/>
      <c r="J68" s="224"/>
      <c r="K68" s="224"/>
      <c r="L68" s="224"/>
      <c r="M68" s="213"/>
      <c r="N68" s="206"/>
    </row>
    <row r="69" spans="1:14" s="14" customFormat="1" ht="17.25">
      <c r="C69" s="339">
        <f>HLOOKUP($D$52,'CĐ Thep-BT'!$D$16:$O$20,2,0)</f>
        <v>225</v>
      </c>
      <c r="D69" s="339">
        <f>HLOOKUP($D$52,'CĐ Thep-BT'!$D$16:$O$20,3,0)</f>
        <v>225</v>
      </c>
      <c r="E69" s="339">
        <f>HLOOKUP($D$52,'CĐ Thep-BT'!$D$16:$O$20,4,0)</f>
        <v>175</v>
      </c>
      <c r="F69" s="339">
        <f>HLOOKUP($D$52,'CĐ Thep-BT'!$D$16:$O$20,5,0)</f>
        <v>21</v>
      </c>
      <c r="G69" s="338"/>
      <c r="H69" s="8"/>
      <c r="I69" s="224"/>
      <c r="J69" s="224"/>
      <c r="K69" s="224"/>
      <c r="L69" s="224"/>
      <c r="M69" s="213"/>
      <c r="N69" s="206"/>
    </row>
    <row r="70" spans="1:14" s="14" customFormat="1" ht="16.5" customHeight="1">
      <c r="A70" s="15" t="str">
        <f>"- Cốt thép sàn loại "&amp;D53&amp;" có :"</f>
        <v>- Cốt thép sàn loại AI có :</v>
      </c>
      <c r="B70" s="4"/>
      <c r="C70" s="340"/>
      <c r="D70" s="341"/>
      <c r="E70" s="341"/>
      <c r="F70" s="341"/>
      <c r="G70" s="338"/>
      <c r="H70" s="8"/>
      <c r="I70" s="224"/>
      <c r="J70" s="224"/>
      <c r="K70" s="224"/>
      <c r="L70" s="224"/>
      <c r="M70" s="213"/>
      <c r="N70" s="206"/>
    </row>
    <row r="71" spans="1:14" s="14" customFormat="1" ht="19.5">
      <c r="A71" s="4"/>
      <c r="B71" s="4"/>
      <c r="C71" s="337" t="s">
        <v>82</v>
      </c>
      <c r="D71" s="337" t="s">
        <v>83</v>
      </c>
      <c r="E71" s="337" t="s">
        <v>84</v>
      </c>
      <c r="F71" s="337" t="s">
        <v>244</v>
      </c>
      <c r="G71" s="338"/>
      <c r="H71" s="8"/>
      <c r="I71" s="224"/>
      <c r="J71" s="224"/>
      <c r="K71" s="224"/>
      <c r="L71" s="224"/>
      <c r="M71" s="213"/>
      <c r="N71" s="206"/>
    </row>
    <row r="72" spans="1:14" s="14" customFormat="1" ht="17.25">
      <c r="A72" s="4"/>
      <c r="B72" s="4"/>
      <c r="C72" s="339">
        <f>HLOOKUP(D53,'CĐ Thep-BT'!$D$16:$O$20,2,0)</f>
        <v>225</v>
      </c>
      <c r="D72" s="339">
        <f>HLOOKUP(D53,'CĐ Thep-BT'!$D$16:$O$20,3,0)</f>
        <v>225</v>
      </c>
      <c r="E72" s="339">
        <f>HLOOKUP(D53,'CĐ Thep-BT'!$D$16:$O$20,4,0)</f>
        <v>175</v>
      </c>
      <c r="F72" s="339">
        <f>HLOOKUP(D53,'CĐ Thep-BT'!$D$16:$O$20,5,0)</f>
        <v>21</v>
      </c>
      <c r="G72" s="338"/>
      <c r="H72" s="8"/>
      <c r="I72" s="224"/>
      <c r="J72" s="224"/>
      <c r="K72" s="224"/>
      <c r="L72" s="224"/>
      <c r="M72" s="213"/>
      <c r="N72" s="206"/>
    </row>
    <row r="73" spans="1:14">
      <c r="A73" s="15" t="str">
        <f>"- Cốt thép đai loại "&amp;D54&amp;" có :"</f>
        <v>- Cốt thép đai loại AI có :</v>
      </c>
      <c r="C73" s="340"/>
      <c r="D73" s="341"/>
      <c r="E73" s="341"/>
      <c r="F73" s="341"/>
      <c r="G73" s="342"/>
    </row>
    <row r="74" spans="1:14" ht="19.5">
      <c r="C74" s="337" t="s">
        <v>82</v>
      </c>
      <c r="D74" s="337" t="s">
        <v>83</v>
      </c>
      <c r="E74" s="337" t="s">
        <v>84</v>
      </c>
      <c r="F74" s="337" t="s">
        <v>244</v>
      </c>
      <c r="G74" s="342"/>
    </row>
    <row r="75" spans="1:14" ht="17.25">
      <c r="C75" s="339">
        <f>HLOOKUP(D54,'CĐ Thep-BT'!$D$16:$O$20,2,0)</f>
        <v>225</v>
      </c>
      <c r="D75" s="339">
        <f>HLOOKUP(D54,'CĐ Thep-BT'!$D$16:$O$20,3,0)</f>
        <v>225</v>
      </c>
      <c r="E75" s="339">
        <f>HLOOKUP(D54,'CĐ Thep-BT'!$D$16:$O$20,4,0)</f>
        <v>175</v>
      </c>
      <c r="F75" s="339">
        <f>HLOOKUP(D54,'CĐ Thep-BT'!$D$16:$O$20,5,0)</f>
        <v>21</v>
      </c>
      <c r="G75" s="342"/>
    </row>
    <row r="77" spans="1:14" ht="25.5">
      <c r="A77" s="381" t="s">
        <v>61</v>
      </c>
      <c r="B77" s="381"/>
      <c r="C77" s="381"/>
      <c r="D77" s="381"/>
      <c r="E77" s="381"/>
      <c r="F77" s="381"/>
      <c r="G77" s="381"/>
      <c r="H77" s="381"/>
    </row>
    <row r="78" spans="1:14" s="16" customFormat="1" ht="17.25" customHeight="1">
      <c r="A78" s="382" t="s">
        <v>70</v>
      </c>
      <c r="B78" s="382"/>
      <c r="C78" s="382"/>
      <c r="D78" s="382"/>
      <c r="E78" s="344" t="s">
        <v>71</v>
      </c>
      <c r="F78" s="344"/>
      <c r="G78" s="344"/>
      <c r="H78" s="344"/>
      <c r="I78" s="344"/>
      <c r="J78" s="225"/>
      <c r="K78" s="225"/>
      <c r="L78" s="225"/>
      <c r="M78" s="214"/>
      <c r="N78" s="207"/>
    </row>
    <row r="79" spans="1:14" s="16" customFormat="1" ht="33.75" customHeight="1">
      <c r="A79" s="382"/>
      <c r="B79" s="382"/>
      <c r="C79" s="382"/>
      <c r="D79" s="382"/>
      <c r="E79" s="287" t="s">
        <v>68</v>
      </c>
      <c r="F79" s="287" t="s">
        <v>69</v>
      </c>
      <c r="G79" s="293" t="s">
        <v>170</v>
      </c>
      <c r="H79" s="343" t="s">
        <v>171</v>
      </c>
      <c r="I79" s="343"/>
      <c r="J79" s="225"/>
      <c r="K79" s="225"/>
      <c r="L79" s="225"/>
      <c r="M79" s="214"/>
      <c r="N79" s="207"/>
    </row>
    <row r="80" spans="1:14" ht="15.75" customHeight="1">
      <c r="A80" s="17" t="s">
        <v>62</v>
      </c>
      <c r="B80" s="167" t="s">
        <v>63</v>
      </c>
      <c r="C80" s="168" t="s">
        <v>73</v>
      </c>
      <c r="D80" s="18">
        <f>1.1*D46*1000/32.5</f>
        <v>84.615384615384613</v>
      </c>
      <c r="E80" s="19">
        <v>-0.32</v>
      </c>
      <c r="F80" s="19">
        <v>0.37</v>
      </c>
      <c r="G80" s="292">
        <f>ROUND(IF($D80*(1+E80)&lt;0,0,$D80*(1+E80)),0)</f>
        <v>58</v>
      </c>
      <c r="H80" s="345">
        <f>ROUND(IF($D80*(1+F80)&lt;0,0,$D80*(1+F80)),0)</f>
        <v>116</v>
      </c>
      <c r="I80" s="345"/>
    </row>
    <row r="81" spans="1:14" ht="18.75">
      <c r="A81" s="346" t="s">
        <v>64</v>
      </c>
      <c r="B81" s="167" t="s">
        <v>65</v>
      </c>
      <c r="C81" s="168" t="s">
        <v>74</v>
      </c>
      <c r="D81" s="20">
        <f>D47*1000/12</f>
        <v>500</v>
      </c>
      <c r="E81" s="21">
        <v>-0.14000000000000001</v>
      </c>
      <c r="F81" s="21">
        <v>0.14000000000000001</v>
      </c>
      <c r="G81" s="292">
        <f t="shared" ref="G81:G84" si="0">ROUND(IF($D81*(1+E81)&lt;0,0,$D81*(1+E81)),0)</f>
        <v>430</v>
      </c>
      <c r="H81" s="345">
        <f t="shared" ref="H81:H84" si="1">ROUND(IF($D81*(1+F81)&lt;0,0,$D81*(1+F81)),0)</f>
        <v>570</v>
      </c>
      <c r="I81" s="345"/>
    </row>
    <row r="82" spans="1:14" ht="18.75">
      <c r="A82" s="346"/>
      <c r="B82" s="167" t="s">
        <v>66</v>
      </c>
      <c r="C82" s="168" t="s">
        <v>75</v>
      </c>
      <c r="D82" s="20">
        <f>D81/3</f>
        <v>166.66666666666666</v>
      </c>
      <c r="E82" s="21">
        <v>-0.25</v>
      </c>
      <c r="F82" s="21">
        <v>0.5</v>
      </c>
      <c r="G82" s="292">
        <f t="shared" si="0"/>
        <v>125</v>
      </c>
      <c r="H82" s="345">
        <f t="shared" si="1"/>
        <v>250</v>
      </c>
      <c r="I82" s="345"/>
    </row>
    <row r="83" spans="1:14" ht="18.75">
      <c r="A83" s="346" t="s">
        <v>67</v>
      </c>
      <c r="B83" s="167" t="s">
        <v>65</v>
      </c>
      <c r="C83" s="168" t="s">
        <v>76</v>
      </c>
      <c r="D83" s="20">
        <f>D46*D51*100</f>
        <v>750</v>
      </c>
      <c r="E83" s="21">
        <v>-0.16</v>
      </c>
      <c r="F83" s="21">
        <v>0.25</v>
      </c>
      <c r="G83" s="292">
        <f t="shared" si="0"/>
        <v>630</v>
      </c>
      <c r="H83" s="345">
        <f t="shared" si="1"/>
        <v>938</v>
      </c>
      <c r="I83" s="345"/>
    </row>
    <row r="84" spans="1:14" ht="18.75">
      <c r="A84" s="346"/>
      <c r="B84" s="167" t="s">
        <v>66</v>
      </c>
      <c r="C84" s="168" t="s">
        <v>77</v>
      </c>
      <c r="D84" s="20">
        <f>D83/3</f>
        <v>250</v>
      </c>
      <c r="E84" s="21">
        <v>-0.25</v>
      </c>
      <c r="F84" s="21">
        <v>0.5</v>
      </c>
      <c r="G84" s="292">
        <f t="shared" si="0"/>
        <v>188</v>
      </c>
      <c r="H84" s="345">
        <f t="shared" si="1"/>
        <v>375</v>
      </c>
      <c r="I84" s="345"/>
    </row>
    <row r="86" spans="1:14" s="24" customFormat="1" ht="20.25" customHeight="1">
      <c r="B86" s="359" t="s">
        <v>72</v>
      </c>
      <c r="C86" s="360"/>
      <c r="D86" s="360"/>
      <c r="E86" s="360"/>
      <c r="F86" s="361"/>
      <c r="G86" s="283" t="s">
        <v>78</v>
      </c>
      <c r="H86" s="23"/>
      <c r="I86" s="226"/>
      <c r="J86" s="226"/>
      <c r="K86" s="226"/>
      <c r="L86" s="226"/>
      <c r="M86" s="215"/>
      <c r="N86" s="208"/>
    </row>
    <row r="87" spans="1:14" ht="16.5" customHeight="1">
      <c r="B87" s="284" t="s">
        <v>62</v>
      </c>
      <c r="C87" s="167" t="s">
        <v>63</v>
      </c>
      <c r="D87" s="241"/>
      <c r="E87" s="168" t="s">
        <v>73</v>
      </c>
      <c r="F87" s="3">
        <v>90</v>
      </c>
      <c r="G87" s="13" t="str">
        <f>IF(AND(OR(G80&lt;F87,G80=F87),OR(F87&lt;H80,F87=H80)),"Đạt","Chọn lại")</f>
        <v>Đạt</v>
      </c>
      <c r="H87" s="12"/>
    </row>
    <row r="88" spans="1:14" ht="18.75">
      <c r="B88" s="346" t="s">
        <v>64</v>
      </c>
      <c r="C88" s="167" t="s">
        <v>65</v>
      </c>
      <c r="D88" s="241"/>
      <c r="E88" s="168" t="s">
        <v>74</v>
      </c>
      <c r="F88" s="3">
        <v>500</v>
      </c>
      <c r="G88" s="13" t="str">
        <f>IF(AND(OR(G81&lt;F88,G81=F88),OR(F88&lt;H81,F88=H81)),"Đạt","Chọn lại")</f>
        <v>Đạt</v>
      </c>
      <c r="H88" s="12"/>
    </row>
    <row r="89" spans="1:14" ht="18.75">
      <c r="B89" s="346"/>
      <c r="C89" s="167" t="s">
        <v>66</v>
      </c>
      <c r="D89" s="241"/>
      <c r="E89" s="168" t="s">
        <v>75</v>
      </c>
      <c r="F89" s="3">
        <v>250</v>
      </c>
      <c r="G89" s="13" t="str">
        <f>IF(AND(OR(G82&lt;F89,G82=F89),OR(F89&lt;H82,F89=H82)),"Đạt","Chọn lại")</f>
        <v>Đạt</v>
      </c>
      <c r="H89" s="12"/>
    </row>
    <row r="90" spans="1:14" ht="18.75">
      <c r="B90" s="346" t="s">
        <v>67</v>
      </c>
      <c r="C90" s="167" t="s">
        <v>65</v>
      </c>
      <c r="D90" s="241"/>
      <c r="E90" s="168" t="s">
        <v>76</v>
      </c>
      <c r="F90" s="3">
        <v>750</v>
      </c>
      <c r="G90" s="13" t="str">
        <f>IF(AND(OR(G83&lt;F90,G83=F90),OR(F90&lt;H83,F90=H83)),"Đạt","Chọn lại")</f>
        <v>Đạt</v>
      </c>
      <c r="H90" s="12"/>
    </row>
    <row r="91" spans="1:14" ht="18.75">
      <c r="B91" s="346"/>
      <c r="C91" s="167" t="s">
        <v>66</v>
      </c>
      <c r="D91" s="241"/>
      <c r="E91" s="168" t="s">
        <v>77</v>
      </c>
      <c r="F91" s="3">
        <v>300</v>
      </c>
      <c r="G91" s="13" t="str">
        <f>IF(AND(OR(G84&lt;F91,G84=F91),OR(F91&lt;H84,F91=H84)),"Đạt","Chọn lại")</f>
        <v>Đạt</v>
      </c>
      <c r="H91" s="12"/>
    </row>
    <row r="93" spans="1:14" ht="18.75">
      <c r="A93" s="4" t="s">
        <v>85</v>
      </c>
      <c r="F93" s="194"/>
      <c r="G93" s="194"/>
    </row>
    <row r="94" spans="1:14" ht="9.75" customHeight="1">
      <c r="F94" s="194"/>
      <c r="G94" s="194"/>
    </row>
    <row r="95" spans="1:14">
      <c r="F95" s="26">
        <f>F87</f>
        <v>90</v>
      </c>
      <c r="G95" s="194"/>
    </row>
    <row r="96" spans="1:14" ht="11.25" customHeight="1">
      <c r="F96" s="194"/>
      <c r="G96" s="194"/>
    </row>
    <row r="97" spans="1:14" ht="18" customHeight="1">
      <c r="F97" s="194"/>
      <c r="G97" s="194"/>
      <c r="H97" s="22">
        <f>F88</f>
        <v>500</v>
      </c>
    </row>
    <row r="98" spans="1:14">
      <c r="F98" s="194"/>
      <c r="G98" s="194"/>
    </row>
    <row r="99" spans="1:14" ht="18.75" customHeight="1">
      <c r="A99" s="26">
        <f>F89/2</f>
        <v>125</v>
      </c>
      <c r="B99" s="26" t="str">
        <f>F89/2&amp;"        "&amp;E99</f>
        <v>125        2250</v>
      </c>
      <c r="C99" s="4">
        <f>F89/2</f>
        <v>125</v>
      </c>
      <c r="D99" s="4">
        <f>F89/2</f>
        <v>125</v>
      </c>
      <c r="E99" s="291">
        <v>2250</v>
      </c>
      <c r="F99" s="291" t="str">
        <f>F89/2&amp;"      "</f>
        <v xml:space="preserve">125      </v>
      </c>
      <c r="G99" s="26">
        <v>125</v>
      </c>
    </row>
    <row r="100" spans="1:14" ht="20.25" customHeight="1">
      <c r="C100" s="28">
        <f>D46*1000</f>
        <v>2500</v>
      </c>
      <c r="E100" s="29">
        <f>D46*1000</f>
        <v>2500</v>
      </c>
    </row>
    <row r="103" spans="1:14">
      <c r="A103" s="347" t="s">
        <v>86</v>
      </c>
      <c r="B103" s="347"/>
      <c r="C103" s="347"/>
      <c r="D103" s="347"/>
      <c r="E103" s="347"/>
      <c r="F103" s="347"/>
      <c r="G103" s="347"/>
    </row>
    <row r="104" spans="1:14" ht="31.5" customHeight="1">
      <c r="A104" s="391" t="s">
        <v>87</v>
      </c>
      <c r="B104" s="391"/>
      <c r="C104" s="391"/>
      <c r="D104" s="391"/>
      <c r="E104" s="391"/>
      <c r="F104" s="391"/>
      <c r="G104" s="391"/>
      <c r="H104" s="391"/>
      <c r="I104" s="391"/>
    </row>
    <row r="105" spans="1:14" ht="18.75">
      <c r="A105" s="387" t="s">
        <v>98</v>
      </c>
      <c r="B105" s="387"/>
      <c r="C105" s="4" t="str">
        <f>D46*1000&amp;" - "&amp;F89&amp;" = "</f>
        <v xml:space="preserve">2500 - 250 = </v>
      </c>
      <c r="D105" s="30"/>
      <c r="E105" s="31">
        <f>D46*1000-F89</f>
        <v>2250</v>
      </c>
      <c r="F105" s="15" t="s">
        <v>89</v>
      </c>
    </row>
    <row r="106" spans="1:14" ht="18.75">
      <c r="A106" s="387" t="s">
        <v>99</v>
      </c>
      <c r="B106" s="387"/>
      <c r="C106" s="4" t="str">
        <f>D46*1000&amp;" - (3/2) x "&amp;F89&amp;" = "</f>
        <v xml:space="preserve">2500 - (3/2) x 250 = </v>
      </c>
      <c r="E106" s="31">
        <f>D46*1000-(F89*3/2)</f>
        <v>2125</v>
      </c>
      <c r="F106" s="15" t="s">
        <v>89</v>
      </c>
    </row>
    <row r="109" spans="1:14" ht="9" customHeight="1"/>
    <row r="110" spans="1:14" s="289" customFormat="1" ht="17.25" customHeight="1">
      <c r="E110" s="290"/>
      <c r="G110" s="25"/>
      <c r="H110" s="25"/>
      <c r="I110" s="227"/>
      <c r="J110" s="227"/>
      <c r="K110" s="227"/>
      <c r="L110" s="227"/>
      <c r="M110" s="216"/>
      <c r="N110" s="209"/>
    </row>
    <row r="113" spans="1:6" ht="104.25" customHeight="1"/>
    <row r="114" spans="1:6">
      <c r="A114" s="11" t="s">
        <v>190</v>
      </c>
    </row>
    <row r="115" spans="1:6" ht="32.25" customHeight="1">
      <c r="B115" s="388" t="s">
        <v>90</v>
      </c>
      <c r="C115" s="388" t="s">
        <v>96</v>
      </c>
      <c r="D115" s="388" t="s">
        <v>95</v>
      </c>
      <c r="E115" s="388" t="s">
        <v>97</v>
      </c>
      <c r="F115" s="388" t="s">
        <v>262</v>
      </c>
    </row>
    <row r="116" spans="1:6" ht="28.5" customHeight="1">
      <c r="B116" s="389"/>
      <c r="C116" s="388"/>
      <c r="D116" s="389"/>
      <c r="E116" s="389"/>
      <c r="F116" s="389"/>
    </row>
    <row r="117" spans="1:6">
      <c r="B117" s="32" t="s">
        <v>92</v>
      </c>
      <c r="C117" s="42">
        <v>40</v>
      </c>
      <c r="D117" s="42">
        <v>0.01</v>
      </c>
      <c r="E117" s="42">
        <v>1.1000000000000001</v>
      </c>
      <c r="F117" s="33">
        <f>ROUND(C117*D117*E117,3)</f>
        <v>0.44</v>
      </c>
    </row>
    <row r="118" spans="1:6">
      <c r="B118" s="32" t="s">
        <v>91</v>
      </c>
      <c r="C118" s="42">
        <v>20</v>
      </c>
      <c r="D118" s="42">
        <v>0.02</v>
      </c>
      <c r="E118" s="42">
        <v>1.1000000000000001</v>
      </c>
      <c r="F118" s="33">
        <f t="shared" ref="F118:F120" si="2">ROUND(C118*D118*E118,3)</f>
        <v>0.44</v>
      </c>
    </row>
    <row r="119" spans="1:6">
      <c r="B119" s="32" t="s">
        <v>93</v>
      </c>
      <c r="C119" s="42">
        <v>25</v>
      </c>
      <c r="D119" s="42">
        <v>0.09</v>
      </c>
      <c r="E119" s="42">
        <v>1.1000000000000001</v>
      </c>
      <c r="F119" s="33">
        <f t="shared" si="2"/>
        <v>2.4750000000000001</v>
      </c>
    </row>
    <row r="120" spans="1:6">
      <c r="B120" s="32" t="s">
        <v>94</v>
      </c>
      <c r="C120" s="42">
        <v>20</v>
      </c>
      <c r="D120" s="42">
        <v>1.4999999999999999E-2</v>
      </c>
      <c r="E120" s="42">
        <v>1.3</v>
      </c>
      <c r="F120" s="33">
        <f t="shared" si="2"/>
        <v>0.39</v>
      </c>
    </row>
    <row r="121" spans="1:6" ht="17.25">
      <c r="B121" s="385" t="s">
        <v>166</v>
      </c>
      <c r="C121" s="385"/>
      <c r="D121" s="385"/>
      <c r="E121" s="42">
        <v>1.2</v>
      </c>
      <c r="F121" s="33">
        <f>ROUND((D48/100)*E121,3)</f>
        <v>9.6</v>
      </c>
    </row>
    <row r="122" spans="1:6" ht="17.25">
      <c r="B122" s="385" t="s">
        <v>167</v>
      </c>
      <c r="C122" s="385"/>
      <c r="D122" s="385"/>
      <c r="E122" s="34"/>
      <c r="F122" s="33">
        <f>ROUND(SUM(F117:F120),3)</f>
        <v>3.7450000000000001</v>
      </c>
    </row>
    <row r="123" spans="1:6" ht="17.25">
      <c r="B123" s="386" t="s">
        <v>168</v>
      </c>
      <c r="C123" s="386"/>
      <c r="D123" s="386"/>
      <c r="E123" s="386"/>
      <c r="F123" s="33">
        <f>ROUND(SUM(F121:F122),3)</f>
        <v>13.345000000000001</v>
      </c>
    </row>
    <row r="125" spans="1:6" ht="18" customHeight="1">
      <c r="A125" s="6" t="s">
        <v>191</v>
      </c>
    </row>
    <row r="126" spans="1:6">
      <c r="A126" s="35" t="s">
        <v>100</v>
      </c>
    </row>
    <row r="138" spans="1:9" ht="102" customHeight="1">
      <c r="A138" s="36" t="s">
        <v>101</v>
      </c>
    </row>
    <row r="139" spans="1:9">
      <c r="A139" s="15" t="s">
        <v>157</v>
      </c>
    </row>
    <row r="140" spans="1:9" ht="18.75">
      <c r="A140" s="27" t="s">
        <v>109</v>
      </c>
      <c r="B140" s="37" t="str">
        <f>" = h - a = "&amp;F87/10&amp;" - "&amp;B141&amp;" ="</f>
        <v xml:space="preserve"> = h - a = 9 - 1,5 =</v>
      </c>
      <c r="D140" s="26">
        <f>F87/10-B141</f>
        <v>7.5</v>
      </c>
      <c r="E140" s="4" t="s">
        <v>106</v>
      </c>
    </row>
    <row r="141" spans="1:9">
      <c r="A141" s="15" t="s">
        <v>105</v>
      </c>
      <c r="B141" s="202">
        <v>1.5</v>
      </c>
      <c r="C141" s="4" t="s">
        <v>106</v>
      </c>
    </row>
    <row r="142" spans="1:9">
      <c r="A142" s="15" t="s">
        <v>107</v>
      </c>
      <c r="C142" s="38" t="s">
        <v>108</v>
      </c>
    </row>
    <row r="143" spans="1:9">
      <c r="A143" s="15"/>
      <c r="C143" s="39">
        <f>ROUND(C66*10*100*D140*D140,0)</f>
        <v>478125</v>
      </c>
    </row>
    <row r="144" spans="1:9">
      <c r="A144" s="36" t="s">
        <v>172</v>
      </c>
      <c r="D144" s="230" t="s">
        <v>88</v>
      </c>
      <c r="E144" s="240">
        <f>ROUND(INDEX(IF(D55='Bang Tra'!A19,'Bang Tra'!$D$19:$N$25,IF(D55='Bang Tra'!A26,'Bang Tra'!$D$26:$N$32,IF(D55='Bang Tra'!A33,'Bang Tra'!$D$33:$N$39,'Bang Tra'!$D$40:$N$46))),VLOOKUP(J53,'Bang Tra'!$O$19:$P$25,2,0),HLOOKUP('1. Sàn'!J49,'Bang Tra'!$D$18:$N$47,30,0)),3)</f>
        <v>0.45500000000000002</v>
      </c>
      <c r="F144" s="231"/>
      <c r="I144" s="4"/>
    </row>
    <row r="145" spans="1:14">
      <c r="A145" s="15"/>
    </row>
    <row r="146" spans="1:14" ht="21" customHeight="1">
      <c r="A146" s="15"/>
      <c r="D146" s="170"/>
      <c r="E146" s="40" t="s">
        <v>156</v>
      </c>
    </row>
    <row r="147" spans="1:14" ht="21" customHeight="1">
      <c r="A147" s="375" t="s">
        <v>173</v>
      </c>
      <c r="B147" s="375"/>
      <c r="C147" s="375"/>
      <c r="D147" s="375"/>
      <c r="E147" s="375"/>
      <c r="F147" s="375"/>
      <c r="G147" s="375"/>
      <c r="H147" s="375"/>
    </row>
    <row r="148" spans="1:14" ht="11.25" customHeight="1">
      <c r="A148" s="376"/>
      <c r="B148" s="376"/>
      <c r="C148" s="376"/>
      <c r="D148" s="376"/>
      <c r="E148" s="376"/>
      <c r="F148" s="376"/>
      <c r="G148" s="376"/>
      <c r="H148" s="376"/>
    </row>
    <row r="149" spans="1:14" s="11" customFormat="1" ht="31.5" customHeight="1">
      <c r="A149" s="358" t="s">
        <v>102</v>
      </c>
      <c r="B149" s="357" t="s">
        <v>261</v>
      </c>
      <c r="C149" s="392"/>
      <c r="D149" s="353" t="s">
        <v>78</v>
      </c>
      <c r="E149" s="356"/>
      <c r="F149" s="357" t="s">
        <v>300</v>
      </c>
      <c r="G149" s="357" t="s">
        <v>301</v>
      </c>
      <c r="H149" s="357"/>
      <c r="I149" s="355" t="s">
        <v>260</v>
      </c>
      <c r="J149" s="383" t="s">
        <v>367</v>
      </c>
      <c r="K149" s="393" t="s">
        <v>78</v>
      </c>
      <c r="L149" s="228"/>
      <c r="M149" s="217"/>
      <c r="N149" s="210"/>
    </row>
    <row r="150" spans="1:14" s="288" customFormat="1" ht="28.5">
      <c r="A150" s="358"/>
      <c r="B150" s="357"/>
      <c r="C150" s="392"/>
      <c r="D150" s="354"/>
      <c r="E150" s="356"/>
      <c r="F150" s="358"/>
      <c r="G150" s="286" t="s">
        <v>309</v>
      </c>
      <c r="H150" s="286" t="s">
        <v>308</v>
      </c>
      <c r="I150" s="355"/>
      <c r="J150" s="383"/>
      <c r="K150" s="393"/>
      <c r="L150" s="229"/>
      <c r="M150" s="218"/>
      <c r="N150" s="211"/>
    </row>
    <row r="151" spans="1:14" s="288" customFormat="1" ht="15.75" customHeight="1">
      <c r="A151" s="351" t="s">
        <v>103</v>
      </c>
      <c r="B151" s="351">
        <f>ROUND((F123*((E106/1000)*(E106/1000)))/11,2)</f>
        <v>5.48</v>
      </c>
      <c r="C151" s="351">
        <f>ROUND((B151/$C$143)*10000,3)</f>
        <v>0.115</v>
      </c>
      <c r="D151" s="373" t="str">
        <f>IF(C151&lt;$E$144,"Đạt","Chọn lại")</f>
        <v>Đạt</v>
      </c>
      <c r="E151" s="351">
        <f>ROUND(1-(SQRT(1-(2*C151))),3)</f>
        <v>0.123</v>
      </c>
      <c r="F151" s="351">
        <f>ROUND(E151*$C$66*$D$140*100/$C$69,2)</f>
        <v>3.49</v>
      </c>
      <c r="G151" s="238">
        <v>8</v>
      </c>
      <c r="H151" s="2">
        <v>125</v>
      </c>
      <c r="I151" s="348">
        <f>ROUND(((1-((1-(G152*$C$69/($C$66*$D$140*100)))^2))/2)*$C$143/10000,2)</f>
        <v>6.3</v>
      </c>
      <c r="J151" s="384">
        <f>ROUNDUP((1000-B141*10*2)/H151,0)</f>
        <v>8</v>
      </c>
      <c r="K151" s="393" t="str">
        <f>IF(OR(I151&gt;B151,I151=B151),"Đạt","Không Đạt")</f>
        <v>Đạt</v>
      </c>
      <c r="L151" s="229"/>
      <c r="M151" s="218"/>
      <c r="N151" s="211"/>
    </row>
    <row r="152" spans="1:14" s="24" customFormat="1">
      <c r="A152" s="352"/>
      <c r="B152" s="352"/>
      <c r="C152" s="352"/>
      <c r="D152" s="374"/>
      <c r="E152" s="352"/>
      <c r="F152" s="352"/>
      <c r="G152" s="350">
        <f>ROUND(INDEX('Bang Tra'!$AD$5:$AK$20,VLOOKUP(H151,'Bang Tra'!$AC$5:$AL$20,10,0),HLOOKUP(G151,'Bang Tra'!$AD$4:$AK$21,18,0))/100,2)</f>
        <v>4.0199999999999996</v>
      </c>
      <c r="H152" s="350"/>
      <c r="I152" s="349"/>
      <c r="J152" s="384"/>
      <c r="K152" s="393"/>
      <c r="L152" s="226"/>
      <c r="M152" s="215"/>
      <c r="N152" s="208"/>
    </row>
    <row r="153" spans="1:14" s="24" customFormat="1">
      <c r="A153" s="351" t="s">
        <v>104</v>
      </c>
      <c r="B153" s="351">
        <f>ROUND((F123*((E105/1000)*(E105/1000)))/11,2)</f>
        <v>6.14</v>
      </c>
      <c r="C153" s="351">
        <f>ROUND((B153/$C$143)*10000,3)</f>
        <v>0.128</v>
      </c>
      <c r="D153" s="373" t="str">
        <f>IF(C153&lt;$E$144,"Đạt","Chọn lại")</f>
        <v>Đạt</v>
      </c>
      <c r="E153" s="351">
        <f>ROUND(1-(SQRT(1-(2*C153))),3)</f>
        <v>0.13700000000000001</v>
      </c>
      <c r="F153" s="351">
        <f>ROUND(E153*$C$66*$D$140*100/$C$69,2)</f>
        <v>3.88</v>
      </c>
      <c r="G153" s="238">
        <v>8</v>
      </c>
      <c r="H153" s="2">
        <v>125</v>
      </c>
      <c r="I153" s="348">
        <f>ROUND(((1-((1-(G154*$C$69/($C$66*$D$140*100)))^2))/2)*$C$143/10000,2)</f>
        <v>6.3</v>
      </c>
      <c r="J153" s="384">
        <f t="shared" ref="J153" si="3">ROUNDUP((1000-B143*10*2)/H153,0)</f>
        <v>8</v>
      </c>
      <c r="K153" s="393" t="str">
        <f t="shared" ref="K153" si="4">IF(OR(I153&gt;B153,I153=B153),"Đạt","Không Đạt")</f>
        <v>Đạt</v>
      </c>
      <c r="L153" s="226"/>
      <c r="M153" s="215"/>
      <c r="N153" s="208"/>
    </row>
    <row r="154" spans="1:14" s="24" customFormat="1">
      <c r="A154" s="352"/>
      <c r="B154" s="352"/>
      <c r="C154" s="352"/>
      <c r="D154" s="374"/>
      <c r="E154" s="352"/>
      <c r="F154" s="352"/>
      <c r="G154" s="350">
        <f>ROUND(INDEX('Bang Tra'!$AD$5:$AK$20,VLOOKUP(H153,'Bang Tra'!$AC$5:$AL$20,10,0),HLOOKUP(G153,'Bang Tra'!$AD$4:$AK$21,18,0))/100,2)</f>
        <v>4.0199999999999996</v>
      </c>
      <c r="H154" s="350"/>
      <c r="I154" s="349"/>
      <c r="J154" s="384"/>
      <c r="K154" s="393"/>
      <c r="L154" s="226"/>
      <c r="M154" s="215"/>
      <c r="N154" s="208"/>
    </row>
    <row r="155" spans="1:14" s="24" customFormat="1">
      <c r="A155" s="371" t="s">
        <v>310</v>
      </c>
      <c r="B155" s="351">
        <f>ROUND((F123*((E105/1000)*(E105/1000)))/16,2)</f>
        <v>4.22</v>
      </c>
      <c r="C155" s="351">
        <f>ROUND((B155/$C$143)*10000,3)</f>
        <v>8.7999999999999995E-2</v>
      </c>
      <c r="D155" s="373" t="str">
        <f>IF(C155&lt;$E$144,"Đạt","Chọn lại")</f>
        <v>Đạt</v>
      </c>
      <c r="E155" s="351">
        <f>ROUND(1-(SQRT(1-(2*C155))),3)</f>
        <v>9.1999999999999998E-2</v>
      </c>
      <c r="F155" s="351">
        <f>ROUND(E155*$C$66*$D$140*100/$C$69,2)</f>
        <v>2.61</v>
      </c>
      <c r="G155" s="238">
        <v>8</v>
      </c>
      <c r="H155" s="2">
        <v>190</v>
      </c>
      <c r="I155" s="390">
        <f>ROUND(((1-((1-(G156*$C$69/($C$66*$D$140*100)))^2))/2)*$C$143/10000,2)</f>
        <v>4.26</v>
      </c>
      <c r="J155" s="384">
        <f t="shared" ref="J155" si="5">ROUNDUP((1000-B145*10*2)/H155,0)</f>
        <v>6</v>
      </c>
      <c r="K155" s="393" t="str">
        <f t="shared" ref="K155" si="6">IF(OR(I155&gt;B155,I155=B155),"Đạt","Không Đạt")</f>
        <v>Đạt</v>
      </c>
      <c r="L155" s="226"/>
      <c r="M155" s="215"/>
      <c r="N155" s="208"/>
    </row>
    <row r="156" spans="1:14" s="24" customFormat="1">
      <c r="A156" s="372"/>
      <c r="B156" s="352"/>
      <c r="C156" s="352"/>
      <c r="D156" s="374"/>
      <c r="E156" s="352"/>
      <c r="F156" s="352"/>
      <c r="G156" s="350">
        <f>ROUND(INDEX('Bang Tra'!$AD$5:$AK$20,VLOOKUP(H155,'Bang Tra'!$AC$5:$AL$20,10,0),HLOOKUP(G155,'Bang Tra'!$AD$4:$AK$21,18,0))/100,2)</f>
        <v>2.65</v>
      </c>
      <c r="H156" s="350"/>
      <c r="I156" s="390"/>
      <c r="J156" s="384"/>
      <c r="K156" s="393"/>
      <c r="L156" s="226"/>
      <c r="M156" s="215"/>
      <c r="N156" s="208"/>
    </row>
    <row r="157" spans="1:14" ht="22.5" customHeight="1">
      <c r="A157" s="11" t="s">
        <v>158</v>
      </c>
    </row>
    <row r="158" spans="1:14">
      <c r="A158" s="15" t="s">
        <v>159</v>
      </c>
    </row>
    <row r="159" spans="1:14" ht="15.75" customHeight="1">
      <c r="C159" s="41">
        <f>G152</f>
        <v>4.0199999999999996</v>
      </c>
      <c r="D159" s="366" t="s">
        <v>88</v>
      </c>
      <c r="E159" s="367">
        <f>ROUND(C159/C160,2)</f>
        <v>0.54</v>
      </c>
      <c r="F159" s="364" t="s">
        <v>169</v>
      </c>
      <c r="G159" s="365" t="str">
        <f>IF(AND(0.3&lt;E159,E159&lt;0.6),"=&gt; ( Đạt )","=&gt; ( Không Đạt )")</f>
        <v>=&gt; ( Đạt )</v>
      </c>
    </row>
    <row r="160" spans="1:14" ht="15.75" customHeight="1">
      <c r="C160" s="291">
        <f>D140</f>
        <v>7.5</v>
      </c>
      <c r="D160" s="367"/>
      <c r="E160" s="367"/>
      <c r="F160" s="364"/>
      <c r="G160" s="365"/>
    </row>
    <row r="161" spans="1:8">
      <c r="A161" s="15" t="s">
        <v>160</v>
      </c>
      <c r="D161" s="27"/>
      <c r="G161" s="285"/>
    </row>
    <row r="162" spans="1:8" ht="15.75" customHeight="1">
      <c r="C162" s="41">
        <f>G156</f>
        <v>2.65</v>
      </c>
      <c r="D162" s="366" t="s">
        <v>88</v>
      </c>
      <c r="E162" s="367">
        <f>ROUND(C162/C163,2)</f>
        <v>0.35</v>
      </c>
      <c r="F162" s="364" t="s">
        <v>169</v>
      </c>
      <c r="G162" s="365" t="str">
        <f>IF(AND(0.3&lt;E162,E162&lt;0.6),"=&gt; ( Đạt )","=&gt; ( Không Đạt )")</f>
        <v>=&gt; ( Đạt )</v>
      </c>
      <c r="H162" s="365"/>
    </row>
    <row r="163" spans="1:8" ht="19.5" customHeight="1">
      <c r="C163" s="291">
        <f>C160</f>
        <v>7.5</v>
      </c>
      <c r="D163" s="367"/>
      <c r="E163" s="367"/>
      <c r="F163" s="364"/>
      <c r="G163" s="365"/>
      <c r="H163" s="365"/>
    </row>
    <row r="164" spans="1:8">
      <c r="A164" s="11" t="s">
        <v>192</v>
      </c>
    </row>
    <row r="165" spans="1:8">
      <c r="A165" s="15" t="s">
        <v>174</v>
      </c>
    </row>
    <row r="166" spans="1:8">
      <c r="A166" s="15" t="s">
        <v>175</v>
      </c>
    </row>
    <row r="167" spans="1:8" ht="19.5" customHeight="1">
      <c r="A167" s="362" t="s">
        <v>182</v>
      </c>
      <c r="B167" s="41" t="s">
        <v>176</v>
      </c>
      <c r="C167" s="362" t="s">
        <v>178</v>
      </c>
      <c r="D167" s="363">
        <v>3</v>
      </c>
      <c r="E167" s="364" t="s">
        <v>179</v>
      </c>
      <c r="F167" s="364"/>
      <c r="G167" s="364"/>
      <c r="H167" s="364"/>
    </row>
    <row r="168" spans="1:8" ht="19.5" customHeight="1">
      <c r="A168" s="363"/>
      <c r="B168" s="291" t="s">
        <v>177</v>
      </c>
      <c r="C168" s="363"/>
      <c r="D168" s="363"/>
      <c r="E168" s="364"/>
      <c r="F168" s="364"/>
      <c r="G168" s="364"/>
      <c r="H168" s="364"/>
    </row>
    <row r="169" spans="1:8" ht="19.5" customHeight="1">
      <c r="A169" s="362" t="s">
        <v>182</v>
      </c>
      <c r="B169" s="41" t="s">
        <v>176</v>
      </c>
      <c r="C169" s="362" t="s">
        <v>88</v>
      </c>
      <c r="D169" s="363" t="s">
        <v>180</v>
      </c>
      <c r="E169" s="364" t="s">
        <v>181</v>
      </c>
      <c r="F169" s="364"/>
      <c r="G169" s="364"/>
      <c r="H169" s="364"/>
    </row>
    <row r="170" spans="1:8" ht="19.5" customHeight="1">
      <c r="A170" s="363"/>
      <c r="B170" s="291" t="s">
        <v>177</v>
      </c>
      <c r="C170" s="363"/>
      <c r="D170" s="363"/>
      <c r="E170" s="364"/>
      <c r="F170" s="364"/>
      <c r="G170" s="364"/>
      <c r="H170" s="364"/>
    </row>
    <row r="171" spans="1:8">
      <c r="A171" s="15" t="s">
        <v>183</v>
      </c>
    </row>
    <row r="176" spans="1:8">
      <c r="A176" s="284" t="s">
        <v>184</v>
      </c>
      <c r="B176" s="284">
        <f>CEILING(E106/8,10)</f>
        <v>270</v>
      </c>
    </row>
    <row r="177" spans="1:2">
      <c r="A177" s="14"/>
      <c r="B177" s="7"/>
    </row>
    <row r="178" spans="1:2">
      <c r="A178" s="284" t="s">
        <v>185</v>
      </c>
      <c r="B178" s="284">
        <f>CEILING(E106/6,10)</f>
        <v>360</v>
      </c>
    </row>
    <row r="179" spans="1:2">
      <c r="A179" s="14"/>
      <c r="B179" s="7"/>
    </row>
    <row r="180" spans="1:2">
      <c r="A180" s="284" t="s">
        <v>186</v>
      </c>
      <c r="B180" s="284">
        <f>CEILING(IF(F121/F122&lt;=1,0.2,IF(AND(1&lt;F121/F122,F121/F122&lt;=3),0.25,IF(AND(3&lt;F121/F122,F121/F122&lt;=5),0.3,0.33)))*E106,10)</f>
        <v>540</v>
      </c>
    </row>
    <row r="181" spans="1:2">
      <c r="A181" s="14"/>
      <c r="B181" s="7"/>
    </row>
    <row r="182" spans="1:2">
      <c r="A182" s="284" t="s">
        <v>187</v>
      </c>
      <c r="B182" s="284">
        <f>CEILING(IF(F121/F122&lt;=1,0.2,IF(AND(1&lt;F121/F122,F121/F122&lt;=3),0.25,IF(AND(3&lt;F121/F122,F121/F122&lt;=5),0.3,0.33)))*E105,10)</f>
        <v>570</v>
      </c>
    </row>
    <row r="183" spans="1:2">
      <c r="A183" s="14"/>
      <c r="B183" s="7"/>
    </row>
    <row r="184" spans="1:2">
      <c r="A184" s="284" t="s">
        <v>188</v>
      </c>
      <c r="B184" s="284">
        <f>CEILING(E105/6,10)</f>
        <v>380</v>
      </c>
    </row>
  </sheetData>
  <sheetProtection password="E091" sheet="1" formatCells="0" formatColumns="0" formatRows="0" insertColumns="0" insertRows="0" insertHyperlinks="0" deleteColumns="0" deleteRows="0" sort="0" autoFilter="0" pivotTables="0"/>
  <mergeCells count="97">
    <mergeCell ref="K149:K150"/>
    <mergeCell ref="K151:K152"/>
    <mergeCell ref="K153:K154"/>
    <mergeCell ref="K155:K156"/>
    <mergeCell ref="J153:J154"/>
    <mergeCell ref="J155:J156"/>
    <mergeCell ref="I155:I156"/>
    <mergeCell ref="B88:B89"/>
    <mergeCell ref="D151:D152"/>
    <mergeCell ref="E151:E152"/>
    <mergeCell ref="G156:H156"/>
    <mergeCell ref="A104:I104"/>
    <mergeCell ref="G149:H149"/>
    <mergeCell ref="A149:A150"/>
    <mergeCell ref="D153:D154"/>
    <mergeCell ref="E153:E154"/>
    <mergeCell ref="F153:F154"/>
    <mergeCell ref="A151:A152"/>
    <mergeCell ref="F115:F116"/>
    <mergeCell ref="I153:I154"/>
    <mergeCell ref="C149:C150"/>
    <mergeCell ref="A78:D79"/>
    <mergeCell ref="B90:B91"/>
    <mergeCell ref="A81:A82"/>
    <mergeCell ref="J149:J150"/>
    <mergeCell ref="J151:J152"/>
    <mergeCell ref="B121:D121"/>
    <mergeCell ref="B123:E123"/>
    <mergeCell ref="B122:D122"/>
    <mergeCell ref="B151:B152"/>
    <mergeCell ref="C151:C152"/>
    <mergeCell ref="A105:B105"/>
    <mergeCell ref="B115:B116"/>
    <mergeCell ref="C115:C116"/>
    <mergeCell ref="D115:D116"/>
    <mergeCell ref="E115:E116"/>
    <mergeCell ref="A106:B106"/>
    <mergeCell ref="B54:C54"/>
    <mergeCell ref="B51:C51"/>
    <mergeCell ref="B55:C55"/>
    <mergeCell ref="A77:H77"/>
    <mergeCell ref="B53:C53"/>
    <mergeCell ref="B50:C50"/>
    <mergeCell ref="B46:C46"/>
    <mergeCell ref="B49:C49"/>
    <mergeCell ref="B47:C47"/>
    <mergeCell ref="B52:C52"/>
    <mergeCell ref="B48:C48"/>
    <mergeCell ref="C1:H2"/>
    <mergeCell ref="C3:H4"/>
    <mergeCell ref="A6:H7"/>
    <mergeCell ref="D159:D160"/>
    <mergeCell ref="E159:E160"/>
    <mergeCell ref="A155:A156"/>
    <mergeCell ref="B155:B156"/>
    <mergeCell ref="C155:C156"/>
    <mergeCell ref="D155:D156"/>
    <mergeCell ref="E155:E156"/>
    <mergeCell ref="F155:F156"/>
    <mergeCell ref="A153:A154"/>
    <mergeCell ref="B153:B154"/>
    <mergeCell ref="C153:C154"/>
    <mergeCell ref="A147:H148"/>
    <mergeCell ref="B149:B150"/>
    <mergeCell ref="G159:G160"/>
    <mergeCell ref="H162:H163"/>
    <mergeCell ref="G162:G163"/>
    <mergeCell ref="D162:D163"/>
    <mergeCell ref="E162:E163"/>
    <mergeCell ref="F159:F160"/>
    <mergeCell ref="F162:F163"/>
    <mergeCell ref="C169:C170"/>
    <mergeCell ref="D169:D170"/>
    <mergeCell ref="E169:H170"/>
    <mergeCell ref="A167:A168"/>
    <mergeCell ref="A169:A170"/>
    <mergeCell ref="C167:C168"/>
    <mergeCell ref="D167:D168"/>
    <mergeCell ref="E167:H168"/>
    <mergeCell ref="A83:A84"/>
    <mergeCell ref="A103:G103"/>
    <mergeCell ref="I151:I152"/>
    <mergeCell ref="G152:H152"/>
    <mergeCell ref="G154:H154"/>
    <mergeCell ref="H83:I83"/>
    <mergeCell ref="H84:I84"/>
    <mergeCell ref="F151:F152"/>
    <mergeCell ref="D149:D150"/>
    <mergeCell ref="I149:I150"/>
    <mergeCell ref="E149:E150"/>
    <mergeCell ref="F149:F150"/>
    <mergeCell ref="B86:F86"/>
    <mergeCell ref="H79:I79"/>
    <mergeCell ref="E78:I78"/>
    <mergeCell ref="H80:I80"/>
    <mergeCell ref="H81:I81"/>
    <mergeCell ref="H82:I82"/>
  </mergeCells>
  <conditionalFormatting sqref="D151 G87:G91 D153 D155">
    <cfRule type="containsText" dxfId="6" priority="3" operator="containsText" text="Chọn lại">
      <formula>NOT(ISERROR(SEARCH("Chọn lại",D87)))</formula>
    </cfRule>
  </conditionalFormatting>
  <conditionalFormatting sqref="K151:K156">
    <cfRule type="containsText" dxfId="5" priority="1" operator="containsText" text="Không Đạt">
      <formula>NOT(ISERROR(SEARCH("Không Đạt",K151)))</formula>
    </cfRule>
  </conditionalFormatting>
  <dataValidations count="1">
    <dataValidation type="list" allowBlank="1" showInputMessage="1" showErrorMessage="1" sqref="D50">
      <formula1>$K$49:$K$50</formula1>
    </dataValidation>
  </dataValidations>
  <pageMargins left="0.38" right="0.34" top="0.75" bottom="0.75" header="0.3" footer="0.3"/>
  <pageSetup orientation="portrait" r:id="rId1"/>
  <headerFooter>
    <oddFooter>&amp;CTrang &amp;P</oddFooter>
  </headerFooter>
  <drawing r:id="rId2"/>
  <legacyDrawing r:id="rId3"/>
  <oleObjects>
    <mc:AlternateContent xmlns:mc="http://schemas.openxmlformats.org/markup-compatibility/2006">
      <mc:Choice Requires="x14">
        <oleObject progId="Equation.DSMT4" shapeId="1036" r:id="rId4">
          <objectPr defaultSize="0" autoPict="0" r:id="rId5">
            <anchor moveWithCells="1" sizeWithCells="1">
              <from>
                <xdr:col>2</xdr:col>
                <xdr:colOff>85725</xdr:colOff>
                <xdr:row>148</xdr:row>
                <xdr:rowOff>180975</xdr:rowOff>
              </from>
              <to>
                <xdr:col>2</xdr:col>
                <xdr:colOff>504825</xdr:colOff>
                <xdr:row>149</xdr:row>
                <xdr:rowOff>200025</xdr:rowOff>
              </to>
            </anchor>
          </objectPr>
        </oleObject>
      </mc:Choice>
      <mc:Fallback>
        <oleObject progId="Equation.DSMT4" shapeId="1036" r:id="rId4"/>
      </mc:Fallback>
    </mc:AlternateContent>
    <mc:AlternateContent xmlns:mc="http://schemas.openxmlformats.org/markup-compatibility/2006">
      <mc:Choice Requires="x14">
        <oleObject progId="Equation.DSMT4" shapeId="1038" r:id="rId6">
          <objectPr defaultSize="0" autoPict="0" r:id="rId7">
            <anchor moveWithCells="1" sizeWithCells="1">
              <from>
                <xdr:col>1</xdr:col>
                <xdr:colOff>19050</xdr:colOff>
                <xdr:row>141</xdr:row>
                <xdr:rowOff>19050</xdr:rowOff>
              </from>
              <to>
                <xdr:col>2</xdr:col>
                <xdr:colOff>0</xdr:colOff>
                <xdr:row>142</xdr:row>
                <xdr:rowOff>171450</xdr:rowOff>
              </to>
            </anchor>
          </objectPr>
        </oleObject>
      </mc:Choice>
      <mc:Fallback>
        <oleObject progId="Equation.DSMT4" shapeId="1038" r:id="rId6"/>
      </mc:Fallback>
    </mc:AlternateContent>
    <mc:AlternateContent xmlns:mc="http://schemas.openxmlformats.org/markup-compatibility/2006">
      <mc:Choice Requires="x14">
        <oleObject progId="Equation.DSMT4" shapeId="1039" r:id="rId8">
          <objectPr defaultSize="0" autoPict="0" r:id="rId9">
            <anchor moveWithCells="1" sizeWithCells="1">
              <from>
                <xdr:col>2</xdr:col>
                <xdr:colOff>57150</xdr:colOff>
                <xdr:row>143</xdr:row>
                <xdr:rowOff>0</xdr:rowOff>
              </from>
              <to>
                <xdr:col>3</xdr:col>
                <xdr:colOff>123825</xdr:colOff>
                <xdr:row>144</xdr:row>
                <xdr:rowOff>47625</xdr:rowOff>
              </to>
            </anchor>
          </objectPr>
        </oleObject>
      </mc:Choice>
      <mc:Fallback>
        <oleObject progId="Equation.DSMT4" shapeId="1039" r:id="rId8"/>
      </mc:Fallback>
    </mc:AlternateContent>
    <mc:AlternateContent xmlns:mc="http://schemas.openxmlformats.org/markup-compatibility/2006">
      <mc:Choice Requires="x14">
        <oleObject progId="Equation.DSMT4" shapeId="1040" r:id="rId10">
          <objectPr defaultSize="0" autoPict="0" r:id="rId11">
            <anchor moveWithCells="1" sizeWithCells="1">
              <from>
                <xdr:col>1</xdr:col>
                <xdr:colOff>962025</xdr:colOff>
                <xdr:row>144</xdr:row>
                <xdr:rowOff>190500</xdr:rowOff>
              </from>
              <to>
                <xdr:col>3</xdr:col>
                <xdr:colOff>733425</xdr:colOff>
                <xdr:row>146</xdr:row>
                <xdr:rowOff>0</xdr:rowOff>
              </to>
            </anchor>
          </objectPr>
        </oleObject>
      </mc:Choice>
      <mc:Fallback>
        <oleObject progId="Equation.DSMT4" shapeId="1040" r:id="rId10"/>
      </mc:Fallback>
    </mc:AlternateContent>
    <mc:AlternateContent xmlns:mc="http://schemas.openxmlformats.org/markup-compatibility/2006">
      <mc:Choice Requires="x14">
        <oleObject progId="Equation.DSMT4" shapeId="1041" r:id="rId12">
          <objectPr defaultSize="0" autoPict="0" r:id="rId13">
            <anchor moveWithCells="1" sizeWithCells="1">
              <from>
                <xdr:col>4</xdr:col>
                <xdr:colOff>247650</xdr:colOff>
                <xdr:row>144</xdr:row>
                <xdr:rowOff>76200</xdr:rowOff>
              </from>
              <to>
                <xdr:col>5</xdr:col>
                <xdr:colOff>314325</xdr:colOff>
                <xdr:row>146</xdr:row>
                <xdr:rowOff>57150</xdr:rowOff>
              </to>
            </anchor>
          </objectPr>
        </oleObject>
      </mc:Choice>
      <mc:Fallback>
        <oleObject progId="Equation.DSMT4" shapeId="1041" r:id="rId12"/>
      </mc:Fallback>
    </mc:AlternateContent>
    <mc:AlternateContent xmlns:mc="http://schemas.openxmlformats.org/markup-compatibility/2006">
      <mc:Choice Requires="x14">
        <oleObject progId="Equation.DSMT4" shapeId="1042" r:id="rId14">
          <objectPr defaultSize="0" autoPict="0" r:id="rId15">
            <anchor moveWithCells="1" sizeWithCells="1">
              <from>
                <xdr:col>1</xdr:col>
                <xdr:colOff>76200</xdr:colOff>
                <xdr:row>157</xdr:row>
                <xdr:rowOff>38100</xdr:rowOff>
              </from>
              <to>
                <xdr:col>2</xdr:col>
                <xdr:colOff>0</xdr:colOff>
                <xdr:row>159</xdr:row>
                <xdr:rowOff>85725</xdr:rowOff>
              </to>
            </anchor>
          </objectPr>
        </oleObject>
      </mc:Choice>
      <mc:Fallback>
        <oleObject progId="Equation.DSMT4" shapeId="1042" r:id="rId14"/>
      </mc:Fallback>
    </mc:AlternateContent>
    <mc:AlternateContent xmlns:mc="http://schemas.openxmlformats.org/markup-compatibility/2006">
      <mc:Choice Requires="x14">
        <oleObject progId="Equation.DSMT4" shapeId="1044" r:id="rId16">
          <objectPr defaultSize="0" autoPict="0" r:id="rId15">
            <anchor moveWithCells="1" sizeWithCells="1">
              <from>
                <xdr:col>1</xdr:col>
                <xdr:colOff>76200</xdr:colOff>
                <xdr:row>160</xdr:row>
                <xdr:rowOff>47625</xdr:rowOff>
              </from>
              <to>
                <xdr:col>2</xdr:col>
                <xdr:colOff>0</xdr:colOff>
                <xdr:row>162</xdr:row>
                <xdr:rowOff>85725</xdr:rowOff>
              </to>
            </anchor>
          </objectPr>
        </oleObject>
      </mc:Choice>
      <mc:Fallback>
        <oleObject progId="Equation.DSMT4" shapeId="1044" r:id="rId16"/>
      </mc:Fallback>
    </mc:AlternateContent>
    <mc:AlternateContent xmlns:mc="http://schemas.openxmlformats.org/markup-compatibility/2006">
      <mc:Choice Requires="x14">
        <oleObject progId="CorelDraw.Graphic.17" shapeId="1045" r:id="rId17">
          <objectPr defaultSize="0" autoPict="0" r:id="rId18">
            <anchor moveWithCells="1" sizeWithCells="1">
              <from>
                <xdr:col>0</xdr:col>
                <xdr:colOff>142875</xdr:colOff>
                <xdr:row>0</xdr:row>
                <xdr:rowOff>9525</xdr:rowOff>
              </from>
              <to>
                <xdr:col>1</xdr:col>
                <xdr:colOff>781050</xdr:colOff>
                <xdr:row>4</xdr:row>
                <xdr:rowOff>133350</xdr:rowOff>
              </to>
            </anchor>
          </objectPr>
        </oleObject>
      </mc:Choice>
      <mc:Fallback>
        <oleObject progId="CorelDraw.Graphic.17" shapeId="1045" r:id="rId17"/>
      </mc:Fallback>
    </mc:AlternateContent>
    <mc:AlternateContent xmlns:mc="http://schemas.openxmlformats.org/markup-compatibility/2006">
      <mc:Choice Requires="x14">
        <oleObject progId="Equation.DSMT4" shapeId="1046" r:id="rId19">
          <objectPr defaultSize="0" autoPict="0" r:id="rId20">
            <anchor moveWithCells="1" sizeWithCells="1">
              <from>
                <xdr:col>0</xdr:col>
                <xdr:colOff>285750</xdr:colOff>
                <xdr:row>171</xdr:row>
                <xdr:rowOff>19050</xdr:rowOff>
              </from>
              <to>
                <xdr:col>1</xdr:col>
                <xdr:colOff>847725</xdr:colOff>
                <xdr:row>174</xdr:row>
                <xdr:rowOff>180975</xdr:rowOff>
              </to>
            </anchor>
          </objectPr>
        </oleObject>
      </mc:Choice>
      <mc:Fallback>
        <oleObject progId="Equation.DSMT4" shapeId="1046" r:id="rId19"/>
      </mc:Fallback>
    </mc:AlternateContent>
    <mc:AlternateContent xmlns:mc="http://schemas.openxmlformats.org/markup-compatibility/2006">
      <mc:Choice Requires="x14">
        <oleObject progId="Equation.DSMT4" shapeId="1054" r:id="rId21">
          <objectPr defaultSize="0" autoPict="0" r:id="rId9">
            <anchor moveWithCells="1" sizeWithCells="1">
              <from>
                <xdr:col>3</xdr:col>
                <xdr:colOff>28575</xdr:colOff>
                <xdr:row>149</xdr:row>
                <xdr:rowOff>104775</xdr:rowOff>
              </from>
              <to>
                <xdr:col>3</xdr:col>
                <xdr:colOff>714375</xdr:colOff>
                <xdr:row>149</xdr:row>
                <xdr:rowOff>352425</xdr:rowOff>
              </to>
            </anchor>
          </objectPr>
        </oleObject>
      </mc:Choice>
      <mc:Fallback>
        <oleObject progId="Equation.DSMT4" shapeId="1054" r:id="rId21"/>
      </mc:Fallback>
    </mc:AlternateContent>
    <mc:AlternateContent xmlns:mc="http://schemas.openxmlformats.org/markup-compatibility/2006">
      <mc:Choice Requires="x14">
        <oleObject progId="Equation.DSMT4" shapeId="1058" r:id="rId22">
          <objectPr defaultSize="0" autoPict="0" r:id="rId23">
            <anchor moveWithCells="1" sizeWithCells="1">
              <from>
                <xdr:col>4</xdr:col>
                <xdr:colOff>238125</xdr:colOff>
                <xdr:row>148</xdr:row>
                <xdr:rowOff>152400</xdr:rowOff>
              </from>
              <to>
                <xdr:col>4</xdr:col>
                <xdr:colOff>685800</xdr:colOff>
                <xdr:row>149</xdr:row>
                <xdr:rowOff>228600</xdr:rowOff>
              </to>
            </anchor>
          </objectPr>
        </oleObject>
      </mc:Choice>
      <mc:Fallback>
        <oleObject progId="Equation.DSMT4" shapeId="1058" r:id="rId22"/>
      </mc:Fallback>
    </mc:AlternateContent>
  </oleObjects>
  <extLst>
    <ext xmlns:x14="http://schemas.microsoft.com/office/spreadsheetml/2009/9/main" uri="{CCE6A557-97BC-4b89-ADB6-D9C93CAAB3DF}">
      <x14:dataValidations xmlns:xm="http://schemas.microsoft.com/office/excel/2006/main" count="5">
        <x14:dataValidation type="list" allowBlank="1" showInputMessage="1" showErrorMessage="1">
          <x14:formula1>
            <xm:f>'CĐ Thep-BT'!$D$9:$N$9</xm:f>
          </x14:formula1>
          <xm:sqref>D49</xm:sqref>
        </x14:dataValidation>
        <x14:dataValidation type="list" allowBlank="1" showInputMessage="1" showErrorMessage="1">
          <x14:formula1>
            <xm:f>'CĐ Thep-BT'!$D$16:$O$16</xm:f>
          </x14:formula1>
          <xm:sqref>D52:D54</xm:sqref>
        </x14:dataValidation>
        <x14:dataValidation type="list" allowBlank="1" showInputMessage="1" showErrorMessage="1">
          <x14:formula1>
            <xm:f>'Bang Tra'!$A$19:$A$46</xm:f>
          </x14:formula1>
          <xm:sqref>D55</xm:sqref>
        </x14:dataValidation>
        <x14:dataValidation type="list" allowBlank="1" showInputMessage="1" showErrorMessage="1">
          <x14:formula1>
            <xm:f>'Bang Tra'!$AD$4:$AK$4</xm:f>
          </x14:formula1>
          <xm:sqref>G151 G153 G155</xm:sqref>
        </x14:dataValidation>
        <x14:dataValidation type="list" allowBlank="1" showInputMessage="1" showErrorMessage="1">
          <x14:formula1>
            <xm:f>'Bang Tra'!$AC$5:$AC$20</xm:f>
          </x14:formula1>
          <xm:sqref>H151 H153 H155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151"/>
  <sheetViews>
    <sheetView view="pageBreakPreview" zoomScaleNormal="110" zoomScaleSheetLayoutView="100" workbookViewId="0">
      <selection activeCell="D28" sqref="D28:E28"/>
    </sheetView>
  </sheetViews>
  <sheetFormatPr defaultRowHeight="15"/>
  <cols>
    <col min="1" max="3" width="9.140625" style="295"/>
    <col min="4" max="4" width="11.85546875" style="295" bestFit="1" customWidth="1"/>
    <col min="5" max="7" width="9.140625" style="295"/>
    <col min="8" max="8" width="9.140625" style="295" customWidth="1"/>
    <col min="9" max="9" width="9.140625" style="295"/>
    <col min="10" max="10" width="8" style="295" customWidth="1"/>
    <col min="11" max="11" width="19.28515625" style="295" customWidth="1"/>
    <col min="12" max="12" width="9.140625" style="295"/>
    <col min="13" max="13" width="11.42578125" style="295" bestFit="1" customWidth="1"/>
    <col min="14" max="14" width="11.140625" style="295" customWidth="1"/>
    <col min="15" max="16384" width="9.140625" style="295"/>
  </cols>
  <sheetData>
    <row r="1" spans="1:8">
      <c r="A1" s="294" t="s">
        <v>193</v>
      </c>
    </row>
    <row r="2" spans="1:8">
      <c r="A2" s="294" t="s">
        <v>194</v>
      </c>
    </row>
    <row r="3" spans="1:8">
      <c r="A3" s="296" t="s">
        <v>195</v>
      </c>
    </row>
    <row r="4" spans="1:8">
      <c r="A4" s="295" t="s">
        <v>196</v>
      </c>
    </row>
    <row r="5" spans="1:8" ht="18.75">
      <c r="B5" s="295" t="s">
        <v>65</v>
      </c>
      <c r="D5" s="172" t="s">
        <v>198</v>
      </c>
      <c r="E5" s="297">
        <f>'1. Sàn'!F88</f>
        <v>500</v>
      </c>
    </row>
    <row r="6" spans="1:8" ht="18.75">
      <c r="B6" s="295" t="s">
        <v>66</v>
      </c>
      <c r="D6" s="172" t="s">
        <v>197</v>
      </c>
      <c r="E6" s="297">
        <f>'1. Sàn'!F89</f>
        <v>250</v>
      </c>
    </row>
    <row r="7" spans="1:8">
      <c r="A7" s="296" t="s">
        <v>199</v>
      </c>
    </row>
    <row r="8" spans="1:8" ht="16.5" customHeight="1">
      <c r="B8" s="438" t="s">
        <v>388</v>
      </c>
      <c r="C8" s="438"/>
      <c r="D8" s="298" t="str">
        <f>'1. Sàn'!D47&amp;" - "&amp;'1. Sàn'!F91/1000&amp;" = "</f>
        <v xml:space="preserve">6 - 0,3 = </v>
      </c>
      <c r="E8" s="298">
        <f>'1. Sàn'!D47-'1. Sàn'!F91/1000</f>
        <v>5.7</v>
      </c>
      <c r="F8" s="295" t="s">
        <v>200</v>
      </c>
    </row>
    <row r="9" spans="1:8" ht="16.5" customHeight="1">
      <c r="B9" s="439" t="s">
        <v>202</v>
      </c>
      <c r="C9" s="439"/>
      <c r="D9" s="440" t="str">
        <f>'1. Sàn'!D47&amp;" - (3/2) x "&amp;'1. Sàn'!F91/1000&amp;" = "</f>
        <v xml:space="preserve">6 - (3/2) x 0,3 = </v>
      </c>
      <c r="E9" s="440"/>
      <c r="F9" s="298">
        <f>ROUND('1. Sàn'!D47-(('1. Sàn'!F91*(3/2))/1000),2)</f>
        <v>5.55</v>
      </c>
      <c r="G9" s="295" t="s">
        <v>200</v>
      </c>
    </row>
    <row r="10" spans="1:8">
      <c r="A10" s="296" t="s">
        <v>201</v>
      </c>
    </row>
    <row r="11" spans="1:8">
      <c r="G11" s="298">
        <f>E5</f>
        <v>500</v>
      </c>
    </row>
    <row r="13" spans="1:8">
      <c r="A13" s="299">
        <f>E5+E6</f>
        <v>750</v>
      </c>
    </row>
    <row r="15" spans="1:8">
      <c r="B15" s="298">
        <f>'1. Sàn'!F91/2</f>
        <v>150</v>
      </c>
      <c r="C15" s="298" t="str">
        <f>'1. Sàn'!F91/2&amp;"       "&amp;E8*1000&amp;"          "&amp;'1. Sàn'!F91/2</f>
        <v>150       5700          150</v>
      </c>
      <c r="E15" s="295">
        <f>'1. Sàn'!F91/2</f>
        <v>150</v>
      </c>
      <c r="F15" s="300">
        <f>E8*1000</f>
        <v>5700</v>
      </c>
      <c r="G15" s="299">
        <f>'1. Sàn'!F91/2</f>
        <v>150</v>
      </c>
      <c r="H15" s="299">
        <f>'1. Sàn'!F91/2</f>
        <v>150</v>
      </c>
    </row>
    <row r="17" spans="1:10">
      <c r="C17" s="439">
        <f>'1. Sàn'!D47*1000</f>
        <v>6000</v>
      </c>
      <c r="D17" s="439"/>
      <c r="F17" s="439">
        <f>'1. Sàn'!D47*1000</f>
        <v>6000</v>
      </c>
      <c r="G17" s="439"/>
    </row>
    <row r="18" spans="1:10">
      <c r="C18" s="301"/>
      <c r="D18" s="301"/>
      <c r="F18" s="301"/>
      <c r="G18" s="301"/>
    </row>
    <row r="26" spans="1:10">
      <c r="A26" s="294" t="s">
        <v>190</v>
      </c>
    </row>
    <row r="27" spans="1:10" ht="43.5">
      <c r="B27" s="445" t="s">
        <v>206</v>
      </c>
      <c r="C27" s="445"/>
      <c r="D27" s="302" t="s">
        <v>204</v>
      </c>
      <c r="E27" s="303" t="s">
        <v>203</v>
      </c>
      <c r="F27" s="429">
        <f>ROUND(E6*(E5-'1. Sàn'!F87)*E28*D28/10^6,3)</f>
        <v>2.819</v>
      </c>
      <c r="G27" s="346"/>
    </row>
    <row r="28" spans="1:10">
      <c r="B28" s="445"/>
      <c r="C28" s="445"/>
      <c r="D28" s="334">
        <v>1.1000000000000001</v>
      </c>
      <c r="E28" s="42">
        <v>25</v>
      </c>
      <c r="F28" s="429"/>
      <c r="G28" s="346"/>
    </row>
    <row r="29" spans="1:10" ht="16.5">
      <c r="B29" s="430" t="s">
        <v>205</v>
      </c>
      <c r="C29" s="431"/>
      <c r="D29" s="431"/>
      <c r="E29" s="432"/>
      <c r="F29" s="304">
        <f>ROUND('1. Sàn'!F122*'1. Sàn'!D46,3)</f>
        <v>9.3629999999999995</v>
      </c>
      <c r="G29" s="305">
        <f>ROUND(F31/F30,2)</f>
        <v>1.97</v>
      </c>
    </row>
    <row r="30" spans="1:10" ht="16.5">
      <c r="B30" s="430" t="s">
        <v>237</v>
      </c>
      <c r="C30" s="431"/>
      <c r="D30" s="431"/>
      <c r="E30" s="432"/>
      <c r="F30" s="304">
        <f>ROUND(SUM(F27:F29),3)</f>
        <v>12.182</v>
      </c>
      <c r="G30" s="306" t="s">
        <v>137</v>
      </c>
    </row>
    <row r="31" spans="1:10" ht="16.5">
      <c r="B31" s="434" t="s">
        <v>238</v>
      </c>
      <c r="C31" s="434"/>
      <c r="D31" s="434"/>
      <c r="E31" s="434"/>
      <c r="F31" s="304">
        <f>ROUND('1. Sàn'!F121*'1. Sàn'!D46,3)</f>
        <v>24</v>
      </c>
      <c r="G31" s="305">
        <f>ROUND(VLOOKUP($G$29,'Bang Tra'!Q27:Z45,10),2)</f>
        <v>0.23</v>
      </c>
      <c r="J31" s="307"/>
    </row>
    <row r="32" spans="1:10" ht="16.5">
      <c r="B32" s="446" t="s">
        <v>239</v>
      </c>
      <c r="C32" s="446"/>
      <c r="D32" s="446"/>
      <c r="E32" s="446"/>
      <c r="F32" s="308">
        <f>ROUND(SUM(F30:F31),3)</f>
        <v>36.182000000000002</v>
      </c>
      <c r="G32" s="309"/>
    </row>
    <row r="33" spans="1:9">
      <c r="A33" s="294" t="s">
        <v>234</v>
      </c>
    </row>
    <row r="34" spans="1:9">
      <c r="A34" s="294" t="s">
        <v>235</v>
      </c>
    </row>
    <row r="47" spans="1:9">
      <c r="F47" s="434" t="s">
        <v>207</v>
      </c>
      <c r="G47" s="434"/>
      <c r="H47" s="310">
        <f>ROUND(0.425*F9*1000,0)</f>
        <v>2359</v>
      </c>
      <c r="I47" s="299" t="s">
        <v>89</v>
      </c>
    </row>
    <row r="48" spans="1:9">
      <c r="F48" s="434" t="s">
        <v>208</v>
      </c>
      <c r="G48" s="434"/>
      <c r="H48" s="310">
        <f>ROUND(G31*F9*1000,0)</f>
        <v>1277</v>
      </c>
      <c r="I48" s="299" t="s">
        <v>89</v>
      </c>
    </row>
    <row r="49" spans="1:10">
      <c r="F49" s="434" t="s">
        <v>209</v>
      </c>
      <c r="G49" s="434"/>
      <c r="H49" s="310">
        <f>ROUND(0.15*F9*1000,0)</f>
        <v>833</v>
      </c>
      <c r="I49" s="299" t="s">
        <v>89</v>
      </c>
    </row>
    <row r="50" spans="1:10">
      <c r="F50" s="434" t="s">
        <v>210</v>
      </c>
      <c r="G50" s="434"/>
      <c r="H50" s="310">
        <f>ROUND(0.15*E8*1000,0)</f>
        <v>855</v>
      </c>
      <c r="I50" s="299" t="s">
        <v>89</v>
      </c>
    </row>
    <row r="51" spans="1:10">
      <c r="F51" s="434" t="s">
        <v>211</v>
      </c>
      <c r="G51" s="434"/>
      <c r="H51" s="310">
        <f>ROUND(0.5*E8*1000,0)</f>
        <v>2850</v>
      </c>
      <c r="I51" s="299" t="s">
        <v>89</v>
      </c>
    </row>
    <row r="53" spans="1:10" s="294" customFormat="1" ht="33" customHeight="1">
      <c r="A53" s="311" t="s">
        <v>222</v>
      </c>
      <c r="B53" s="311" t="s">
        <v>233</v>
      </c>
      <c r="C53" s="311" t="s">
        <v>229</v>
      </c>
      <c r="D53" s="311" t="s">
        <v>230</v>
      </c>
      <c r="E53" s="312"/>
      <c r="F53" s="313" t="s">
        <v>231</v>
      </c>
      <c r="G53" s="312"/>
      <c r="H53" s="313" t="s">
        <v>232</v>
      </c>
      <c r="I53" s="408" t="s">
        <v>149</v>
      </c>
      <c r="J53" s="408"/>
    </row>
    <row r="54" spans="1:10">
      <c r="A54" s="408" t="s">
        <v>223</v>
      </c>
      <c r="B54" s="284">
        <v>0</v>
      </c>
      <c r="C54" s="346">
        <f>F9</f>
        <v>5.55</v>
      </c>
      <c r="D54" s="346">
        <f>ROUND(SUM(F30:F31),2)</f>
        <v>36.18</v>
      </c>
      <c r="E54" s="314">
        <v>0</v>
      </c>
      <c r="F54" s="315">
        <f>ROUND($C$54*$C$54*$D$54*E54,2)</f>
        <v>0</v>
      </c>
      <c r="G54" s="316">
        <v>0</v>
      </c>
      <c r="H54" s="315">
        <f>ROUND(G54*$D$54*C54*C54,2)</f>
        <v>0</v>
      </c>
      <c r="I54" s="346"/>
      <c r="J54" s="346"/>
    </row>
    <row r="55" spans="1:10">
      <c r="A55" s="408"/>
      <c r="B55" s="284">
        <f>'Bang Tra'!R47</f>
        <v>1</v>
      </c>
      <c r="C55" s="346"/>
      <c r="D55" s="346"/>
      <c r="E55" s="314">
        <f>SUMIF('Bang Tra'!$R$47:$Y$47,'2. D.phụ'!B55,'Bang Tra'!$R$48:$Y$48)+SUMIF('Bang Tra'!$R$49:$Y$49,'2. D.phụ'!B55,'Bang Tra'!$R$50:$Y$50)</f>
        <v>6.5000000000000002E-2</v>
      </c>
      <c r="F55" s="315">
        <f t="shared" ref="F55:F60" si="0">ROUND($C$54*$C$54*$D$54*E55,2)</f>
        <v>72.44</v>
      </c>
      <c r="G55" s="316">
        <v>0</v>
      </c>
      <c r="H55" s="315">
        <f>ROUND(G55*$D$54*C54*C54,2)</f>
        <v>0</v>
      </c>
      <c r="I55" s="346"/>
      <c r="J55" s="346"/>
    </row>
    <row r="56" spans="1:10">
      <c r="A56" s="408"/>
      <c r="B56" s="284">
        <f>'Bang Tra'!S47</f>
        <v>2</v>
      </c>
      <c r="C56" s="346"/>
      <c r="D56" s="346"/>
      <c r="E56" s="314">
        <f>SUMIF('Bang Tra'!$R$47:$Y$47,'2. D.phụ'!B56,'Bang Tra'!$R$48:$Y$48)+SUMIF('Bang Tra'!$R$49:$Y$49,'2. D.phụ'!B56,'Bang Tra'!$R$50:$Y$50)</f>
        <v>0.09</v>
      </c>
      <c r="F56" s="315">
        <f t="shared" si="0"/>
        <v>100.3</v>
      </c>
      <c r="G56" s="316">
        <v>0</v>
      </c>
      <c r="H56" s="315">
        <f>ROUND(G56*$D$54*C54*C54,2)</f>
        <v>0</v>
      </c>
      <c r="I56" s="346"/>
      <c r="J56" s="346"/>
    </row>
    <row r="57" spans="1:10">
      <c r="A57" s="408"/>
      <c r="B57" s="284" t="str">
        <f>'Bang Tra'!T47</f>
        <v>2'</v>
      </c>
      <c r="C57" s="346"/>
      <c r="D57" s="346"/>
      <c r="E57" s="314">
        <f>SUMIF('Bang Tra'!$R$47:$Y$47,'2. D.phụ'!B57,'Bang Tra'!$R$48:$Y$48)+SUMIF('Bang Tra'!$R$49:$Y$49,'2. D.phụ'!B57,'Bang Tra'!$R$50:$Y$50)</f>
        <v>9.0999999999999998E-2</v>
      </c>
      <c r="F57" s="315">
        <f t="shared" si="0"/>
        <v>101.41</v>
      </c>
      <c r="G57" s="316">
        <v>0</v>
      </c>
      <c r="H57" s="315">
        <f>ROUND(G57*$D$54*$C$54*$C$54,2)</f>
        <v>0</v>
      </c>
      <c r="I57" s="346"/>
      <c r="J57" s="346"/>
    </row>
    <row r="58" spans="1:10">
      <c r="A58" s="408"/>
      <c r="B58" s="284">
        <f>'Bang Tra'!U47</f>
        <v>3</v>
      </c>
      <c r="C58" s="346"/>
      <c r="D58" s="346"/>
      <c r="E58" s="314">
        <f>SUMIF('Bang Tra'!$R$47:$Y$47,'2. D.phụ'!B58,'Bang Tra'!$R$48:$Y$48)+SUMIF('Bang Tra'!$R$49:$Y$49,'2. D.phụ'!B58,'Bang Tra'!$R$50:$Y$50)</f>
        <v>7.4999999999999997E-2</v>
      </c>
      <c r="F58" s="315">
        <f t="shared" si="0"/>
        <v>83.58</v>
      </c>
      <c r="G58" s="316">
        <v>0</v>
      </c>
      <c r="H58" s="315">
        <f>ROUND(G58*$D$54*$C$54*$C$54,2)</f>
        <v>0</v>
      </c>
      <c r="I58" s="346"/>
      <c r="J58" s="346"/>
    </row>
    <row r="59" spans="1:10">
      <c r="A59" s="408"/>
      <c r="B59" s="284">
        <f>'Bang Tra'!V47</f>
        <v>4</v>
      </c>
      <c r="C59" s="346"/>
      <c r="D59" s="346"/>
      <c r="E59" s="314">
        <f>SUMIF('Bang Tra'!$R$47:$Y$47,'2. D.phụ'!B59,'Bang Tra'!$R$48:$Y$48)+SUMIF('Bang Tra'!$R$49:$Y$49,'2. D.phụ'!B59,'Bang Tra'!$R$50:$Y$50)</f>
        <v>0.02</v>
      </c>
      <c r="F59" s="315">
        <f t="shared" si="0"/>
        <v>22.29</v>
      </c>
      <c r="G59" s="316">
        <v>0</v>
      </c>
      <c r="H59" s="315">
        <f>ROUND(G59*$D$54*$C$54*$C$54,2)</f>
        <v>0</v>
      </c>
      <c r="I59" s="346"/>
      <c r="J59" s="346"/>
    </row>
    <row r="60" spans="1:10">
      <c r="A60" s="408"/>
      <c r="B60" s="284">
        <f>'Bang Tra'!W47</f>
        <v>5</v>
      </c>
      <c r="C60" s="346"/>
      <c r="D60" s="346"/>
      <c r="E60" s="314">
        <f>SUMIF('Bang Tra'!$R$47:$Y$47,'2. D.phụ'!B60,'Bang Tra'!$R$48:$Y$48)+SUMIF('Bang Tra'!$R$49:$Y$49,'2. D.phụ'!B60,'Bang Tra'!$R$50:$Y$50)</f>
        <v>0</v>
      </c>
      <c r="F60" s="315">
        <f t="shared" si="0"/>
        <v>0</v>
      </c>
      <c r="G60" s="316">
        <f>VLOOKUP($G$29,'Bang Tra'!$Q$27:$Z$45,2,0)</f>
        <v>-7.1499999999999994E-2</v>
      </c>
      <c r="H60" s="315">
        <f>ROUND(G60*$D$54*$C$54*$C$54,2)</f>
        <v>-79.680000000000007</v>
      </c>
      <c r="I60" s="346"/>
      <c r="J60" s="346"/>
    </row>
    <row r="61" spans="1:10">
      <c r="A61" s="408" t="s">
        <v>224</v>
      </c>
      <c r="B61" s="284">
        <f>'Bang Tra'!X47</f>
        <v>6</v>
      </c>
      <c r="C61" s="346">
        <f>E8</f>
        <v>5.7</v>
      </c>
      <c r="D61" s="346"/>
      <c r="E61" s="314">
        <f>SUMIF('Bang Tra'!$R$47:$Y$47,'2. D.phụ'!B61,'Bang Tra'!$R$48:$Y$48)+SUMIF('Bang Tra'!$R$49:$Y$49,'2. D.phụ'!B61,'Bang Tra'!$R$50:$Y$50)</f>
        <v>1.7999999999999999E-2</v>
      </c>
      <c r="F61" s="315">
        <f>ROUND($C$61*$C$61*$D$54*E61,2)</f>
        <v>21.16</v>
      </c>
      <c r="G61" s="316">
        <f>VLOOKUP($G$29,'Bang Tra'!$Q$27:$Z$45,3,0)</f>
        <v>-2.98E-2</v>
      </c>
      <c r="H61" s="315">
        <f>ROUND(G61*$D$54*$C$61*$C$61,2)</f>
        <v>-35.03</v>
      </c>
      <c r="I61" s="346"/>
      <c r="J61" s="346"/>
    </row>
    <row r="62" spans="1:10">
      <c r="A62" s="408"/>
      <c r="B62" s="284">
        <f>'Bang Tra'!Y47</f>
        <v>7</v>
      </c>
      <c r="C62" s="346"/>
      <c r="D62" s="346"/>
      <c r="E62" s="314">
        <f>SUMIF('Bang Tra'!$R$47:$Y$47,'2. D.phụ'!B62,'Bang Tra'!$R$48:$Y$48)+SUMIF('Bang Tra'!$R$49:$Y$49,'2. D.phụ'!B62,'Bang Tra'!$R$50:$Y$50)</f>
        <v>5.8000000000000003E-2</v>
      </c>
      <c r="F62" s="315">
        <f t="shared" ref="F62:F66" si="1">ROUND($C$61*$C$61*$D$54*E62,2)</f>
        <v>68.180000000000007</v>
      </c>
      <c r="G62" s="316">
        <f>VLOOKUP($G$29,'Bang Tra'!$Q$27:$Z$45,4,0)</f>
        <v>-8.6E-3</v>
      </c>
      <c r="H62" s="315">
        <f t="shared" ref="H62:H66" si="2">ROUND(G62*$D$54*$C$61*$C$61,2)</f>
        <v>-10.11</v>
      </c>
      <c r="I62" s="346"/>
      <c r="J62" s="346"/>
    </row>
    <row r="63" spans="1:10">
      <c r="A63" s="408"/>
      <c r="B63" s="284" t="str">
        <f>'Bang Tra'!R49</f>
        <v>7'</v>
      </c>
      <c r="C63" s="346"/>
      <c r="D63" s="346"/>
      <c r="E63" s="314">
        <f>SUMIF('Bang Tra'!$R$47:$Y$47,'2. D.phụ'!B63,'Bang Tra'!$R$48:$Y$48)+SUMIF('Bang Tra'!$R$49:$Y$49,'2. D.phụ'!B63,'Bang Tra'!$R$50:$Y$50)</f>
        <v>6.25E-2</v>
      </c>
      <c r="F63" s="315">
        <f t="shared" si="1"/>
        <v>73.47</v>
      </c>
      <c r="G63" s="316">
        <v>0</v>
      </c>
      <c r="H63" s="315">
        <f t="shared" si="2"/>
        <v>0</v>
      </c>
      <c r="I63" s="346"/>
      <c r="J63" s="346"/>
    </row>
    <row r="64" spans="1:10">
      <c r="A64" s="408"/>
      <c r="B64" s="284">
        <f>'Bang Tra'!S49</f>
        <v>8</v>
      </c>
      <c r="C64" s="346"/>
      <c r="D64" s="346"/>
      <c r="E64" s="314">
        <f>SUMIF('Bang Tra'!$R$47:$Y$47,'2. D.phụ'!B64,'Bang Tra'!$R$48:$Y$48)+SUMIF('Bang Tra'!$R$49:$Y$49,'2. D.phụ'!B64,'Bang Tra'!$R$50:$Y$50)</f>
        <v>5.8000000000000003E-2</v>
      </c>
      <c r="F64" s="315">
        <f t="shared" si="1"/>
        <v>68.180000000000007</v>
      </c>
      <c r="G64" s="316">
        <f>VLOOKUP($G$29,'Bang Tra'!$Q$27:$Z$45,5,0)</f>
        <v>-5.5999999999999999E-3</v>
      </c>
      <c r="H64" s="315">
        <f t="shared" si="2"/>
        <v>-6.58</v>
      </c>
      <c r="I64" s="346"/>
      <c r="J64" s="346"/>
    </row>
    <row r="65" spans="1:10">
      <c r="A65" s="408"/>
      <c r="B65" s="284">
        <f>'Bang Tra'!T49</f>
        <v>9</v>
      </c>
      <c r="C65" s="346"/>
      <c r="D65" s="346"/>
      <c r="E65" s="314">
        <f>SUMIF('Bang Tra'!$R$47:$Y$47,'2. D.phụ'!B65,'Bang Tra'!$R$48:$Y$48)+SUMIF('Bang Tra'!$R$49:$Y$49,'2. D.phụ'!B65,'Bang Tra'!$R$50:$Y$50)</f>
        <v>1.7999999999999999E-2</v>
      </c>
      <c r="F65" s="315">
        <f t="shared" si="1"/>
        <v>21.16</v>
      </c>
      <c r="G65" s="316">
        <f>VLOOKUP($G$29,'Bang Tra'!$Q$27:$Z$45,6,0)</f>
        <v>-2.3800000000000002E-2</v>
      </c>
      <c r="H65" s="315">
        <f t="shared" si="2"/>
        <v>-27.98</v>
      </c>
      <c r="I65" s="346"/>
      <c r="J65" s="346"/>
    </row>
    <row r="66" spans="1:10">
      <c r="A66" s="408"/>
      <c r="B66" s="284">
        <f>'Bang Tra'!U49</f>
        <v>10</v>
      </c>
      <c r="C66" s="346"/>
      <c r="D66" s="346"/>
      <c r="E66" s="314">
        <f>SUMIF('Bang Tra'!$R$47:$Y$47,'2. D.phụ'!B66,'Bang Tra'!$R$48:$Y$48)+SUMIF('Bang Tra'!$R$49:$Y$49,'2. D.phụ'!B66,'Bang Tra'!$R$50:$Y$50)</f>
        <v>0</v>
      </c>
      <c r="F66" s="315">
        <f t="shared" si="1"/>
        <v>0</v>
      </c>
      <c r="G66" s="316">
        <f>VLOOKUP($G$29,'Bang Tra'!$Q$27:$Z$45,7,0)</f>
        <v>-6.25E-2</v>
      </c>
      <c r="H66" s="315">
        <f t="shared" si="2"/>
        <v>-73.47</v>
      </c>
      <c r="I66" s="346"/>
      <c r="J66" s="346"/>
    </row>
    <row r="67" spans="1:10">
      <c r="A67" s="408" t="s">
        <v>225</v>
      </c>
      <c r="B67" s="284">
        <f>'Bang Tra'!V49</f>
        <v>11</v>
      </c>
      <c r="C67" s="346">
        <f>E8</f>
        <v>5.7</v>
      </c>
      <c r="D67" s="346"/>
      <c r="E67" s="314">
        <f>SUMIF('Bang Tra'!$R$47:$Y$47,'2. D.phụ'!B67,'Bang Tra'!$R$48:$Y$48)+SUMIF('Bang Tra'!$R$49:$Y$49,'2. D.phụ'!B67,'Bang Tra'!$R$50:$Y$50)</f>
        <v>1.7999999999999999E-2</v>
      </c>
      <c r="F67" s="315">
        <f>ROUND($C$67*$C$67*$D$54*E67,2)</f>
        <v>21.16</v>
      </c>
      <c r="G67" s="316">
        <f>VLOOKUP($G$29,'Bang Tra'!$Q$27:$Z$45,8,0)</f>
        <v>-2.2800000000000001E-2</v>
      </c>
      <c r="H67" s="315">
        <f>ROUND(G67*$D$54*$C$67*$C$67,2)</f>
        <v>-26.8</v>
      </c>
      <c r="I67" s="346"/>
      <c r="J67" s="346"/>
    </row>
    <row r="68" spans="1:10">
      <c r="A68" s="408"/>
      <c r="B68" s="284">
        <f>'Bang Tra'!W49</f>
        <v>12</v>
      </c>
      <c r="C68" s="346"/>
      <c r="D68" s="346"/>
      <c r="E68" s="314">
        <f>SUMIF('Bang Tra'!$R$47:$Y$47,'2. D.phụ'!B68,'Bang Tra'!$R$48:$Y$48)+SUMIF('Bang Tra'!$R$49:$Y$49,'2. D.phụ'!B68,'Bang Tra'!$R$50:$Y$50)</f>
        <v>5.8000000000000003E-2</v>
      </c>
      <c r="F68" s="315">
        <f t="shared" ref="F68" si="3">ROUND($C$67*$C$67*$D$54*E68,2)</f>
        <v>68.180000000000007</v>
      </c>
      <c r="G68" s="316">
        <f>VLOOKUP($G$29,'Bang Tra'!$Q$27:$Z$45,9,0)</f>
        <v>-2.5999999999999999E-3</v>
      </c>
      <c r="H68" s="315">
        <f t="shared" ref="H68:H69" si="4">ROUND(G68*$D$54*$C$67*$C$67,2)</f>
        <v>-3.06</v>
      </c>
      <c r="I68" s="346"/>
      <c r="J68" s="346"/>
    </row>
    <row r="69" spans="1:10">
      <c r="A69" s="408"/>
      <c r="B69" s="284" t="str">
        <f>'Bang Tra'!X49</f>
        <v>12'</v>
      </c>
      <c r="C69" s="346"/>
      <c r="D69" s="346"/>
      <c r="E69" s="314">
        <f>SUMIF('Bang Tra'!$R$47:$Y$47,'2. D.phụ'!B69,'Bang Tra'!$R$48:$Y$48)+SUMIF('Bang Tra'!$R$49:$Y$49,'2. D.phụ'!B69,'Bang Tra'!$R$50:$Y$50)</f>
        <v>6.25E-2</v>
      </c>
      <c r="F69" s="315">
        <v>0</v>
      </c>
      <c r="G69" s="316">
        <v>0</v>
      </c>
      <c r="H69" s="315">
        <f t="shared" si="4"/>
        <v>0</v>
      </c>
      <c r="I69" s="346"/>
      <c r="J69" s="346"/>
    </row>
    <row r="71" spans="1:10">
      <c r="A71" s="294" t="s">
        <v>236</v>
      </c>
    </row>
    <row r="80" spans="1:10" ht="16.5" customHeight="1">
      <c r="C80" s="379" t="s">
        <v>240</v>
      </c>
      <c r="D80" s="379"/>
      <c r="E80" s="379"/>
      <c r="F80" s="433">
        <f>ROUND(0.4*F32*F9,2)</f>
        <v>80.319999999999993</v>
      </c>
      <c r="G80" s="433"/>
    </row>
    <row r="81" spans="1:9" ht="16.5" customHeight="1">
      <c r="C81" s="379" t="s">
        <v>241</v>
      </c>
      <c r="D81" s="379"/>
      <c r="E81" s="379"/>
      <c r="F81" s="433">
        <f>ROUND(0.6*F32*F9,2)</f>
        <v>120.49</v>
      </c>
      <c r="G81" s="433"/>
    </row>
    <row r="82" spans="1:9" ht="19.5" customHeight="1">
      <c r="C82" s="379" t="s">
        <v>242</v>
      </c>
      <c r="D82" s="379"/>
      <c r="E82" s="379"/>
      <c r="F82" s="433">
        <f>ROUND(0.5*F32*E8,2)</f>
        <v>103.12</v>
      </c>
      <c r="G82" s="433"/>
    </row>
    <row r="84" spans="1:9">
      <c r="A84" s="294" t="s">
        <v>245</v>
      </c>
    </row>
    <row r="85" spans="1:9">
      <c r="A85" s="444" t="s">
        <v>303</v>
      </c>
      <c r="B85" s="444"/>
      <c r="C85" s="444"/>
      <c r="D85" s="444"/>
      <c r="E85" s="444"/>
      <c r="F85" s="444"/>
      <c r="G85" s="444"/>
      <c r="H85" s="444"/>
      <c r="I85" s="444"/>
    </row>
    <row r="86" spans="1:9">
      <c r="A86" s="444"/>
      <c r="B86" s="444"/>
      <c r="C86" s="444"/>
      <c r="D86" s="444"/>
      <c r="E86" s="444"/>
      <c r="F86" s="444"/>
      <c r="G86" s="444"/>
      <c r="H86" s="444"/>
      <c r="I86" s="444"/>
    </row>
    <row r="87" spans="1:9" ht="83.25" customHeight="1">
      <c r="A87" s="444"/>
      <c r="B87" s="444"/>
      <c r="C87" s="444"/>
      <c r="D87" s="444"/>
      <c r="E87" s="444"/>
      <c r="F87" s="444"/>
      <c r="G87" s="444"/>
      <c r="H87" s="444"/>
      <c r="I87" s="444"/>
    </row>
    <row r="88" spans="1:9">
      <c r="A88" s="294"/>
    </row>
    <row r="110" spans="1:1">
      <c r="A110" s="317" t="s">
        <v>251</v>
      </c>
    </row>
    <row r="111" spans="1:1" ht="16.5">
      <c r="A111" s="295" t="s">
        <v>246</v>
      </c>
    </row>
    <row r="112" spans="1:1">
      <c r="A112" s="299" t="s">
        <v>247</v>
      </c>
    </row>
    <row r="113" spans="1:22">
      <c r="C113" s="443">
        <f>ROUND(2*(SQRT((MAX(F54:F60)*1000)/('1. Sàn'!$C$66*'1. Sàn'!F89/10))),2)</f>
        <v>43.69</v>
      </c>
      <c r="D113" s="442" t="s">
        <v>106</v>
      </c>
    </row>
    <row r="114" spans="1:22">
      <c r="C114" s="443"/>
      <c r="D114" s="442"/>
      <c r="K114" s="318" t="s">
        <v>289</v>
      </c>
      <c r="L114" s="318">
        <f>VLOOKUP($L$120,'Bang Tra'!$A$12:$H$14,4)</f>
        <v>290</v>
      </c>
    </row>
    <row r="115" spans="1:22">
      <c r="C115" s="443"/>
      <c r="D115" s="442"/>
      <c r="K115" s="318" t="s">
        <v>288</v>
      </c>
      <c r="L115" s="318">
        <f>'1. Sàn'!D66</f>
        <v>0.75</v>
      </c>
    </row>
    <row r="116" spans="1:22">
      <c r="B116" s="295" t="s">
        <v>256</v>
      </c>
      <c r="C116" s="299">
        <f>'1. Sàn'!F89/10</f>
        <v>25</v>
      </c>
      <c r="D116" s="298" t="s">
        <v>106</v>
      </c>
      <c r="K116" s="318" t="s">
        <v>276</v>
      </c>
      <c r="L116" s="318">
        <f>'1. Sàn'!$C$66</f>
        <v>8.5</v>
      </c>
    </row>
    <row r="117" spans="1:22" ht="16.5">
      <c r="B117" s="295" t="s">
        <v>248</v>
      </c>
      <c r="C117" s="299">
        <f>'1. Sàn'!F88/10-'2. D.phụ'!C118</f>
        <v>46.5</v>
      </c>
      <c r="D117" s="298" t="s">
        <v>106</v>
      </c>
      <c r="K117" s="319" t="s">
        <v>311</v>
      </c>
      <c r="L117" s="318">
        <f>'1. Sàn'!$C$69</f>
        <v>225</v>
      </c>
      <c r="M117" s="319" t="s">
        <v>312</v>
      </c>
      <c r="N117" s="295">
        <f>'1. Sàn'!C72</f>
        <v>225</v>
      </c>
      <c r="O117" s="319" t="s">
        <v>313</v>
      </c>
      <c r="P117" s="295">
        <f>'1. Sàn'!C75</f>
        <v>225</v>
      </c>
    </row>
    <row r="118" spans="1:22">
      <c r="B118" s="295" t="s">
        <v>249</v>
      </c>
      <c r="C118" s="201">
        <v>3.5</v>
      </c>
      <c r="D118" s="298" t="s">
        <v>106</v>
      </c>
      <c r="K118" s="295" t="s">
        <v>274</v>
      </c>
      <c r="L118" s="295">
        <f>'1. Sàn'!F90</f>
        <v>750</v>
      </c>
    </row>
    <row r="119" spans="1:22">
      <c r="A119" s="320" t="s">
        <v>250</v>
      </c>
      <c r="B119" s="441" t="str">
        <f>IF(C113&lt;C117,"Thỏa điều kiện","Không thỏa điều kiện")</f>
        <v>Thỏa điều kiện</v>
      </c>
      <c r="C119" s="441"/>
      <c r="D119" s="441"/>
      <c r="K119" s="295" t="s">
        <v>275</v>
      </c>
      <c r="L119" s="295">
        <f>'1. Sàn'!F89</f>
        <v>250</v>
      </c>
    </row>
    <row r="120" spans="1:22">
      <c r="A120" s="317" t="s">
        <v>252</v>
      </c>
      <c r="K120" s="295" t="s">
        <v>273</v>
      </c>
      <c r="L120" s="321">
        <f>'1. Sàn'!J49</f>
        <v>15</v>
      </c>
    </row>
    <row r="121" spans="1:22" ht="16.5">
      <c r="A121" s="295" t="s">
        <v>253</v>
      </c>
      <c r="K121" s="295" t="s">
        <v>272</v>
      </c>
      <c r="L121" s="296">
        <f>'1. Sàn'!F88</f>
        <v>500</v>
      </c>
    </row>
    <row r="122" spans="1:22" ht="16.5">
      <c r="A122" s="299" t="s">
        <v>247</v>
      </c>
      <c r="B122" s="295" t="s">
        <v>254</v>
      </c>
      <c r="C122" s="322">
        <f>MAX(F80:G82)*100</f>
        <v>12049</v>
      </c>
      <c r="D122" s="295" t="s">
        <v>255</v>
      </c>
      <c r="K122" s="295" t="s">
        <v>60</v>
      </c>
      <c r="L122" s="295">
        <f>'1. Sàn'!$D$47</f>
        <v>6</v>
      </c>
    </row>
    <row r="123" spans="1:22" ht="16.5">
      <c r="B123" s="440" t="s">
        <v>307</v>
      </c>
      <c r="C123" s="440"/>
      <c r="D123" s="323">
        <f>ROUND('1. Sàn'!M49*'1. Sàn'!D66*10*C116*C117,2)</f>
        <v>5231.25</v>
      </c>
      <c r="E123" s="295" t="s">
        <v>255</v>
      </c>
      <c r="F123" s="295" t="str">
        <f>"(m = "&amp;'1. Sàn'!M49&amp;")"</f>
        <v>(m = 0,6)</v>
      </c>
      <c r="K123" s="295" t="s">
        <v>58</v>
      </c>
      <c r="L123" s="295">
        <f>'1. Sàn'!D55</f>
        <v>0.9</v>
      </c>
    </row>
    <row r="124" spans="1:22">
      <c r="A124" s="320" t="s">
        <v>250</v>
      </c>
      <c r="B124" s="441" t="str">
        <f>IF(D123&lt;C122,"Thỏa điều kiện","Không thỏa điều kiện")</f>
        <v>Thỏa điều kiện</v>
      </c>
      <c r="C124" s="441"/>
      <c r="D124" s="441"/>
    </row>
    <row r="125" spans="1:22">
      <c r="A125" s="440" t="s">
        <v>259</v>
      </c>
      <c r="B125" s="440"/>
      <c r="C125" s="440"/>
      <c r="D125" s="440"/>
      <c r="E125" s="440"/>
      <c r="L125" s="295">
        <f>'Bang Tra'!B3</f>
        <v>12.5</v>
      </c>
      <c r="M125" s="295">
        <f>'Bang Tra'!C3</f>
        <v>15</v>
      </c>
      <c r="N125" s="295">
        <f>'Bang Tra'!D3</f>
        <v>20</v>
      </c>
      <c r="O125" s="295">
        <f>'Bang Tra'!E3</f>
        <v>25</v>
      </c>
      <c r="P125" s="295">
        <f>'Bang Tra'!F3</f>
        <v>30</v>
      </c>
      <c r="Q125" s="295">
        <f>'Bang Tra'!G3</f>
        <v>35</v>
      </c>
      <c r="R125" s="295">
        <f>'Bang Tra'!H3</f>
        <v>40</v>
      </c>
      <c r="S125" s="295">
        <f>'Bang Tra'!I3</f>
        <v>45</v>
      </c>
      <c r="T125" s="295">
        <f>'Bang Tra'!J3</f>
        <v>50</v>
      </c>
      <c r="U125" s="295">
        <f>'Bang Tra'!K3</f>
        <v>55</v>
      </c>
      <c r="V125" s="295">
        <f>'Bang Tra'!L3</f>
        <v>60</v>
      </c>
    </row>
    <row r="126" spans="1:22" ht="16.5">
      <c r="B126" s="299" t="s">
        <v>258</v>
      </c>
      <c r="C126" s="299">
        <f>'1. Sàn'!F87</f>
        <v>90</v>
      </c>
      <c r="D126" s="301" t="s">
        <v>122</v>
      </c>
      <c r="E126" s="301"/>
      <c r="L126" s="295">
        <f>'Bang Tra'!B4</f>
        <v>7.5</v>
      </c>
      <c r="M126" s="295">
        <f>'Bang Tra'!C4</f>
        <v>8.5</v>
      </c>
      <c r="N126" s="295">
        <f>'Bang Tra'!D4</f>
        <v>11.5</v>
      </c>
      <c r="O126" s="295">
        <f>'Bang Tra'!E4</f>
        <v>14.5</v>
      </c>
      <c r="P126" s="295">
        <f>'Bang Tra'!F4</f>
        <v>17</v>
      </c>
      <c r="Q126" s="295">
        <f>'Bang Tra'!G4</f>
        <v>19.5</v>
      </c>
      <c r="R126" s="295">
        <f>'Bang Tra'!H4</f>
        <v>22</v>
      </c>
      <c r="S126" s="295">
        <f>'Bang Tra'!I4</f>
        <v>25</v>
      </c>
      <c r="T126" s="295">
        <f>'Bang Tra'!J4</f>
        <v>27.5</v>
      </c>
      <c r="U126" s="295">
        <f>'Bang Tra'!K4</f>
        <v>30</v>
      </c>
      <c r="V126" s="295">
        <f>'Bang Tra'!L4</f>
        <v>33</v>
      </c>
    </row>
    <row r="127" spans="1:22" ht="16.5">
      <c r="B127" s="299" t="s">
        <v>257</v>
      </c>
      <c r="C127" s="299">
        <f>FLOOR(MIN(6*'1. Sàn'!F87,0.5*('1. Sàn'!D46*1000-'1. Sàn'!F89),('1. Sàn'!D47*1000-'1. Sàn'!F91)/6)*2+'1. Sàn'!F89,50)</f>
        <v>1300</v>
      </c>
      <c r="D127" s="301" t="s">
        <v>122</v>
      </c>
      <c r="L127" s="295">
        <f>'Bang Tra'!B5</f>
        <v>0.66</v>
      </c>
      <c r="M127" s="295">
        <f>'Bang Tra'!C5</f>
        <v>0.75</v>
      </c>
      <c r="N127" s="295">
        <f>'Bang Tra'!D5</f>
        <v>0.9</v>
      </c>
      <c r="O127" s="295">
        <f>'Bang Tra'!E5</f>
        <v>1.05</v>
      </c>
      <c r="P127" s="295">
        <f>'Bang Tra'!F5</f>
        <v>1.2</v>
      </c>
      <c r="Q127" s="295">
        <f>'Bang Tra'!G5</f>
        <v>1.3</v>
      </c>
      <c r="R127" s="295">
        <f>'Bang Tra'!H5</f>
        <v>1.4</v>
      </c>
      <c r="S127" s="295">
        <f>'Bang Tra'!I5</f>
        <v>1.45</v>
      </c>
      <c r="T127" s="295">
        <f>'Bang Tra'!J5</f>
        <v>1.55</v>
      </c>
      <c r="U127" s="295">
        <f>'Bang Tra'!K5</f>
        <v>1.6</v>
      </c>
      <c r="V127" s="295">
        <f>'Bang Tra'!L5</f>
        <v>1.65</v>
      </c>
    </row>
    <row r="128" spans="1:22">
      <c r="A128" s="324" t="s">
        <v>107</v>
      </c>
      <c r="L128" s="295">
        <f>'Bang Tra'!B6</f>
        <v>21000</v>
      </c>
      <c r="M128" s="295">
        <f>'Bang Tra'!C6</f>
        <v>23000</v>
      </c>
      <c r="N128" s="295">
        <f>'Bang Tra'!D6</f>
        <v>27000</v>
      </c>
      <c r="O128" s="295">
        <f>'Bang Tra'!E6</f>
        <v>30000</v>
      </c>
      <c r="P128" s="295">
        <f>'Bang Tra'!F6</f>
        <v>32500</v>
      </c>
      <c r="Q128" s="295">
        <f>'Bang Tra'!G6</f>
        <v>34500</v>
      </c>
      <c r="R128" s="295">
        <f>'Bang Tra'!H6</f>
        <v>36000</v>
      </c>
      <c r="S128" s="295">
        <f>'Bang Tra'!I6</f>
        <v>37500</v>
      </c>
      <c r="T128" s="295">
        <f>'Bang Tra'!J6</f>
        <v>39000</v>
      </c>
      <c r="U128" s="295">
        <f>'Bang Tra'!K6</f>
        <v>39500</v>
      </c>
      <c r="V128" s="295">
        <f>'Bang Tra'!L6</f>
        <v>40000</v>
      </c>
    </row>
    <row r="129" spans="1:15">
      <c r="A129" s="325" t="s">
        <v>294</v>
      </c>
    </row>
    <row r="130" spans="1:15" ht="21" customHeight="1">
      <c r="A130" s="407" t="s">
        <v>278</v>
      </c>
      <c r="B130" s="394" t="s">
        <v>102</v>
      </c>
      <c r="C130" s="394" t="s">
        <v>265</v>
      </c>
      <c r="D130" s="394" t="s">
        <v>291</v>
      </c>
      <c r="E130" s="394" t="s">
        <v>266</v>
      </c>
      <c r="F130" s="394" t="s">
        <v>385</v>
      </c>
      <c r="G130" s="423"/>
      <c r="H130" s="394" t="s">
        <v>292</v>
      </c>
      <c r="I130" s="403" t="s">
        <v>293</v>
      </c>
      <c r="J130" s="403"/>
      <c r="K130" s="357" t="s">
        <v>302</v>
      </c>
      <c r="L130" s="357"/>
      <c r="M130" s="357" t="s">
        <v>78</v>
      </c>
      <c r="N130" s="394" t="s">
        <v>267</v>
      </c>
      <c r="O130" s="394" t="s">
        <v>268</v>
      </c>
    </row>
    <row r="131" spans="1:15" ht="39" customHeight="1">
      <c r="A131" s="407"/>
      <c r="B131" s="395"/>
      <c r="C131" s="395"/>
      <c r="D131" s="395"/>
      <c r="E131" s="395"/>
      <c r="F131" s="395"/>
      <c r="G131" s="424"/>
      <c r="H131" s="395"/>
      <c r="I131" s="326" t="s">
        <v>386</v>
      </c>
      <c r="J131" s="326" t="s">
        <v>387</v>
      </c>
      <c r="K131" s="357"/>
      <c r="L131" s="357"/>
      <c r="M131" s="357"/>
      <c r="N131" s="395"/>
      <c r="O131" s="395"/>
    </row>
    <row r="132" spans="1:15">
      <c r="A132" s="407"/>
      <c r="B132" s="427" t="s">
        <v>103</v>
      </c>
      <c r="C132" s="412">
        <f>$C$118*10</f>
        <v>35</v>
      </c>
      <c r="D132" s="414">
        <f>ROUND($L$123*$L$116*$C$126*$C$127*($L$121-C132-0.5*$C$126)/(10^6),2)</f>
        <v>375.92</v>
      </c>
      <c r="E132" s="419">
        <f>MAX(F54:F60)</f>
        <v>101.41</v>
      </c>
      <c r="F132" s="412" t="str">
        <f>IF(E132&gt;D132,"Chữ T","Chữ nhật lớn")</f>
        <v>Chữ nhật lớn</v>
      </c>
      <c r="G132" s="421">
        <f>ROUND(IF(D132&gt;=E132,E132*10^6/($L$123*HLOOKUP($L$120,$L$125:$V$128,2)*$C$127*($L$121-C132)^2),(E132*10^6-$L$123*HLOOKUP($L$120,$L$125:$V$128,2)*($C127-L$119)*$C$126*($L$121-C132-0.5*$C$126))/($L$123*HLOOKUP($L$120,$L$125:$V$128,2)*$L$119*($L$121-C132)^2)),4)</f>
        <v>4.7199999999999999E-2</v>
      </c>
      <c r="H132" s="410">
        <f>ROUND(IF(D132&gt;=E132,((1-SQRT(1-2*G132))*$L$123*HLOOKUP($L$120,$L$125:$V$128,2)*$C$127*($L$121-C132))/$L$117,($L$123*HLOOKUP($L$120,$L$125:$V$128,2)*((1-SQRT(1-2*G132))*$L$119*($L$121-C132)+($C$127-$L$119)-$C$126))/$L$117),0)/100</f>
        <v>9.94</v>
      </c>
      <c r="I132" s="220">
        <v>5</v>
      </c>
      <c r="J132" s="220">
        <v>16</v>
      </c>
      <c r="K132" s="396">
        <f>ROUND((I132*(J132^2))/162,2)</f>
        <v>7.9</v>
      </c>
      <c r="L132" s="404">
        <f>ROUND(SUM(K132:K139),2)</f>
        <v>20.13</v>
      </c>
      <c r="M132" s="402" t="str">
        <f>IF(I133&gt;H132,"Đạt","Không Đạt")</f>
        <v>Đạt</v>
      </c>
      <c r="N132" s="399">
        <f>(I133-H132)/H132</f>
        <v>1.1066398390342175E-2</v>
      </c>
      <c r="O132" s="401">
        <f>H132/(($L$119-C132)*$L$121)</f>
        <v>9.2465116279069764E-5</v>
      </c>
    </row>
    <row r="133" spans="1:15">
      <c r="A133" s="407"/>
      <c r="B133" s="428"/>
      <c r="C133" s="413"/>
      <c r="D133" s="415"/>
      <c r="E133" s="420"/>
      <c r="F133" s="413"/>
      <c r="G133" s="422"/>
      <c r="H133" s="411"/>
      <c r="I133" s="397">
        <f>INDEX('Bang Tra'!$R$5:$Z$20,VLOOKUP(J132,'Bang Tra'!$Q$5:$AA$20,11),I132)</f>
        <v>10.050000000000001</v>
      </c>
      <c r="J133" s="398"/>
      <c r="K133" s="396"/>
      <c r="L133" s="405"/>
      <c r="M133" s="402"/>
      <c r="N133" s="400"/>
      <c r="O133" s="401"/>
    </row>
    <row r="134" spans="1:15" s="327" customFormat="1">
      <c r="A134" s="407"/>
      <c r="B134" s="427" t="s">
        <v>269</v>
      </c>
      <c r="C134" s="412">
        <f t="shared" ref="C134:C138" si="5">$C$118*10</f>
        <v>35</v>
      </c>
      <c r="D134" s="414">
        <v>0</v>
      </c>
      <c r="E134" s="412">
        <f>ABS(MIN(H54:H60))</f>
        <v>79.680000000000007</v>
      </c>
      <c r="F134" s="412" t="s">
        <v>277</v>
      </c>
      <c r="G134" s="412">
        <f>ROUND(C134*10^6/($L$123*HLOOKUP($L$120,$L$125:$V$128,2)*$L$119*($L$121-C134)^2),4)</f>
        <v>8.4599999999999995E-2</v>
      </c>
      <c r="H134" s="410">
        <f>ROUND(((1-SQRT(1-2*G134))*$L$123*$L$116*$L$119*($L$121-C134))/$L$117,0)/100</f>
        <v>3.5</v>
      </c>
      <c r="I134" s="220">
        <v>5</v>
      </c>
      <c r="J134" s="220">
        <v>10</v>
      </c>
      <c r="K134" s="396">
        <f>ROUND((I134*(J134^2))/162,2)</f>
        <v>3.09</v>
      </c>
      <c r="L134" s="405"/>
      <c r="M134" s="402" t="str">
        <f>IF(I135&gt;H134,"Đạt","Không Đạt")</f>
        <v>Đạt</v>
      </c>
      <c r="N134" s="399">
        <f>(I135-H134)/H134</f>
        <v>0.11999999999999998</v>
      </c>
      <c r="O134" s="401">
        <f>H134/(($L$119-C134)*$L$121)</f>
        <v>3.2558139534883718E-5</v>
      </c>
    </row>
    <row r="135" spans="1:15" s="327" customFormat="1">
      <c r="A135" s="407"/>
      <c r="B135" s="428"/>
      <c r="C135" s="413"/>
      <c r="D135" s="415"/>
      <c r="E135" s="413"/>
      <c r="F135" s="413"/>
      <c r="G135" s="413"/>
      <c r="H135" s="411"/>
      <c r="I135" s="397">
        <f>INDEX('Bang Tra'!$R$5:$Z$20,VLOOKUP(J134,'Bang Tra'!$Q$5:$AA$20,11),I134)</f>
        <v>3.92</v>
      </c>
      <c r="J135" s="398"/>
      <c r="K135" s="396"/>
      <c r="L135" s="405"/>
      <c r="M135" s="402"/>
      <c r="N135" s="400"/>
      <c r="O135" s="401"/>
    </row>
    <row r="136" spans="1:15" s="327" customFormat="1">
      <c r="A136" s="407"/>
      <c r="B136" s="427" t="s">
        <v>270</v>
      </c>
      <c r="C136" s="412">
        <f t="shared" si="5"/>
        <v>35</v>
      </c>
      <c r="D136" s="414">
        <f>ROUND($L$123*$L$116*$C$126*$C$127*($L$121-C136-0.5*$C$126)/(10^6),2)</f>
        <v>375.92</v>
      </c>
      <c r="E136" s="412">
        <f>MAX(F61:F66)</f>
        <v>73.47</v>
      </c>
      <c r="F136" s="412" t="str">
        <f t="shared" ref="F136" si="6">IF(E136&gt;D136,"Chữ T","Chữ nhật lớn")</f>
        <v>Chữ nhật lớn</v>
      </c>
      <c r="G136" s="412">
        <f>ROUND(IF(D136&gt;=E136,E136*10^6/($L$123*HLOOKUP($L$120,$L$125:$V$128,2)*$C$127*($L$121-C136)^2),(E136*10^6-$L$123*HLOOKUP($L$120,$L$125:$V$128,2)*(#REF!-L$119)*$C$126*($L$121-C136-0.5*$C$126))/($L$123*HLOOKUP($L$120,$L$125:$V$128,2)*$L$119*($L$121-C136)^2)),4)</f>
        <v>3.4200000000000001E-2</v>
      </c>
      <c r="H136" s="410">
        <f>ROUND(IF(D136&gt;=E136,((1-SQRT(1-2*G136))*$L$123*HLOOKUP($L$120,$L$125:$V$128,2)*$C$127*($L$121-C136))/$L$117,($L$123*HLOOKUP($L$120,$L$125:$V$128,2)*((1-SQRT(1-2*G136))*$L$119*($L$121-C136)+($C$127-$L$119)-$C$126))/$L$117),0)/100</f>
        <v>7.15</v>
      </c>
      <c r="I136" s="220">
        <v>5</v>
      </c>
      <c r="J136" s="220">
        <v>14</v>
      </c>
      <c r="K136" s="396">
        <f>ROUND((I136*(J136^2))/162,2)</f>
        <v>6.05</v>
      </c>
      <c r="L136" s="405"/>
      <c r="M136" s="402" t="str">
        <f>IF(I137&gt;H136,"Đạt","Không Đạt")</f>
        <v>Đạt</v>
      </c>
      <c r="N136" s="399">
        <f>(I137-H136)/H136</f>
        <v>7.5524475524475526E-2</v>
      </c>
      <c r="O136" s="401">
        <f>H136/(($L$119-C136)*$L$121)</f>
        <v>6.6511627906976753E-5</v>
      </c>
    </row>
    <row r="137" spans="1:15" s="328" customFormat="1">
      <c r="A137" s="407"/>
      <c r="B137" s="428"/>
      <c r="C137" s="413"/>
      <c r="D137" s="415"/>
      <c r="E137" s="413"/>
      <c r="F137" s="413"/>
      <c r="G137" s="413"/>
      <c r="H137" s="411"/>
      <c r="I137" s="397">
        <f>INDEX('Bang Tra'!$R$5:$Z$20,VLOOKUP(J136,'Bang Tra'!$Q$5:$AA$20,11),I136)</f>
        <v>7.69</v>
      </c>
      <c r="J137" s="398"/>
      <c r="K137" s="396"/>
      <c r="L137" s="405"/>
      <c r="M137" s="402"/>
      <c r="N137" s="400"/>
      <c r="O137" s="401"/>
    </row>
    <row r="138" spans="1:15" s="328" customFormat="1">
      <c r="A138" s="407"/>
      <c r="B138" s="427" t="s">
        <v>271</v>
      </c>
      <c r="C138" s="425">
        <f t="shared" si="5"/>
        <v>35</v>
      </c>
      <c r="D138" s="414">
        <v>0</v>
      </c>
      <c r="E138" s="419">
        <f>MAX(F67:F69)</f>
        <v>68.180000000000007</v>
      </c>
      <c r="F138" s="412" t="s">
        <v>277</v>
      </c>
      <c r="G138" s="421">
        <f>ROUND(C138*10^6/($L$123*HLOOKUP($L$120,$L$125:$V$128,2)*$L$119*($L$121-C138)^2),4)</f>
        <v>8.4599999999999995E-2</v>
      </c>
      <c r="H138" s="410">
        <f>ROUND(((1-SQRT(1-2*G138))*$L$123*$L$116*$L$119*($L$121-C138))/$L$117,0)/100</f>
        <v>3.5</v>
      </c>
      <c r="I138" s="220">
        <v>5</v>
      </c>
      <c r="J138" s="220">
        <v>10</v>
      </c>
      <c r="K138" s="396">
        <f>ROUND((I138*(J138^2))/162,2)</f>
        <v>3.09</v>
      </c>
      <c r="L138" s="405"/>
      <c r="M138" s="402" t="str">
        <f>IF(I139&gt;H138,"Đạt","Không Đạt")</f>
        <v>Đạt</v>
      </c>
      <c r="N138" s="399">
        <f>(I139-H138)/H138</f>
        <v>0.11999999999999998</v>
      </c>
      <c r="O138" s="401">
        <f>H138/(($L$119-C138)*$L$121)</f>
        <v>3.2558139534883718E-5</v>
      </c>
    </row>
    <row r="139" spans="1:15" s="328" customFormat="1">
      <c r="A139" s="407"/>
      <c r="B139" s="428"/>
      <c r="C139" s="426"/>
      <c r="D139" s="415"/>
      <c r="E139" s="420"/>
      <c r="F139" s="413"/>
      <c r="G139" s="422"/>
      <c r="H139" s="411"/>
      <c r="I139" s="397">
        <f>INDEX('Bang Tra'!$R$5:$Z$20,VLOOKUP(J138,'Bang Tra'!$Q$5:$AA$20,11),I138)</f>
        <v>3.92</v>
      </c>
      <c r="J139" s="398"/>
      <c r="K139" s="396"/>
      <c r="L139" s="406"/>
      <c r="M139" s="402"/>
      <c r="N139" s="400"/>
      <c r="O139" s="401"/>
    </row>
    <row r="140" spans="1:15" s="328" customFormat="1" ht="18" customHeight="1">
      <c r="A140" s="295"/>
      <c r="B140" s="295"/>
      <c r="C140" s="295"/>
      <c r="D140" s="295"/>
      <c r="E140" s="295"/>
      <c r="F140" s="295"/>
      <c r="G140" s="295"/>
      <c r="H140" s="295"/>
      <c r="I140" s="295"/>
      <c r="J140" s="295"/>
    </row>
    <row r="141" spans="1:15" s="328" customFormat="1" ht="18" customHeight="1">
      <c r="A141" s="325" t="s">
        <v>295</v>
      </c>
      <c r="B141" s="295"/>
      <c r="C141" s="295"/>
      <c r="D141" s="295"/>
      <c r="E141" s="295"/>
      <c r="F141" s="295"/>
      <c r="G141" s="295"/>
      <c r="H141" s="295"/>
      <c r="I141" s="295"/>
      <c r="J141" s="295"/>
    </row>
    <row r="142" spans="1:15" s="328" customFormat="1" ht="18" customHeight="1">
      <c r="A142" s="407" t="s">
        <v>279</v>
      </c>
      <c r="B142" s="408" t="s">
        <v>280</v>
      </c>
      <c r="C142" s="409" t="s">
        <v>290</v>
      </c>
      <c r="D142" s="408" t="s">
        <v>281</v>
      </c>
      <c r="E142" s="409" t="s">
        <v>282</v>
      </c>
      <c r="F142" s="409" t="s">
        <v>283</v>
      </c>
      <c r="G142" s="403" t="s">
        <v>296</v>
      </c>
      <c r="H142" s="403" t="s">
        <v>297</v>
      </c>
      <c r="I142" s="403" t="s">
        <v>298</v>
      </c>
      <c r="J142" s="403" t="s">
        <v>299</v>
      </c>
    </row>
    <row r="143" spans="1:15" s="328" customFormat="1" ht="40.5" customHeight="1">
      <c r="A143" s="407"/>
      <c r="B143" s="408"/>
      <c r="C143" s="409"/>
      <c r="D143" s="408"/>
      <c r="E143" s="408"/>
      <c r="F143" s="408"/>
      <c r="G143" s="418"/>
      <c r="H143" s="403"/>
      <c r="I143" s="403"/>
      <c r="J143" s="403"/>
    </row>
    <row r="144" spans="1:15" ht="32.25" customHeight="1">
      <c r="A144" s="329" t="s">
        <v>284</v>
      </c>
      <c r="B144" s="305">
        <f>F80</f>
        <v>80.319999999999993</v>
      </c>
      <c r="C144" s="239">
        <v>8</v>
      </c>
      <c r="D144" s="284">
        <v>1</v>
      </c>
      <c r="E144" s="416">
        <f>ROUND(0.3*(1-0.01*L123*L116)*L123*L116*L119*(L121-MAX(C134,C138))/1000,2)</f>
        <v>246.38</v>
      </c>
      <c r="F144" s="416">
        <f>ROUND(0.6*(1-0)*L123*L115*L119*(L121-MAX(C134,C138))/1000,2)</f>
        <v>47.08</v>
      </c>
      <c r="G144" s="20">
        <f>ROUND($L$114*D144*PI()*C144^2*2*(1+0)*$L$123*$L$115*$L$121*($L$119-C132)^2/(B144*1000)^2,0)</f>
        <v>282</v>
      </c>
      <c r="H144" s="20">
        <f>ROUND(1.5*(1+0)*$L$123*$L$115*$L$119*($L$121-C132)^2/(B144*1000),0)</f>
        <v>681</v>
      </c>
      <c r="I144" s="417">
        <f>ROUND(IF(L119&gt;450,MIN(L121/3,300),MIN(L121/2,150)),0)</f>
        <v>150</v>
      </c>
      <c r="J144" s="284">
        <f>FLOOR(MIN(G144,H144,$I$144),10)</f>
        <v>150</v>
      </c>
    </row>
    <row r="145" spans="1:12" ht="32.25" customHeight="1">
      <c r="A145" s="329" t="s">
        <v>285</v>
      </c>
      <c r="B145" s="305">
        <f>F81</f>
        <v>120.49</v>
      </c>
      <c r="C145" s="239">
        <v>8</v>
      </c>
      <c r="D145" s="284">
        <v>1</v>
      </c>
      <c r="E145" s="416"/>
      <c r="F145" s="416"/>
      <c r="G145" s="20">
        <f>ROUND($L$114*D145*PI()*C145^2*2*(1+0)*$L$123*$L$115*$L$121*($L$119-C134)^2/(B145*1000)^2,0)</f>
        <v>125</v>
      </c>
      <c r="H145" s="20">
        <f>ROUND(1.5*(1+0)*$L$123*$L$115*$L$119*($L$121-C133)^2/(B145*1000),0)</f>
        <v>525</v>
      </c>
      <c r="I145" s="417"/>
      <c r="J145" s="284">
        <f t="shared" ref="J145:J146" si="7">FLOOR(MIN(G145,H145,$I$144),10)</f>
        <v>120</v>
      </c>
      <c r="L145" s="330"/>
    </row>
    <row r="146" spans="1:12" s="332" customFormat="1" ht="32.25" customHeight="1">
      <c r="A146" s="331" t="s">
        <v>287</v>
      </c>
      <c r="B146" s="305">
        <f>F82</f>
        <v>103.12</v>
      </c>
      <c r="C146" s="239">
        <v>8</v>
      </c>
      <c r="D146" s="284">
        <v>1</v>
      </c>
      <c r="E146" s="416"/>
      <c r="F146" s="416"/>
      <c r="G146" s="20">
        <f>ROUND($L$114*D146*PI()*C146^2*2*(1+0)*$L$123*$L$115*$L$121*($L$119-MAX(C138,C134))^2/(B146*1000)^2,0)</f>
        <v>171</v>
      </c>
      <c r="H146" s="20">
        <f>ROUND(1.5*(1+0)*$L$123*$L$115*$L$119*($L$121-C134)^2/(B146*1000),0)</f>
        <v>531</v>
      </c>
      <c r="I146" s="417"/>
      <c r="J146" s="284">
        <f t="shared" si="7"/>
        <v>150</v>
      </c>
    </row>
    <row r="147" spans="1:12" s="332" customFormat="1" ht="27.75" customHeight="1">
      <c r="A147" s="435" t="s">
        <v>286</v>
      </c>
      <c r="B147" s="436"/>
      <c r="C147" s="436"/>
      <c r="D147" s="436"/>
      <c r="E147" s="436"/>
      <c r="F147" s="436"/>
      <c r="G147" s="436"/>
      <c r="H147" s="437"/>
      <c r="I147" s="333">
        <f>MIN(500,L121*3/4)</f>
        <v>375</v>
      </c>
      <c r="J147" s="311">
        <f>FLOOR(I147,10)</f>
        <v>370</v>
      </c>
    </row>
    <row r="148" spans="1:12" s="332" customFormat="1" ht="30.75" customHeight="1">
      <c r="A148" s="295"/>
      <c r="B148" s="295"/>
      <c r="C148" s="295"/>
      <c r="D148" s="295"/>
      <c r="E148" s="295"/>
      <c r="F148" s="295"/>
      <c r="G148" s="295"/>
      <c r="H148" s="295"/>
      <c r="I148" s="295"/>
      <c r="J148" s="295"/>
    </row>
    <row r="149" spans="1:12" s="332" customFormat="1" ht="30.75" customHeight="1">
      <c r="A149" s="295"/>
      <c r="B149" s="295"/>
      <c r="C149" s="295"/>
      <c r="D149" s="295"/>
      <c r="E149" s="295"/>
      <c r="F149" s="295"/>
      <c r="G149" s="295"/>
      <c r="H149" s="295"/>
      <c r="I149" s="295"/>
      <c r="J149" s="295"/>
    </row>
    <row r="150" spans="1:12" s="332" customFormat="1" ht="30.75" customHeight="1">
      <c r="A150" s="295"/>
      <c r="B150" s="295"/>
      <c r="C150" s="295"/>
      <c r="D150" s="295"/>
      <c r="E150" s="295"/>
      <c r="F150" s="295"/>
      <c r="G150" s="295"/>
      <c r="H150" s="295"/>
      <c r="I150" s="295"/>
      <c r="J150" s="295"/>
    </row>
    <row r="151" spans="1:12" s="332" customFormat="1" ht="22.5" customHeight="1">
      <c r="A151" s="295"/>
      <c r="B151" s="295"/>
      <c r="C151" s="295"/>
      <c r="D151" s="295"/>
      <c r="E151" s="295"/>
      <c r="F151" s="295"/>
      <c r="G151" s="295"/>
      <c r="H151" s="295"/>
      <c r="I151" s="295"/>
      <c r="J151" s="295"/>
    </row>
  </sheetData>
  <sheetProtection password="E091" sheet="1" formatCells="0" formatColumns="0" formatRows="0" insertColumns="0" insertRows="0" insertHyperlinks="0" deleteColumns="0" deleteRows="0" sort="0" autoFilter="0" pivotTables="0"/>
  <mergeCells count="130">
    <mergeCell ref="A147:H147"/>
    <mergeCell ref="B8:C8"/>
    <mergeCell ref="B9:C9"/>
    <mergeCell ref="D9:E9"/>
    <mergeCell ref="C17:D17"/>
    <mergeCell ref="F17:G17"/>
    <mergeCell ref="A125:E125"/>
    <mergeCell ref="B124:D124"/>
    <mergeCell ref="D113:D115"/>
    <mergeCell ref="C113:C115"/>
    <mergeCell ref="A85:I87"/>
    <mergeCell ref="B119:D119"/>
    <mergeCell ref="B123:C123"/>
    <mergeCell ref="A54:A60"/>
    <mergeCell ref="A61:A66"/>
    <mergeCell ref="A67:A69"/>
    <mergeCell ref="C54:C60"/>
    <mergeCell ref="C61:C66"/>
    <mergeCell ref="C67:C69"/>
    <mergeCell ref="B31:E31"/>
    <mergeCell ref="B27:C28"/>
    <mergeCell ref="F47:G47"/>
    <mergeCell ref="F48:G48"/>
    <mergeCell ref="B32:E32"/>
    <mergeCell ref="F27:F28"/>
    <mergeCell ref="H130:H131"/>
    <mergeCell ref="G27:G28"/>
    <mergeCell ref="B29:E29"/>
    <mergeCell ref="B30:E30"/>
    <mergeCell ref="F80:G80"/>
    <mergeCell ref="F81:G81"/>
    <mergeCell ref="F82:G82"/>
    <mergeCell ref="C80:E80"/>
    <mergeCell ref="C81:E81"/>
    <mergeCell ref="C82:E82"/>
    <mergeCell ref="D54:D69"/>
    <mergeCell ref="F49:G49"/>
    <mergeCell ref="F50:G50"/>
    <mergeCell ref="F51:G51"/>
    <mergeCell ref="B142:B143"/>
    <mergeCell ref="C142:C143"/>
    <mergeCell ref="A130:A139"/>
    <mergeCell ref="B130:B131"/>
    <mergeCell ref="C132:C133"/>
    <mergeCell ref="D132:D133"/>
    <mergeCell ref="E132:E133"/>
    <mergeCell ref="F132:F133"/>
    <mergeCell ref="G132:G133"/>
    <mergeCell ref="G130:G131"/>
    <mergeCell ref="E130:E131"/>
    <mergeCell ref="F130:F131"/>
    <mergeCell ref="C138:C139"/>
    <mergeCell ref="D138:D139"/>
    <mergeCell ref="E138:E139"/>
    <mergeCell ref="F138:F139"/>
    <mergeCell ref="G138:G139"/>
    <mergeCell ref="B132:B133"/>
    <mergeCell ref="B134:B135"/>
    <mergeCell ref="B136:B137"/>
    <mergeCell ref="B138:B139"/>
    <mergeCell ref="I53:J53"/>
    <mergeCell ref="I54:J54"/>
    <mergeCell ref="I55:J55"/>
    <mergeCell ref="I56:J56"/>
    <mergeCell ref="I57:J57"/>
    <mergeCell ref="I58:J58"/>
    <mergeCell ref="I59:J59"/>
    <mergeCell ref="I60:J60"/>
    <mergeCell ref="I61:J61"/>
    <mergeCell ref="I62:J62"/>
    <mergeCell ref="I63:J63"/>
    <mergeCell ref="I64:J64"/>
    <mergeCell ref="I65:J65"/>
    <mergeCell ref="E144:E146"/>
    <mergeCell ref="F144:F146"/>
    <mergeCell ref="I144:I146"/>
    <mergeCell ref="F142:F143"/>
    <mergeCell ref="G142:G143"/>
    <mergeCell ref="H142:H143"/>
    <mergeCell ref="I142:I143"/>
    <mergeCell ref="J142:J143"/>
    <mergeCell ref="H132:H133"/>
    <mergeCell ref="N134:N135"/>
    <mergeCell ref="N136:N137"/>
    <mergeCell ref="I66:J66"/>
    <mergeCell ref="I67:J67"/>
    <mergeCell ref="I68:J68"/>
    <mergeCell ref="I69:J69"/>
    <mergeCell ref="A142:A143"/>
    <mergeCell ref="D142:D143"/>
    <mergeCell ref="E142:E143"/>
    <mergeCell ref="H138:H139"/>
    <mergeCell ref="C134:C135"/>
    <mergeCell ref="D134:D135"/>
    <mergeCell ref="E134:E135"/>
    <mergeCell ref="F134:F135"/>
    <mergeCell ref="G134:G135"/>
    <mergeCell ref="H134:H135"/>
    <mergeCell ref="C136:C137"/>
    <mergeCell ref="D136:D137"/>
    <mergeCell ref="E136:E137"/>
    <mergeCell ref="F136:F137"/>
    <mergeCell ref="G136:G137"/>
    <mergeCell ref="H136:H137"/>
    <mergeCell ref="C130:C131"/>
    <mergeCell ref="D130:D131"/>
    <mergeCell ref="N130:N131"/>
    <mergeCell ref="O130:O131"/>
    <mergeCell ref="K132:K133"/>
    <mergeCell ref="K134:K135"/>
    <mergeCell ref="I137:J137"/>
    <mergeCell ref="I139:J139"/>
    <mergeCell ref="N132:N133"/>
    <mergeCell ref="O132:O133"/>
    <mergeCell ref="O134:O135"/>
    <mergeCell ref="O136:O137"/>
    <mergeCell ref="O138:O139"/>
    <mergeCell ref="N138:N139"/>
    <mergeCell ref="M130:M131"/>
    <mergeCell ref="M132:M133"/>
    <mergeCell ref="M134:M135"/>
    <mergeCell ref="M136:M137"/>
    <mergeCell ref="M138:M139"/>
    <mergeCell ref="I130:J130"/>
    <mergeCell ref="I133:J133"/>
    <mergeCell ref="I135:J135"/>
    <mergeCell ref="K136:K137"/>
    <mergeCell ref="K138:K139"/>
    <mergeCell ref="K130:L131"/>
    <mergeCell ref="L132:L139"/>
  </mergeCells>
  <conditionalFormatting sqref="B119:D119">
    <cfRule type="containsText" dxfId="4" priority="4" operator="containsText" text="Không thỏa điều kiện">
      <formula>NOT(ISERROR(SEARCH("Không thỏa điều kiện",B119)))</formula>
    </cfRule>
  </conditionalFormatting>
  <conditionalFormatting sqref="B124:D124">
    <cfRule type="containsText" dxfId="3" priority="3" operator="containsText" text="Không thỏa điều kiện">
      <formula>NOT(ISERROR(SEARCH("Không thỏa điều kiện",B124)))</formula>
    </cfRule>
  </conditionalFormatting>
  <conditionalFormatting sqref="M132:M139">
    <cfRule type="containsText" dxfId="2" priority="1" operator="containsText" text="Không Đạt">
      <formula>NOT(ISERROR(SEARCH("Không Đạt",M132)))</formula>
    </cfRule>
  </conditionalFormatting>
  <pageMargins left="0.5" right="0.5" top="0.75" bottom="0.75" header="0.3" footer="0.3"/>
  <pageSetup orientation="portrait" r:id="rId1"/>
  <headerFooter>
    <oddFooter>&amp;CTrang &amp;P</oddFooter>
  </headerFooter>
  <drawing r:id="rId2"/>
  <legacyDrawing r:id="rId3"/>
  <oleObjects>
    <mc:AlternateContent xmlns:mc="http://schemas.openxmlformats.org/markup-compatibility/2006">
      <mc:Choice Requires="x14">
        <oleObject progId="Equation.DSMT4" shapeId="7169" r:id="rId4">
          <objectPr defaultSize="0" autoPict="0" r:id="rId5">
            <anchor moveWithCells="1">
              <from>
                <xdr:col>6</xdr:col>
                <xdr:colOff>28575</xdr:colOff>
                <xdr:row>26</xdr:row>
                <xdr:rowOff>95250</xdr:rowOff>
              </from>
              <to>
                <xdr:col>6</xdr:col>
                <xdr:colOff>590550</xdr:colOff>
                <xdr:row>27</xdr:row>
                <xdr:rowOff>114300</xdr:rowOff>
              </to>
            </anchor>
          </objectPr>
        </oleObject>
      </mc:Choice>
      <mc:Fallback>
        <oleObject progId="Equation.DSMT4" shapeId="7169" r:id="rId4"/>
      </mc:Fallback>
    </mc:AlternateContent>
    <mc:AlternateContent xmlns:mc="http://schemas.openxmlformats.org/markup-compatibility/2006">
      <mc:Choice Requires="x14">
        <oleObject progId="Equation.DSMT4" shapeId="7171" r:id="rId6">
          <objectPr defaultSize="0" autoPict="0" r:id="rId7">
            <anchor moveWithCells="1" sizeWithCells="1">
              <from>
                <xdr:col>4</xdr:col>
                <xdr:colOff>133350</xdr:colOff>
                <xdr:row>52</xdr:row>
                <xdr:rowOff>47625</xdr:rowOff>
              </from>
              <to>
                <xdr:col>4</xdr:col>
                <xdr:colOff>514350</xdr:colOff>
                <xdr:row>52</xdr:row>
                <xdr:rowOff>381000</xdr:rowOff>
              </to>
            </anchor>
          </objectPr>
        </oleObject>
      </mc:Choice>
      <mc:Fallback>
        <oleObject progId="Equation.DSMT4" shapeId="7171" r:id="rId6"/>
      </mc:Fallback>
    </mc:AlternateContent>
    <mc:AlternateContent xmlns:mc="http://schemas.openxmlformats.org/markup-compatibility/2006">
      <mc:Choice Requires="x14">
        <oleObject progId="Equation.DSMT4" shapeId="7172" r:id="rId8">
          <objectPr defaultSize="0" autoPict="0" r:id="rId9">
            <anchor moveWithCells="1" sizeWithCells="1">
              <from>
                <xdr:col>6</xdr:col>
                <xdr:colOff>133350</xdr:colOff>
                <xdr:row>52</xdr:row>
                <xdr:rowOff>47625</xdr:rowOff>
              </from>
              <to>
                <xdr:col>6</xdr:col>
                <xdr:colOff>514350</xdr:colOff>
                <xdr:row>52</xdr:row>
                <xdr:rowOff>381000</xdr:rowOff>
              </to>
            </anchor>
          </objectPr>
        </oleObject>
      </mc:Choice>
      <mc:Fallback>
        <oleObject progId="Equation.DSMT4" shapeId="7172" r:id="rId8"/>
      </mc:Fallback>
    </mc:AlternateContent>
    <mc:AlternateContent xmlns:mc="http://schemas.openxmlformats.org/markup-compatibility/2006">
      <mc:Choice Requires="x14">
        <oleObject progId="Equation.DSMT4" shapeId="7182" r:id="rId10">
          <objectPr defaultSize="0" autoPict="0" r:id="rId11">
            <anchor moveWithCells="1" sizeWithCells="1">
              <from>
                <xdr:col>0</xdr:col>
                <xdr:colOff>600075</xdr:colOff>
                <xdr:row>112</xdr:row>
                <xdr:rowOff>19050</xdr:rowOff>
              </from>
              <to>
                <xdr:col>2</xdr:col>
                <xdr:colOff>266700</xdr:colOff>
                <xdr:row>114</xdr:row>
                <xdr:rowOff>180975</xdr:rowOff>
              </to>
            </anchor>
          </objectPr>
        </oleObject>
      </mc:Choice>
      <mc:Fallback>
        <oleObject progId="Equation.DSMT4" shapeId="7182" r:id="rId10"/>
      </mc:Fallback>
    </mc:AlternateContent>
    <mc:AlternateContent xmlns:mc="http://schemas.openxmlformats.org/markup-compatibility/2006">
      <mc:Choice Requires="x14">
        <oleObject progId="Equation.DSMT4" shapeId="7186" r:id="rId12">
          <objectPr defaultSize="0" autoPict="0" r:id="rId13">
            <anchor moveWithCells="1">
              <from>
                <xdr:col>6</xdr:col>
                <xdr:colOff>133350</xdr:colOff>
                <xdr:row>129</xdr:row>
                <xdr:rowOff>228600</xdr:rowOff>
              </from>
              <to>
                <xdr:col>6</xdr:col>
                <xdr:colOff>485775</xdr:colOff>
                <xdr:row>130</xdr:row>
                <xdr:rowOff>276225</xdr:rowOff>
              </to>
            </anchor>
          </objectPr>
        </oleObject>
      </mc:Choice>
      <mc:Fallback>
        <oleObject progId="Equation.DSMT4" shapeId="7186" r:id="rId12"/>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14:formula1>
            <xm:f>'Bang Tra'!$R$4:$Z$4</xm:f>
          </x14:formula1>
          <xm:sqref>I132 I134 I136 I138</xm:sqref>
        </x14:dataValidation>
        <x14:dataValidation type="list" allowBlank="1" showInputMessage="1" showErrorMessage="1">
          <x14:formula1>
            <xm:f>'Bang Tra'!$Q$6:$Q$20</xm:f>
          </x14:formula1>
          <xm:sqref>J132 J134 J136 J138 C144:C146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461"/>
  <sheetViews>
    <sheetView view="pageBreakPreview" topLeftCell="A66" zoomScaleNormal="100" zoomScaleSheetLayoutView="100" workbookViewId="0">
      <selection activeCell="L70" sqref="L70"/>
    </sheetView>
  </sheetViews>
  <sheetFormatPr defaultRowHeight="15"/>
  <cols>
    <col min="1" max="1" width="9.140625" style="243"/>
    <col min="2" max="2" width="9.85546875" style="243" bestFit="1" customWidth="1"/>
    <col min="3" max="3" width="9.28515625" style="243" bestFit="1" customWidth="1"/>
    <col min="4" max="4" width="9.85546875" style="244" bestFit="1" customWidth="1"/>
    <col min="5" max="5" width="9.7109375" style="243" customWidth="1"/>
    <col min="6" max="6" width="9.28515625" style="243" bestFit="1" customWidth="1"/>
    <col min="7" max="7" width="9.85546875" style="243" bestFit="1" customWidth="1"/>
    <col min="8" max="8" width="9.28515625" style="243" bestFit="1" customWidth="1"/>
    <col min="9" max="9" width="9.85546875" style="243" bestFit="1" customWidth="1"/>
    <col min="10" max="16384" width="9.140625" style="243"/>
  </cols>
  <sheetData>
    <row r="1" spans="1:9">
      <c r="A1" s="242" t="s">
        <v>316</v>
      </c>
    </row>
    <row r="2" spans="1:9">
      <c r="A2" s="242" t="s">
        <v>194</v>
      </c>
    </row>
    <row r="3" spans="1:9">
      <c r="A3" s="243" t="s">
        <v>318</v>
      </c>
    </row>
    <row r="4" spans="1:9">
      <c r="A4" s="243" t="s">
        <v>319</v>
      </c>
    </row>
    <row r="5" spans="1:9" ht="16.5">
      <c r="B5" s="243" t="s">
        <v>334</v>
      </c>
      <c r="C5" s="245">
        <f>'1. Sàn'!F91</f>
        <v>300</v>
      </c>
      <c r="D5" s="244" t="s">
        <v>122</v>
      </c>
    </row>
    <row r="6" spans="1:9" ht="16.5">
      <c r="B6" s="243" t="s">
        <v>335</v>
      </c>
      <c r="C6" s="245">
        <f>'1. Sàn'!F90</f>
        <v>750</v>
      </c>
      <c r="D6" s="244" t="s">
        <v>122</v>
      </c>
    </row>
    <row r="7" spans="1:9">
      <c r="A7" s="243" t="s">
        <v>336</v>
      </c>
      <c r="I7" s="246">
        <f>'1. Sàn'!D46*3</f>
        <v>7.5</v>
      </c>
    </row>
    <row r="26" spans="1:5">
      <c r="A26" s="242" t="s">
        <v>190</v>
      </c>
    </row>
    <row r="27" spans="1:5">
      <c r="A27" s="243" t="s">
        <v>325</v>
      </c>
    </row>
    <row r="28" spans="1:5" ht="16.5">
      <c r="B28" s="243" t="s">
        <v>320</v>
      </c>
    </row>
    <row r="29" spans="1:5" ht="16.5">
      <c r="A29" s="247" t="s">
        <v>247</v>
      </c>
      <c r="B29" s="243" t="s">
        <v>322</v>
      </c>
      <c r="D29" s="248">
        <f>ROUND('2. D.phụ'!F30*'1. Sàn'!D47,2)</f>
        <v>73.09</v>
      </c>
      <c r="E29" s="243" t="s">
        <v>321</v>
      </c>
    </row>
    <row r="30" spans="1:5" ht="16.5">
      <c r="B30" s="243" t="s">
        <v>324</v>
      </c>
      <c r="C30" s="246">
        <f>ROUND('1. Sàn'!F91*('1. Sàn'!F90-'1. Sàn'!F87)*'1. Sàn'!D46*'2. D.phụ'!D28*'2. D.phụ'!E28/(10^6),2)</f>
        <v>13.61</v>
      </c>
      <c r="D30" s="244" t="s">
        <v>321</v>
      </c>
    </row>
    <row r="31" spans="1:5">
      <c r="A31" s="249" t="s">
        <v>250</v>
      </c>
      <c r="B31" s="243" t="s">
        <v>323</v>
      </c>
      <c r="C31" s="246">
        <f>ROUND(C30+D29,2)</f>
        <v>86.7</v>
      </c>
      <c r="D31" s="244" t="s">
        <v>321</v>
      </c>
    </row>
    <row r="32" spans="1:5">
      <c r="A32" s="243" t="s">
        <v>326</v>
      </c>
    </row>
    <row r="33" spans="1:5" ht="16.5">
      <c r="B33" s="243" t="s">
        <v>327</v>
      </c>
      <c r="D33" s="250">
        <f>'2. D.phụ'!F31*'1. Sàn'!D47</f>
        <v>144</v>
      </c>
      <c r="E33" s="243" t="s">
        <v>321</v>
      </c>
    </row>
    <row r="34" spans="1:5">
      <c r="A34" s="242" t="s">
        <v>339</v>
      </c>
    </row>
    <row r="35" spans="1:5">
      <c r="A35" s="242" t="s">
        <v>340</v>
      </c>
    </row>
    <row r="66" spans="1:7" ht="39.75" customHeight="1">
      <c r="A66" s="243" t="s">
        <v>328</v>
      </c>
    </row>
    <row r="67" spans="1:7" ht="18">
      <c r="A67" s="243" t="s">
        <v>329</v>
      </c>
    </row>
    <row r="68" spans="1:7">
      <c r="A68" s="242" t="s">
        <v>330</v>
      </c>
    </row>
    <row r="69" spans="1:7">
      <c r="A69" s="243" t="s">
        <v>338</v>
      </c>
    </row>
    <row r="76" spans="1:7" ht="7.5" customHeight="1"/>
    <row r="77" spans="1:7" ht="6.75" customHeight="1"/>
    <row r="78" spans="1:7" ht="31.5">
      <c r="C78" s="251" t="s">
        <v>233</v>
      </c>
      <c r="D78" s="252" t="s">
        <v>333</v>
      </c>
      <c r="E78" s="251" t="s">
        <v>337</v>
      </c>
      <c r="F78" s="253" t="s">
        <v>342</v>
      </c>
      <c r="G78" s="251" t="s">
        <v>149</v>
      </c>
    </row>
    <row r="79" spans="1:7" s="254" customFormat="1">
      <c r="C79" s="255" t="s">
        <v>331</v>
      </c>
      <c r="D79" s="256">
        <v>0</v>
      </c>
      <c r="E79" s="451">
        <f>ROUND(C31*I7,2)</f>
        <v>650.25</v>
      </c>
      <c r="F79" s="257">
        <f t="shared" ref="F79:F91" si="0">ROUND($E$79*D79,2)</f>
        <v>0</v>
      </c>
      <c r="G79" s="258"/>
    </row>
    <row r="80" spans="1:7">
      <c r="C80" s="255">
        <v>1</v>
      </c>
      <c r="D80" s="256">
        <f>'Bang Tra'!E64</f>
        <v>0.23799999999999999</v>
      </c>
      <c r="E80" s="452"/>
      <c r="F80" s="257">
        <f t="shared" si="0"/>
        <v>154.76</v>
      </c>
      <c r="G80" s="257"/>
    </row>
    <row r="81" spans="1:7">
      <c r="C81" s="255">
        <v>2</v>
      </c>
      <c r="D81" s="256">
        <f>'Bang Tra'!F64</f>
        <v>0.14299999999999999</v>
      </c>
      <c r="E81" s="452"/>
      <c r="F81" s="257">
        <f t="shared" si="0"/>
        <v>92.99</v>
      </c>
      <c r="G81" s="257"/>
    </row>
    <row r="82" spans="1:7">
      <c r="C82" s="255" t="s">
        <v>140</v>
      </c>
      <c r="D82" s="256">
        <f>'Bang Tra'!G64</f>
        <v>-0.28599999999999998</v>
      </c>
      <c r="E82" s="452"/>
      <c r="F82" s="257">
        <f t="shared" si="0"/>
        <v>-185.97</v>
      </c>
      <c r="G82" s="257"/>
    </row>
    <row r="83" spans="1:7">
      <c r="C83" s="255">
        <v>3</v>
      </c>
      <c r="D83" s="256">
        <f>'Bang Tra'!H64</f>
        <v>7.9000000000000001E-2</v>
      </c>
      <c r="E83" s="452"/>
      <c r="F83" s="257">
        <f t="shared" si="0"/>
        <v>51.37</v>
      </c>
      <c r="G83" s="257"/>
    </row>
    <row r="84" spans="1:7">
      <c r="C84" s="255">
        <v>4</v>
      </c>
      <c r="D84" s="256">
        <f>'Bang Tra'!I64</f>
        <v>0.111</v>
      </c>
      <c r="E84" s="452"/>
      <c r="F84" s="257">
        <f t="shared" si="0"/>
        <v>72.180000000000007</v>
      </c>
      <c r="G84" s="257"/>
    </row>
    <row r="85" spans="1:7">
      <c r="C85" s="255" t="s">
        <v>141</v>
      </c>
      <c r="D85" s="256">
        <f>'Bang Tra'!J64</f>
        <v>-0.19</v>
      </c>
      <c r="E85" s="452"/>
      <c r="F85" s="257">
        <f t="shared" si="0"/>
        <v>-123.55</v>
      </c>
      <c r="G85" s="257"/>
    </row>
    <row r="86" spans="1:7">
      <c r="C86" s="255">
        <v>5</v>
      </c>
      <c r="D86" s="256">
        <f>D84</f>
        <v>0.111</v>
      </c>
      <c r="E86" s="452"/>
      <c r="F86" s="257">
        <f t="shared" si="0"/>
        <v>72.180000000000007</v>
      </c>
      <c r="G86" s="257"/>
    </row>
    <row r="87" spans="1:7">
      <c r="C87" s="255">
        <v>6</v>
      </c>
      <c r="D87" s="256">
        <f>D83</f>
        <v>7.9000000000000001E-2</v>
      </c>
      <c r="E87" s="452"/>
      <c r="F87" s="257">
        <f t="shared" si="0"/>
        <v>51.37</v>
      </c>
      <c r="G87" s="257"/>
    </row>
    <row r="88" spans="1:7">
      <c r="C88" s="255" t="s">
        <v>142</v>
      </c>
      <c r="D88" s="256">
        <f>D82</f>
        <v>-0.28599999999999998</v>
      </c>
      <c r="E88" s="452"/>
      <c r="F88" s="257">
        <f t="shared" si="0"/>
        <v>-185.97</v>
      </c>
      <c r="G88" s="257"/>
    </row>
    <row r="89" spans="1:7">
      <c r="C89" s="255">
        <v>7</v>
      </c>
      <c r="D89" s="256">
        <f>D81</f>
        <v>0.14299999999999999</v>
      </c>
      <c r="E89" s="452"/>
      <c r="F89" s="257">
        <f t="shared" si="0"/>
        <v>92.99</v>
      </c>
      <c r="G89" s="257"/>
    </row>
    <row r="90" spans="1:7">
      <c r="C90" s="255">
        <v>8</v>
      </c>
      <c r="D90" s="256">
        <f>D80</f>
        <v>0.23799999999999999</v>
      </c>
      <c r="E90" s="452"/>
      <c r="F90" s="257">
        <f t="shared" si="0"/>
        <v>154.76</v>
      </c>
      <c r="G90" s="257"/>
    </row>
    <row r="91" spans="1:7">
      <c r="C91" s="255" t="s">
        <v>332</v>
      </c>
      <c r="D91" s="256">
        <f>D79</f>
        <v>0</v>
      </c>
      <c r="E91" s="453"/>
      <c r="F91" s="257">
        <f t="shared" si="0"/>
        <v>0</v>
      </c>
      <c r="G91" s="257"/>
    </row>
    <row r="93" spans="1:7">
      <c r="A93" s="243" t="s">
        <v>346</v>
      </c>
    </row>
    <row r="94" spans="1:7" ht="117.75" customHeight="1"/>
    <row r="95" spans="1:7" ht="31.5">
      <c r="C95" s="253" t="s">
        <v>233</v>
      </c>
      <c r="D95" s="252" t="s">
        <v>341</v>
      </c>
      <c r="E95" s="253" t="s">
        <v>345</v>
      </c>
      <c r="F95" s="253" t="s">
        <v>343</v>
      </c>
      <c r="G95" s="253" t="s">
        <v>344</v>
      </c>
    </row>
    <row r="96" spans="1:7">
      <c r="C96" s="255" t="s">
        <v>331</v>
      </c>
      <c r="D96" s="256">
        <f>0</f>
        <v>0</v>
      </c>
      <c r="E96" s="448">
        <f>ROUND($D$33*$I$7,2)</f>
        <v>1080</v>
      </c>
      <c r="F96" s="257">
        <f t="shared" ref="F96:F108" si="1">ROUND($E$96*D96,2)</f>
        <v>0</v>
      </c>
      <c r="G96" s="257">
        <f>$F79+F96</f>
        <v>0</v>
      </c>
    </row>
    <row r="97" spans="1:7">
      <c r="C97" s="255">
        <v>1</v>
      </c>
      <c r="D97" s="256">
        <f>'Bang Tra'!E65</f>
        <v>0.28599999999999998</v>
      </c>
      <c r="E97" s="448"/>
      <c r="F97" s="257">
        <f t="shared" si="1"/>
        <v>308.88</v>
      </c>
      <c r="G97" s="257">
        <f>$F80+F97</f>
        <v>463.64</v>
      </c>
    </row>
    <row r="98" spans="1:7">
      <c r="C98" s="255">
        <v>2</v>
      </c>
      <c r="D98" s="256">
        <f>'Bang Tra'!F65</f>
        <v>0.23799999999999999</v>
      </c>
      <c r="E98" s="448"/>
      <c r="F98" s="257">
        <f t="shared" si="1"/>
        <v>257.04000000000002</v>
      </c>
      <c r="G98" s="257">
        <f t="shared" ref="G98:G108" si="2">$F81+F98</f>
        <v>350.03000000000003</v>
      </c>
    </row>
    <row r="99" spans="1:7">
      <c r="C99" s="255" t="s">
        <v>140</v>
      </c>
      <c r="D99" s="256">
        <f>'Bang Tra'!G65</f>
        <v>-0.14299999999999999</v>
      </c>
      <c r="E99" s="448"/>
      <c r="F99" s="257">
        <f t="shared" si="1"/>
        <v>-154.44</v>
      </c>
      <c r="G99" s="257">
        <f t="shared" si="2"/>
        <v>-340.40999999999997</v>
      </c>
    </row>
    <row r="100" spans="1:7">
      <c r="C100" s="255">
        <v>3</v>
      </c>
      <c r="D100" s="256">
        <f>'Bang Tra'!H65</f>
        <v>-0.127</v>
      </c>
      <c r="E100" s="448"/>
      <c r="F100" s="257">
        <f t="shared" si="1"/>
        <v>-137.16</v>
      </c>
      <c r="G100" s="257">
        <f t="shared" si="2"/>
        <v>-85.789999999999992</v>
      </c>
    </row>
    <row r="101" spans="1:7">
      <c r="C101" s="255">
        <v>4</v>
      </c>
      <c r="D101" s="256">
        <f>'Bang Tra'!I65</f>
        <v>-0.111</v>
      </c>
      <c r="E101" s="448"/>
      <c r="F101" s="257">
        <f t="shared" si="1"/>
        <v>-119.88</v>
      </c>
      <c r="G101" s="257">
        <f t="shared" si="2"/>
        <v>-47.699999999999989</v>
      </c>
    </row>
    <row r="102" spans="1:7">
      <c r="C102" s="255" t="s">
        <v>141</v>
      </c>
      <c r="D102" s="256">
        <f>'Bang Tra'!J65</f>
        <v>-9.5000000000000001E-2</v>
      </c>
      <c r="E102" s="448"/>
      <c r="F102" s="257">
        <f t="shared" si="1"/>
        <v>-102.6</v>
      </c>
      <c r="G102" s="257">
        <f t="shared" si="2"/>
        <v>-226.14999999999998</v>
      </c>
    </row>
    <row r="103" spans="1:7">
      <c r="C103" s="255">
        <v>5</v>
      </c>
      <c r="D103" s="256">
        <f>D101</f>
        <v>-0.111</v>
      </c>
      <c r="E103" s="448"/>
      <c r="F103" s="257">
        <f t="shared" si="1"/>
        <v>-119.88</v>
      </c>
      <c r="G103" s="257">
        <f t="shared" si="2"/>
        <v>-47.699999999999989</v>
      </c>
    </row>
    <row r="104" spans="1:7">
      <c r="C104" s="255">
        <v>6</v>
      </c>
      <c r="D104" s="256">
        <f>D100</f>
        <v>-0.127</v>
      </c>
      <c r="E104" s="448"/>
      <c r="F104" s="257">
        <f t="shared" si="1"/>
        <v>-137.16</v>
      </c>
      <c r="G104" s="257">
        <f t="shared" si="2"/>
        <v>-85.789999999999992</v>
      </c>
    </row>
    <row r="105" spans="1:7">
      <c r="C105" s="255" t="s">
        <v>142</v>
      </c>
      <c r="D105" s="256">
        <f>D99</f>
        <v>-0.14299999999999999</v>
      </c>
      <c r="E105" s="448"/>
      <c r="F105" s="257">
        <f t="shared" si="1"/>
        <v>-154.44</v>
      </c>
      <c r="G105" s="257">
        <f t="shared" si="2"/>
        <v>-340.40999999999997</v>
      </c>
    </row>
    <row r="106" spans="1:7">
      <c r="C106" s="255">
        <v>7</v>
      </c>
      <c r="D106" s="256">
        <f>D98</f>
        <v>0.23799999999999999</v>
      </c>
      <c r="E106" s="448"/>
      <c r="F106" s="257">
        <f t="shared" si="1"/>
        <v>257.04000000000002</v>
      </c>
      <c r="G106" s="257">
        <f t="shared" si="2"/>
        <v>350.03000000000003</v>
      </c>
    </row>
    <row r="107" spans="1:7">
      <c r="C107" s="255">
        <v>8</v>
      </c>
      <c r="D107" s="256">
        <f>D97</f>
        <v>0.28599999999999998</v>
      </c>
      <c r="E107" s="448"/>
      <c r="F107" s="257">
        <f t="shared" si="1"/>
        <v>308.88</v>
      </c>
      <c r="G107" s="257">
        <f t="shared" si="2"/>
        <v>463.64</v>
      </c>
    </row>
    <row r="108" spans="1:7">
      <c r="C108" s="255" t="s">
        <v>332</v>
      </c>
      <c r="D108" s="256">
        <f>D96</f>
        <v>0</v>
      </c>
      <c r="E108" s="448"/>
      <c r="F108" s="257">
        <f t="shared" si="1"/>
        <v>0</v>
      </c>
      <c r="G108" s="257">
        <f t="shared" si="2"/>
        <v>0</v>
      </c>
    </row>
    <row r="110" spans="1:7">
      <c r="A110" s="243" t="s">
        <v>347</v>
      </c>
    </row>
    <row r="111" spans="1:7" ht="99" customHeight="1"/>
    <row r="112" spans="1:7" ht="31.5">
      <c r="C112" s="253" t="s">
        <v>233</v>
      </c>
      <c r="D112" s="252" t="s">
        <v>341</v>
      </c>
      <c r="E112" s="253" t="s">
        <v>345</v>
      </c>
      <c r="F112" s="253" t="s">
        <v>343</v>
      </c>
      <c r="G112" s="253" t="s">
        <v>344</v>
      </c>
    </row>
    <row r="113" spans="1:7">
      <c r="C113" s="255" t="s">
        <v>331</v>
      </c>
      <c r="D113" s="256">
        <v>0</v>
      </c>
      <c r="E113" s="448">
        <f>ROUND($D$33*$I$7,2)</f>
        <v>1080</v>
      </c>
      <c r="F113" s="257">
        <f>ROUND($E$113*D113,2)</f>
        <v>0</v>
      </c>
      <c r="G113" s="257">
        <f>$F79+F113</f>
        <v>0</v>
      </c>
    </row>
    <row r="114" spans="1:7">
      <c r="C114" s="255">
        <v>1</v>
      </c>
      <c r="D114" s="256">
        <f>'Bang Tra'!E66</f>
        <v>-4.8000000000000001E-2</v>
      </c>
      <c r="E114" s="448"/>
      <c r="F114" s="257">
        <f t="shared" ref="F114:F125" si="3">ROUND($E$113*D114,2)</f>
        <v>-51.84</v>
      </c>
      <c r="G114" s="257">
        <f t="shared" ref="G114:G125" si="4">$F80+F114</f>
        <v>102.91999999999999</v>
      </c>
    </row>
    <row r="115" spans="1:7">
      <c r="C115" s="255">
        <v>2</v>
      </c>
      <c r="D115" s="256">
        <f>'Bang Tra'!F66</f>
        <v>-9.5000000000000001E-2</v>
      </c>
      <c r="E115" s="448"/>
      <c r="F115" s="257">
        <f t="shared" si="3"/>
        <v>-102.6</v>
      </c>
      <c r="G115" s="257">
        <f t="shared" si="4"/>
        <v>-9.61</v>
      </c>
    </row>
    <row r="116" spans="1:7">
      <c r="C116" s="255" t="s">
        <v>140</v>
      </c>
      <c r="D116" s="256">
        <f>'Bang Tra'!G66</f>
        <v>-0.14299999999999999</v>
      </c>
      <c r="E116" s="448"/>
      <c r="F116" s="257">
        <f t="shared" si="3"/>
        <v>-154.44</v>
      </c>
      <c r="G116" s="257">
        <f t="shared" si="4"/>
        <v>-340.40999999999997</v>
      </c>
    </row>
    <row r="117" spans="1:7">
      <c r="C117" s="255">
        <v>3</v>
      </c>
      <c r="D117" s="256">
        <f>'Bang Tra'!H66</f>
        <v>0.20599999999999999</v>
      </c>
      <c r="E117" s="448"/>
      <c r="F117" s="257">
        <f t="shared" si="3"/>
        <v>222.48</v>
      </c>
      <c r="G117" s="257">
        <f t="shared" si="4"/>
        <v>273.84999999999997</v>
      </c>
    </row>
    <row r="118" spans="1:7">
      <c r="C118" s="255">
        <v>4</v>
      </c>
      <c r="D118" s="256">
        <f>'Bang Tra'!I66</f>
        <v>0.222</v>
      </c>
      <c r="E118" s="448"/>
      <c r="F118" s="257">
        <f t="shared" si="3"/>
        <v>239.76</v>
      </c>
      <c r="G118" s="257">
        <f t="shared" si="4"/>
        <v>311.94</v>
      </c>
    </row>
    <row r="119" spans="1:7">
      <c r="C119" s="255" t="s">
        <v>141</v>
      </c>
      <c r="D119" s="256">
        <f>'Bang Tra'!J66</f>
        <v>-9.5000000000000001E-2</v>
      </c>
      <c r="E119" s="448"/>
      <c r="F119" s="257">
        <f t="shared" si="3"/>
        <v>-102.6</v>
      </c>
      <c r="G119" s="257">
        <f t="shared" si="4"/>
        <v>-226.14999999999998</v>
      </c>
    </row>
    <row r="120" spans="1:7">
      <c r="C120" s="255">
        <v>5</v>
      </c>
      <c r="D120" s="256">
        <f>D118</f>
        <v>0.222</v>
      </c>
      <c r="E120" s="448"/>
      <c r="F120" s="257">
        <f t="shared" si="3"/>
        <v>239.76</v>
      </c>
      <c r="G120" s="257">
        <f t="shared" si="4"/>
        <v>311.94</v>
      </c>
    </row>
    <row r="121" spans="1:7">
      <c r="C121" s="255">
        <v>6</v>
      </c>
      <c r="D121" s="256">
        <f>D117</f>
        <v>0.20599999999999999</v>
      </c>
      <c r="E121" s="448"/>
      <c r="F121" s="257">
        <f t="shared" si="3"/>
        <v>222.48</v>
      </c>
      <c r="G121" s="257">
        <f t="shared" si="4"/>
        <v>273.84999999999997</v>
      </c>
    </row>
    <row r="122" spans="1:7">
      <c r="C122" s="255" t="s">
        <v>142</v>
      </c>
      <c r="D122" s="256">
        <f>D116</f>
        <v>-0.14299999999999999</v>
      </c>
      <c r="E122" s="448"/>
      <c r="F122" s="257">
        <f t="shared" si="3"/>
        <v>-154.44</v>
      </c>
      <c r="G122" s="257">
        <f t="shared" si="4"/>
        <v>-340.40999999999997</v>
      </c>
    </row>
    <row r="123" spans="1:7">
      <c r="C123" s="255">
        <v>7</v>
      </c>
      <c r="D123" s="256">
        <f>D115</f>
        <v>-9.5000000000000001E-2</v>
      </c>
      <c r="E123" s="448"/>
      <c r="F123" s="257">
        <f t="shared" si="3"/>
        <v>-102.6</v>
      </c>
      <c r="G123" s="257">
        <f t="shared" si="4"/>
        <v>-9.61</v>
      </c>
    </row>
    <row r="124" spans="1:7">
      <c r="C124" s="255">
        <v>8</v>
      </c>
      <c r="D124" s="256">
        <f>D114</f>
        <v>-4.8000000000000001E-2</v>
      </c>
      <c r="E124" s="448"/>
      <c r="F124" s="257">
        <f t="shared" si="3"/>
        <v>-51.84</v>
      </c>
      <c r="G124" s="257">
        <f t="shared" si="4"/>
        <v>102.91999999999999</v>
      </c>
    </row>
    <row r="125" spans="1:7">
      <c r="C125" s="255" t="s">
        <v>332</v>
      </c>
      <c r="D125" s="256">
        <f>D113</f>
        <v>0</v>
      </c>
      <c r="E125" s="448"/>
      <c r="F125" s="257">
        <f t="shared" si="3"/>
        <v>0</v>
      </c>
      <c r="G125" s="257">
        <f t="shared" si="4"/>
        <v>0</v>
      </c>
    </row>
    <row r="127" spans="1:7">
      <c r="A127" s="243" t="s">
        <v>348</v>
      </c>
    </row>
    <row r="128" spans="1:7" ht="99" customHeight="1"/>
    <row r="129" spans="1:7" ht="31.5">
      <c r="C129" s="253" t="s">
        <v>233</v>
      </c>
      <c r="D129" s="252" t="s">
        <v>341</v>
      </c>
      <c r="E129" s="253" t="s">
        <v>345</v>
      </c>
      <c r="F129" s="253" t="s">
        <v>343</v>
      </c>
      <c r="G129" s="253" t="s">
        <v>344</v>
      </c>
    </row>
    <row r="130" spans="1:7">
      <c r="C130" s="255" t="s">
        <v>331</v>
      </c>
      <c r="D130" s="256">
        <v>0</v>
      </c>
      <c r="E130" s="448">
        <f>ROUND($D$33*$I$7,2)</f>
        <v>1080</v>
      </c>
      <c r="F130" s="257">
        <f>ROUND($E$130*D130,2)</f>
        <v>0</v>
      </c>
      <c r="G130" s="257">
        <f>F79+F130</f>
        <v>0</v>
      </c>
    </row>
    <row r="131" spans="1:7">
      <c r="C131" s="255">
        <v>1</v>
      </c>
      <c r="D131" s="256">
        <v>0</v>
      </c>
      <c r="E131" s="448"/>
      <c r="F131" s="257">
        <f t="shared" ref="F131:F142" si="5">ROUND($E$130*D131,2)</f>
        <v>0</v>
      </c>
      <c r="G131" s="257">
        <f t="shared" ref="G131:G142" si="6">F80+F131</f>
        <v>154.76</v>
      </c>
    </row>
    <row r="132" spans="1:7">
      <c r="C132" s="255">
        <v>2</v>
      </c>
      <c r="D132" s="256">
        <v>0</v>
      </c>
      <c r="E132" s="448"/>
      <c r="F132" s="257">
        <f t="shared" si="5"/>
        <v>0</v>
      </c>
      <c r="G132" s="257">
        <f t="shared" si="6"/>
        <v>92.99</v>
      </c>
    </row>
    <row r="133" spans="1:7">
      <c r="C133" s="255" t="s">
        <v>140</v>
      </c>
      <c r="D133" s="256">
        <f>'Bang Tra'!G67</f>
        <v>-0.32100000000000001</v>
      </c>
      <c r="E133" s="448"/>
      <c r="F133" s="257">
        <f t="shared" si="5"/>
        <v>-346.68</v>
      </c>
      <c r="G133" s="257">
        <f t="shared" si="6"/>
        <v>-532.65</v>
      </c>
    </row>
    <row r="134" spans="1:7">
      <c r="C134" s="255">
        <v>3</v>
      </c>
      <c r="D134" s="256">
        <v>0</v>
      </c>
      <c r="E134" s="448"/>
      <c r="F134" s="257">
        <f t="shared" si="5"/>
        <v>0</v>
      </c>
      <c r="G134" s="257">
        <f t="shared" si="6"/>
        <v>51.37</v>
      </c>
    </row>
    <row r="135" spans="1:7">
      <c r="C135" s="255">
        <v>4</v>
      </c>
      <c r="D135" s="256">
        <v>0</v>
      </c>
      <c r="E135" s="448"/>
      <c r="F135" s="257">
        <f t="shared" si="5"/>
        <v>0</v>
      </c>
      <c r="G135" s="257">
        <f t="shared" si="6"/>
        <v>72.180000000000007</v>
      </c>
    </row>
    <row r="136" spans="1:7">
      <c r="C136" s="255" t="s">
        <v>141</v>
      </c>
      <c r="D136" s="256">
        <f>'Bang Tra'!J67</f>
        <v>-4.8000000000000001E-2</v>
      </c>
      <c r="E136" s="448"/>
      <c r="F136" s="257">
        <f t="shared" si="5"/>
        <v>-51.84</v>
      </c>
      <c r="G136" s="257">
        <f t="shared" si="6"/>
        <v>-175.39</v>
      </c>
    </row>
    <row r="137" spans="1:7">
      <c r="C137" s="255">
        <v>5</v>
      </c>
      <c r="D137" s="256">
        <f>D135</f>
        <v>0</v>
      </c>
      <c r="E137" s="448"/>
      <c r="F137" s="257">
        <f t="shared" si="5"/>
        <v>0</v>
      </c>
      <c r="G137" s="257">
        <f t="shared" si="6"/>
        <v>72.180000000000007</v>
      </c>
    </row>
    <row r="138" spans="1:7">
      <c r="C138" s="255">
        <v>6</v>
      </c>
      <c r="D138" s="256">
        <f>D134</f>
        <v>0</v>
      </c>
      <c r="E138" s="448"/>
      <c r="F138" s="257">
        <f t="shared" si="5"/>
        <v>0</v>
      </c>
      <c r="G138" s="257">
        <f t="shared" si="6"/>
        <v>51.37</v>
      </c>
    </row>
    <row r="139" spans="1:7">
      <c r="C139" s="255" t="s">
        <v>142</v>
      </c>
      <c r="D139" s="256">
        <f>D133</f>
        <v>-0.32100000000000001</v>
      </c>
      <c r="E139" s="448"/>
      <c r="F139" s="257">
        <f t="shared" si="5"/>
        <v>-346.68</v>
      </c>
      <c r="G139" s="257">
        <f t="shared" si="6"/>
        <v>-532.65</v>
      </c>
    </row>
    <row r="140" spans="1:7">
      <c r="C140" s="255">
        <v>7</v>
      </c>
      <c r="D140" s="256">
        <f>D132</f>
        <v>0</v>
      </c>
      <c r="E140" s="448"/>
      <c r="F140" s="257">
        <f t="shared" si="5"/>
        <v>0</v>
      </c>
      <c r="G140" s="257">
        <f t="shared" si="6"/>
        <v>92.99</v>
      </c>
    </row>
    <row r="141" spans="1:7">
      <c r="C141" s="255">
        <v>8</v>
      </c>
      <c r="D141" s="256">
        <f>D131</f>
        <v>0</v>
      </c>
      <c r="E141" s="448"/>
      <c r="F141" s="257">
        <f t="shared" si="5"/>
        <v>0</v>
      </c>
      <c r="G141" s="257">
        <f t="shared" si="6"/>
        <v>154.76</v>
      </c>
    </row>
    <row r="142" spans="1:7">
      <c r="C142" s="255" t="s">
        <v>332</v>
      </c>
      <c r="D142" s="256">
        <f>D130</f>
        <v>0</v>
      </c>
      <c r="E142" s="448"/>
      <c r="F142" s="257">
        <f t="shared" si="5"/>
        <v>0</v>
      </c>
      <c r="G142" s="257">
        <f t="shared" si="6"/>
        <v>0</v>
      </c>
    </row>
    <row r="144" spans="1:7">
      <c r="A144" s="243" t="s">
        <v>349</v>
      </c>
    </row>
    <row r="145" spans="3:7" ht="99.75" customHeight="1"/>
    <row r="146" spans="3:7" ht="31.5">
      <c r="C146" s="253" t="s">
        <v>233</v>
      </c>
      <c r="D146" s="252" t="s">
        <v>341</v>
      </c>
      <c r="E146" s="253" t="s">
        <v>345</v>
      </c>
      <c r="F146" s="253" t="s">
        <v>343</v>
      </c>
      <c r="G146" s="253" t="s">
        <v>344</v>
      </c>
    </row>
    <row r="147" spans="3:7">
      <c r="C147" s="255" t="s">
        <v>331</v>
      </c>
      <c r="D147" s="256">
        <v>0</v>
      </c>
      <c r="E147" s="448">
        <f>ROUND($D$33*$I$7,2)</f>
        <v>1080</v>
      </c>
      <c r="F147" s="257">
        <f>ROUND($E$130*D147,2)</f>
        <v>0</v>
      </c>
      <c r="G147" s="257">
        <f>F79+F147</f>
        <v>0</v>
      </c>
    </row>
    <row r="148" spans="3:7">
      <c r="C148" s="255">
        <v>1</v>
      </c>
      <c r="D148" s="256">
        <f>'Bang Tra'!E68</f>
        <v>-3.1E-2</v>
      </c>
      <c r="E148" s="448"/>
      <c r="F148" s="257">
        <f t="shared" ref="F148:F159" si="7">ROUND($E$130*D148,2)</f>
        <v>-33.479999999999997</v>
      </c>
      <c r="G148" s="257">
        <f t="shared" ref="G148:G159" si="8">F80+F148</f>
        <v>121.28</v>
      </c>
    </row>
    <row r="149" spans="3:7">
      <c r="C149" s="255">
        <v>2</v>
      </c>
      <c r="D149" s="256">
        <f>'Bang Tra'!F68</f>
        <v>-6.3E-2</v>
      </c>
      <c r="E149" s="448"/>
      <c r="F149" s="257">
        <f t="shared" si="7"/>
        <v>-68.040000000000006</v>
      </c>
      <c r="G149" s="257">
        <f t="shared" si="8"/>
        <v>24.949999999999989</v>
      </c>
    </row>
    <row r="150" spans="3:7">
      <c r="C150" s="255" t="s">
        <v>140</v>
      </c>
      <c r="D150" s="256">
        <f>'Bang Tra'!G68</f>
        <v>-9.5000000000000001E-2</v>
      </c>
      <c r="E150" s="448"/>
      <c r="F150" s="257">
        <f t="shared" si="7"/>
        <v>-102.6</v>
      </c>
      <c r="G150" s="257">
        <f t="shared" si="8"/>
        <v>-288.57</v>
      </c>
    </row>
    <row r="151" spans="3:7">
      <c r="C151" s="255">
        <v>3</v>
      </c>
      <c r="D151" s="256">
        <v>0</v>
      </c>
      <c r="E151" s="448"/>
      <c r="F151" s="257">
        <f t="shared" si="7"/>
        <v>0</v>
      </c>
      <c r="G151" s="257">
        <f t="shared" si="8"/>
        <v>51.37</v>
      </c>
    </row>
    <row r="152" spans="3:7">
      <c r="C152" s="255">
        <v>4</v>
      </c>
      <c r="D152" s="256">
        <v>0</v>
      </c>
      <c r="E152" s="448"/>
      <c r="F152" s="257">
        <f t="shared" si="7"/>
        <v>0</v>
      </c>
      <c r="G152" s="257">
        <f t="shared" si="8"/>
        <v>72.180000000000007</v>
      </c>
    </row>
    <row r="153" spans="3:7">
      <c r="C153" s="255" t="s">
        <v>141</v>
      </c>
      <c r="D153" s="256">
        <f>'Bang Tra'!J68</f>
        <v>-0.28599999999999998</v>
      </c>
      <c r="E153" s="448"/>
      <c r="F153" s="257">
        <f t="shared" si="7"/>
        <v>-308.88</v>
      </c>
      <c r="G153" s="257">
        <f t="shared" si="8"/>
        <v>-432.43</v>
      </c>
    </row>
    <row r="154" spans="3:7">
      <c r="C154" s="255">
        <v>5</v>
      </c>
      <c r="D154" s="256">
        <f>D152</f>
        <v>0</v>
      </c>
      <c r="E154" s="448"/>
      <c r="F154" s="257">
        <f t="shared" si="7"/>
        <v>0</v>
      </c>
      <c r="G154" s="257">
        <f t="shared" si="8"/>
        <v>72.180000000000007</v>
      </c>
    </row>
    <row r="155" spans="3:7">
      <c r="C155" s="255">
        <v>6</v>
      </c>
      <c r="D155" s="256">
        <f>D151</f>
        <v>0</v>
      </c>
      <c r="E155" s="448"/>
      <c r="F155" s="257">
        <f t="shared" si="7"/>
        <v>0</v>
      </c>
      <c r="G155" s="257">
        <f t="shared" si="8"/>
        <v>51.37</v>
      </c>
    </row>
    <row r="156" spans="3:7">
      <c r="C156" s="255" t="s">
        <v>142</v>
      </c>
      <c r="D156" s="256">
        <f>D150</f>
        <v>-9.5000000000000001E-2</v>
      </c>
      <c r="E156" s="448"/>
      <c r="F156" s="257">
        <f t="shared" si="7"/>
        <v>-102.6</v>
      </c>
      <c r="G156" s="257">
        <f t="shared" si="8"/>
        <v>-288.57</v>
      </c>
    </row>
    <row r="157" spans="3:7">
      <c r="C157" s="255">
        <v>7</v>
      </c>
      <c r="D157" s="256">
        <f>D149</f>
        <v>-6.3E-2</v>
      </c>
      <c r="E157" s="448"/>
      <c r="F157" s="257">
        <f t="shared" si="7"/>
        <v>-68.040000000000006</v>
      </c>
      <c r="G157" s="257">
        <f t="shared" si="8"/>
        <v>24.949999999999989</v>
      </c>
    </row>
    <row r="158" spans="3:7">
      <c r="C158" s="255">
        <v>8</v>
      </c>
      <c r="D158" s="256">
        <f>D148</f>
        <v>-3.1E-2</v>
      </c>
      <c r="E158" s="448"/>
      <c r="F158" s="257">
        <f t="shared" si="7"/>
        <v>-33.479999999999997</v>
      </c>
      <c r="G158" s="257">
        <f t="shared" si="8"/>
        <v>121.28</v>
      </c>
    </row>
    <row r="159" spans="3:7">
      <c r="C159" s="255" t="s">
        <v>332</v>
      </c>
      <c r="D159" s="256">
        <f>D147</f>
        <v>0</v>
      </c>
      <c r="E159" s="448"/>
      <c r="F159" s="257">
        <f t="shared" si="7"/>
        <v>0</v>
      </c>
      <c r="G159" s="257">
        <f t="shared" si="8"/>
        <v>0</v>
      </c>
    </row>
    <row r="161" spans="1:7">
      <c r="A161" s="243" t="s">
        <v>350</v>
      </c>
    </row>
    <row r="162" spans="1:7" ht="98.25" customHeight="1"/>
    <row r="163" spans="1:7" ht="31.5">
      <c r="C163" s="253" t="s">
        <v>233</v>
      </c>
      <c r="D163" s="252" t="s">
        <v>341</v>
      </c>
      <c r="E163" s="253" t="s">
        <v>345</v>
      </c>
      <c r="F163" s="253" t="s">
        <v>343</v>
      </c>
      <c r="G163" s="253" t="s">
        <v>344</v>
      </c>
    </row>
    <row r="164" spans="1:7">
      <c r="C164" s="255" t="s">
        <v>331</v>
      </c>
      <c r="D164" s="256">
        <v>0</v>
      </c>
      <c r="E164" s="448">
        <f>ROUND($D$33*$I$7,2)</f>
        <v>1080</v>
      </c>
      <c r="F164" s="257">
        <f>ROUND($E$130*D164,2)</f>
        <v>0</v>
      </c>
      <c r="G164" s="257">
        <f>F79+F164</f>
        <v>0</v>
      </c>
    </row>
    <row r="165" spans="1:7">
      <c r="C165" s="255">
        <v>1</v>
      </c>
      <c r="D165" s="256">
        <v>0</v>
      </c>
      <c r="E165" s="448"/>
      <c r="F165" s="257">
        <f t="shared" ref="F165:F176" si="9">ROUND($E$130*D165,2)</f>
        <v>0</v>
      </c>
      <c r="G165" s="257">
        <f t="shared" ref="G165:G176" si="10">F80+F165</f>
        <v>154.76</v>
      </c>
    </row>
    <row r="166" spans="1:7">
      <c r="C166" s="255">
        <v>2</v>
      </c>
      <c r="D166" s="256">
        <v>0</v>
      </c>
      <c r="E166" s="448"/>
      <c r="F166" s="257">
        <f t="shared" si="9"/>
        <v>0</v>
      </c>
      <c r="G166" s="257">
        <f t="shared" si="10"/>
        <v>92.99</v>
      </c>
    </row>
    <row r="167" spans="1:7">
      <c r="C167" s="255" t="s">
        <v>140</v>
      </c>
      <c r="D167" s="256">
        <f>'Bang Tra'!G69</f>
        <v>3.5999999999999997E-2</v>
      </c>
      <c r="E167" s="448"/>
      <c r="F167" s="257">
        <f t="shared" si="9"/>
        <v>38.880000000000003</v>
      </c>
      <c r="G167" s="257">
        <f t="shared" si="10"/>
        <v>-147.09</v>
      </c>
    </row>
    <row r="168" spans="1:7">
      <c r="C168" s="255">
        <v>3</v>
      </c>
      <c r="D168" s="256">
        <v>0</v>
      </c>
      <c r="E168" s="448"/>
      <c r="F168" s="257">
        <f t="shared" si="9"/>
        <v>0</v>
      </c>
      <c r="G168" s="257">
        <f t="shared" si="10"/>
        <v>51.37</v>
      </c>
    </row>
    <row r="169" spans="1:7">
      <c r="C169" s="255">
        <v>4</v>
      </c>
      <c r="D169" s="256">
        <v>0</v>
      </c>
      <c r="E169" s="448"/>
      <c r="F169" s="257">
        <f t="shared" si="9"/>
        <v>0</v>
      </c>
      <c r="G169" s="257">
        <f t="shared" si="10"/>
        <v>72.180000000000007</v>
      </c>
    </row>
    <row r="170" spans="1:7">
      <c r="C170" s="255" t="s">
        <v>141</v>
      </c>
      <c r="D170" s="256">
        <f>'Bang Tra'!J69</f>
        <v>-0.14299999999999999</v>
      </c>
      <c r="E170" s="448"/>
      <c r="F170" s="257">
        <f t="shared" si="9"/>
        <v>-154.44</v>
      </c>
      <c r="G170" s="257">
        <f t="shared" si="10"/>
        <v>-277.99</v>
      </c>
    </row>
    <row r="171" spans="1:7">
      <c r="C171" s="255">
        <v>5</v>
      </c>
      <c r="D171" s="256">
        <f>D169</f>
        <v>0</v>
      </c>
      <c r="E171" s="448"/>
      <c r="F171" s="257">
        <f t="shared" si="9"/>
        <v>0</v>
      </c>
      <c r="G171" s="257">
        <f t="shared" si="10"/>
        <v>72.180000000000007</v>
      </c>
    </row>
    <row r="172" spans="1:7">
      <c r="C172" s="255">
        <v>6</v>
      </c>
      <c r="D172" s="256">
        <f>D168</f>
        <v>0</v>
      </c>
      <c r="E172" s="448"/>
      <c r="F172" s="257">
        <f t="shared" si="9"/>
        <v>0</v>
      </c>
      <c r="G172" s="257">
        <f t="shared" si="10"/>
        <v>51.37</v>
      </c>
    </row>
    <row r="173" spans="1:7">
      <c r="C173" s="255" t="s">
        <v>142</v>
      </c>
      <c r="D173" s="256">
        <f>D167</f>
        <v>3.5999999999999997E-2</v>
      </c>
      <c r="E173" s="448"/>
      <c r="F173" s="257">
        <f t="shared" si="9"/>
        <v>38.880000000000003</v>
      </c>
      <c r="G173" s="257">
        <f t="shared" si="10"/>
        <v>-147.09</v>
      </c>
    </row>
    <row r="174" spans="1:7">
      <c r="C174" s="255">
        <v>7</v>
      </c>
      <c r="D174" s="256">
        <f>D166</f>
        <v>0</v>
      </c>
      <c r="E174" s="448"/>
      <c r="F174" s="257">
        <f t="shared" si="9"/>
        <v>0</v>
      </c>
      <c r="G174" s="257">
        <f t="shared" si="10"/>
        <v>92.99</v>
      </c>
    </row>
    <row r="175" spans="1:7">
      <c r="C175" s="255">
        <v>8</v>
      </c>
      <c r="D175" s="256">
        <f>D165</f>
        <v>0</v>
      </c>
      <c r="E175" s="448"/>
      <c r="F175" s="257">
        <f t="shared" si="9"/>
        <v>0</v>
      </c>
      <c r="G175" s="257">
        <f t="shared" si="10"/>
        <v>154.76</v>
      </c>
    </row>
    <row r="176" spans="1:7">
      <c r="C176" s="255" t="s">
        <v>332</v>
      </c>
      <c r="D176" s="256">
        <f>D164</f>
        <v>0</v>
      </c>
      <c r="E176" s="448"/>
      <c r="F176" s="257">
        <f t="shared" si="9"/>
        <v>0</v>
      </c>
      <c r="G176" s="257">
        <f t="shared" si="10"/>
        <v>0</v>
      </c>
    </row>
    <row r="178" spans="1:7">
      <c r="A178" s="243" t="s">
        <v>351</v>
      </c>
    </row>
    <row r="179" spans="1:7" ht="103.5" customHeight="1"/>
    <row r="180" spans="1:7" ht="31.5">
      <c r="C180" s="253" t="s">
        <v>233</v>
      </c>
      <c r="D180" s="252" t="s">
        <v>341</v>
      </c>
      <c r="E180" s="253" t="s">
        <v>345</v>
      </c>
      <c r="F180" s="253" t="s">
        <v>343</v>
      </c>
      <c r="G180" s="253" t="s">
        <v>344</v>
      </c>
    </row>
    <row r="181" spans="1:7">
      <c r="C181" s="255" t="s">
        <v>331</v>
      </c>
      <c r="D181" s="256">
        <v>0</v>
      </c>
      <c r="E181" s="448">
        <f>ROUND($D$33*$I$7,2)</f>
        <v>1080</v>
      </c>
      <c r="F181" s="257">
        <f>ROUND($E$130*D181,2)</f>
        <v>0</v>
      </c>
      <c r="G181" s="257">
        <f>F79+F181</f>
        <v>0</v>
      </c>
    </row>
    <row r="182" spans="1:7">
      <c r="C182" s="255">
        <v>1</v>
      </c>
      <c r="D182" s="256">
        <v>0</v>
      </c>
      <c r="E182" s="448"/>
      <c r="F182" s="257">
        <f t="shared" ref="F182:F193" si="11">ROUND($E$130*D182,2)</f>
        <v>0</v>
      </c>
      <c r="G182" s="257">
        <f t="shared" ref="G182:G193" si="12">F80+F182</f>
        <v>154.76</v>
      </c>
    </row>
    <row r="183" spans="1:7">
      <c r="C183" s="255">
        <v>2</v>
      </c>
      <c r="D183" s="256">
        <v>0</v>
      </c>
      <c r="E183" s="448"/>
      <c r="F183" s="257">
        <f t="shared" si="11"/>
        <v>0</v>
      </c>
      <c r="G183" s="257">
        <f t="shared" si="12"/>
        <v>92.99</v>
      </c>
    </row>
    <row r="184" spans="1:7">
      <c r="C184" s="255" t="s">
        <v>140</v>
      </c>
      <c r="D184" s="256">
        <f>'Bang Tra'!G70</f>
        <v>-0.19</v>
      </c>
      <c r="E184" s="448"/>
      <c r="F184" s="257">
        <f t="shared" si="11"/>
        <v>-205.2</v>
      </c>
      <c r="G184" s="257">
        <f t="shared" si="12"/>
        <v>-391.16999999999996</v>
      </c>
    </row>
    <row r="185" spans="1:7">
      <c r="C185" s="255">
        <v>3</v>
      </c>
      <c r="D185" s="256">
        <v>0</v>
      </c>
      <c r="E185" s="448"/>
      <c r="F185" s="257">
        <f t="shared" si="11"/>
        <v>0</v>
      </c>
      <c r="G185" s="257">
        <f t="shared" si="12"/>
        <v>51.37</v>
      </c>
    </row>
    <row r="186" spans="1:7">
      <c r="C186" s="255">
        <v>4</v>
      </c>
      <c r="D186" s="256">
        <v>0</v>
      </c>
      <c r="E186" s="448"/>
      <c r="F186" s="257">
        <f t="shared" si="11"/>
        <v>0</v>
      </c>
      <c r="G186" s="257">
        <f t="shared" si="12"/>
        <v>72.180000000000007</v>
      </c>
    </row>
    <row r="187" spans="1:7">
      <c r="C187" s="255" t="s">
        <v>141</v>
      </c>
      <c r="D187" s="256">
        <f>'Bang Tra'!J70</f>
        <v>9.5000000000000001E-2</v>
      </c>
      <c r="E187" s="448"/>
      <c r="F187" s="257">
        <f t="shared" si="11"/>
        <v>102.6</v>
      </c>
      <c r="G187" s="257">
        <f t="shared" si="12"/>
        <v>-20.950000000000003</v>
      </c>
    </row>
    <row r="188" spans="1:7">
      <c r="C188" s="255">
        <v>5</v>
      </c>
      <c r="D188" s="256">
        <f>D186</f>
        <v>0</v>
      </c>
      <c r="E188" s="448"/>
      <c r="F188" s="257">
        <f t="shared" si="11"/>
        <v>0</v>
      </c>
      <c r="G188" s="257">
        <f t="shared" si="12"/>
        <v>72.180000000000007</v>
      </c>
    </row>
    <row r="189" spans="1:7">
      <c r="C189" s="255">
        <v>6</v>
      </c>
      <c r="D189" s="256">
        <f>D185</f>
        <v>0</v>
      </c>
      <c r="E189" s="448"/>
      <c r="F189" s="257">
        <f t="shared" si="11"/>
        <v>0</v>
      </c>
      <c r="G189" s="257">
        <f t="shared" si="12"/>
        <v>51.37</v>
      </c>
    </row>
    <row r="190" spans="1:7">
      <c r="C190" s="255" t="s">
        <v>142</v>
      </c>
      <c r="D190" s="256">
        <f>D184</f>
        <v>-0.19</v>
      </c>
      <c r="E190" s="448"/>
      <c r="F190" s="257">
        <f t="shared" si="11"/>
        <v>-205.2</v>
      </c>
      <c r="G190" s="257">
        <f t="shared" si="12"/>
        <v>-391.16999999999996</v>
      </c>
    </row>
    <row r="191" spans="1:7">
      <c r="C191" s="255">
        <v>7</v>
      </c>
      <c r="D191" s="256">
        <f>D183</f>
        <v>0</v>
      </c>
      <c r="E191" s="448"/>
      <c r="F191" s="257">
        <f t="shared" si="11"/>
        <v>0</v>
      </c>
      <c r="G191" s="257">
        <f t="shared" si="12"/>
        <v>92.99</v>
      </c>
    </row>
    <row r="192" spans="1:7">
      <c r="C192" s="255">
        <v>8</v>
      </c>
      <c r="D192" s="256">
        <f>D182</f>
        <v>0</v>
      </c>
      <c r="E192" s="448"/>
      <c r="F192" s="257">
        <f t="shared" si="11"/>
        <v>0</v>
      </c>
      <c r="G192" s="257">
        <f t="shared" si="12"/>
        <v>154.76</v>
      </c>
    </row>
    <row r="193" spans="1:12">
      <c r="C193" s="255" t="s">
        <v>332</v>
      </c>
      <c r="D193" s="256">
        <f>D181</f>
        <v>0</v>
      </c>
      <c r="E193" s="448"/>
      <c r="F193" s="257">
        <f t="shared" si="11"/>
        <v>0</v>
      </c>
      <c r="G193" s="257">
        <f t="shared" si="12"/>
        <v>0</v>
      </c>
    </row>
    <row r="195" spans="1:12" ht="22.5" customHeight="1">
      <c r="A195" s="259" t="s">
        <v>354</v>
      </c>
    </row>
    <row r="196" spans="1:12" ht="31.5" customHeight="1">
      <c r="C196" s="253" t="s">
        <v>233</v>
      </c>
      <c r="D196" s="450" t="s">
        <v>352</v>
      </c>
      <c r="E196" s="450"/>
      <c r="F196" s="450" t="s">
        <v>353</v>
      </c>
      <c r="G196" s="450"/>
    </row>
    <row r="197" spans="1:12" ht="21.75" customHeight="1">
      <c r="C197" s="255" t="s">
        <v>331</v>
      </c>
      <c r="D197" s="447">
        <f t="shared" ref="D197:D209" si="13">MAX(G96,G113,G130,G147,G164,G181)</f>
        <v>0</v>
      </c>
      <c r="E197" s="447"/>
      <c r="F197" s="447">
        <f t="shared" ref="F197:F209" si="14">MIN(G96,G113,G130,G147,G164,G181)</f>
        <v>0</v>
      </c>
      <c r="G197" s="447"/>
      <c r="J197" s="244">
        <v>0</v>
      </c>
      <c r="K197" s="243">
        <f>-D197</f>
        <v>0</v>
      </c>
      <c r="L197" s="243">
        <f>-F197</f>
        <v>0</v>
      </c>
    </row>
    <row r="198" spans="1:12" ht="21.75" customHeight="1">
      <c r="C198" s="255">
        <v>1</v>
      </c>
      <c r="D198" s="447">
        <f t="shared" si="13"/>
        <v>463.64</v>
      </c>
      <c r="E198" s="447"/>
      <c r="F198" s="447">
        <f t="shared" si="14"/>
        <v>102.91999999999999</v>
      </c>
      <c r="G198" s="447"/>
      <c r="J198" s="244">
        <v>0</v>
      </c>
      <c r="K198" s="243">
        <f t="shared" ref="K198:K209" si="15">-D198</f>
        <v>-463.64</v>
      </c>
      <c r="L198" s="243">
        <f t="shared" ref="L198:L209" si="16">-F198</f>
        <v>-102.91999999999999</v>
      </c>
    </row>
    <row r="199" spans="1:12" ht="21.75" customHeight="1">
      <c r="C199" s="255">
        <v>2</v>
      </c>
      <c r="D199" s="447">
        <f t="shared" si="13"/>
        <v>350.03000000000003</v>
      </c>
      <c r="E199" s="447"/>
      <c r="F199" s="447">
        <f t="shared" si="14"/>
        <v>-9.61</v>
      </c>
      <c r="G199" s="447"/>
      <c r="J199" s="244">
        <v>0</v>
      </c>
      <c r="K199" s="243">
        <f t="shared" si="15"/>
        <v>-350.03000000000003</v>
      </c>
      <c r="L199" s="243">
        <f t="shared" si="16"/>
        <v>9.61</v>
      </c>
    </row>
    <row r="200" spans="1:12" ht="21.75" customHeight="1">
      <c r="C200" s="255" t="s">
        <v>140</v>
      </c>
      <c r="D200" s="447">
        <f t="shared" si="13"/>
        <v>-147.09</v>
      </c>
      <c r="E200" s="447"/>
      <c r="F200" s="447">
        <f t="shared" si="14"/>
        <v>-532.65</v>
      </c>
      <c r="G200" s="447"/>
      <c r="J200" s="244">
        <v>0</v>
      </c>
      <c r="K200" s="243">
        <f t="shared" si="15"/>
        <v>147.09</v>
      </c>
      <c r="L200" s="243">
        <f t="shared" si="16"/>
        <v>532.65</v>
      </c>
    </row>
    <row r="201" spans="1:12" ht="21.75" customHeight="1">
      <c r="C201" s="255">
        <v>3</v>
      </c>
      <c r="D201" s="447">
        <f t="shared" si="13"/>
        <v>273.84999999999997</v>
      </c>
      <c r="E201" s="447"/>
      <c r="F201" s="447">
        <f t="shared" si="14"/>
        <v>-85.789999999999992</v>
      </c>
      <c r="G201" s="447"/>
      <c r="J201" s="244">
        <v>0</v>
      </c>
      <c r="K201" s="243">
        <f t="shared" si="15"/>
        <v>-273.84999999999997</v>
      </c>
      <c r="L201" s="243">
        <f t="shared" si="16"/>
        <v>85.789999999999992</v>
      </c>
    </row>
    <row r="202" spans="1:12" ht="21.75" customHeight="1">
      <c r="C202" s="255">
        <v>4</v>
      </c>
      <c r="D202" s="447">
        <f t="shared" si="13"/>
        <v>311.94</v>
      </c>
      <c r="E202" s="447"/>
      <c r="F202" s="447">
        <f t="shared" si="14"/>
        <v>-47.699999999999989</v>
      </c>
      <c r="G202" s="447"/>
      <c r="J202" s="244">
        <v>0</v>
      </c>
      <c r="K202" s="243">
        <f t="shared" si="15"/>
        <v>-311.94</v>
      </c>
      <c r="L202" s="243">
        <f t="shared" si="16"/>
        <v>47.699999999999989</v>
      </c>
    </row>
    <row r="203" spans="1:12" ht="21.75" customHeight="1">
      <c r="C203" s="255" t="s">
        <v>141</v>
      </c>
      <c r="D203" s="447">
        <f t="shared" si="13"/>
        <v>-20.950000000000003</v>
      </c>
      <c r="E203" s="447"/>
      <c r="F203" s="447">
        <f t="shared" si="14"/>
        <v>-432.43</v>
      </c>
      <c r="G203" s="447"/>
      <c r="J203" s="244">
        <v>0</v>
      </c>
      <c r="K203" s="243">
        <f t="shared" si="15"/>
        <v>20.950000000000003</v>
      </c>
      <c r="L203" s="243">
        <f t="shared" si="16"/>
        <v>432.43</v>
      </c>
    </row>
    <row r="204" spans="1:12" ht="21.75" customHeight="1">
      <c r="C204" s="255">
        <v>5</v>
      </c>
      <c r="D204" s="447">
        <f t="shared" si="13"/>
        <v>311.94</v>
      </c>
      <c r="E204" s="447"/>
      <c r="F204" s="447">
        <f t="shared" si="14"/>
        <v>-47.699999999999989</v>
      </c>
      <c r="G204" s="447"/>
      <c r="J204" s="244">
        <v>0</v>
      </c>
      <c r="K204" s="243">
        <f t="shared" si="15"/>
        <v>-311.94</v>
      </c>
      <c r="L204" s="243">
        <f t="shared" si="16"/>
        <v>47.699999999999989</v>
      </c>
    </row>
    <row r="205" spans="1:12" ht="21.75" customHeight="1">
      <c r="C205" s="255">
        <v>6</v>
      </c>
      <c r="D205" s="447">
        <f t="shared" si="13"/>
        <v>273.84999999999997</v>
      </c>
      <c r="E205" s="447"/>
      <c r="F205" s="447">
        <f t="shared" si="14"/>
        <v>-85.789999999999992</v>
      </c>
      <c r="G205" s="447"/>
      <c r="J205" s="244">
        <v>0</v>
      </c>
      <c r="K205" s="243">
        <f t="shared" si="15"/>
        <v>-273.84999999999997</v>
      </c>
      <c r="L205" s="243">
        <f t="shared" si="16"/>
        <v>85.789999999999992</v>
      </c>
    </row>
    <row r="206" spans="1:12" ht="21.75" customHeight="1">
      <c r="C206" s="255" t="s">
        <v>142</v>
      </c>
      <c r="D206" s="447">
        <f t="shared" si="13"/>
        <v>-147.09</v>
      </c>
      <c r="E206" s="447"/>
      <c r="F206" s="447">
        <f t="shared" si="14"/>
        <v>-532.65</v>
      </c>
      <c r="G206" s="447"/>
      <c r="J206" s="244">
        <v>0</v>
      </c>
      <c r="K206" s="243">
        <f t="shared" si="15"/>
        <v>147.09</v>
      </c>
      <c r="L206" s="243">
        <f t="shared" si="16"/>
        <v>532.65</v>
      </c>
    </row>
    <row r="207" spans="1:12" ht="21.75" customHeight="1">
      <c r="C207" s="255">
        <v>7</v>
      </c>
      <c r="D207" s="447">
        <f t="shared" si="13"/>
        <v>350.03000000000003</v>
      </c>
      <c r="E207" s="447"/>
      <c r="F207" s="447">
        <f t="shared" si="14"/>
        <v>-9.61</v>
      </c>
      <c r="G207" s="447"/>
      <c r="J207" s="244">
        <v>0</v>
      </c>
      <c r="K207" s="243">
        <f t="shared" si="15"/>
        <v>-350.03000000000003</v>
      </c>
      <c r="L207" s="243">
        <f t="shared" si="16"/>
        <v>9.61</v>
      </c>
    </row>
    <row r="208" spans="1:12" ht="21.75" customHeight="1">
      <c r="C208" s="255">
        <v>8</v>
      </c>
      <c r="D208" s="447">
        <f t="shared" si="13"/>
        <v>463.64</v>
      </c>
      <c r="E208" s="447"/>
      <c r="F208" s="447">
        <f t="shared" si="14"/>
        <v>102.91999999999999</v>
      </c>
      <c r="G208" s="447"/>
      <c r="J208" s="244">
        <v>0</v>
      </c>
      <c r="K208" s="243">
        <f t="shared" si="15"/>
        <v>-463.64</v>
      </c>
      <c r="L208" s="243">
        <f t="shared" si="16"/>
        <v>-102.91999999999999</v>
      </c>
    </row>
    <row r="209" spans="1:12" ht="21.75" customHeight="1">
      <c r="C209" s="255" t="s">
        <v>332</v>
      </c>
      <c r="D209" s="447">
        <f t="shared" si="13"/>
        <v>0</v>
      </c>
      <c r="E209" s="447"/>
      <c r="F209" s="447">
        <f t="shared" si="14"/>
        <v>0</v>
      </c>
      <c r="G209" s="447"/>
      <c r="J209" s="244">
        <v>0</v>
      </c>
      <c r="K209" s="243">
        <f t="shared" si="15"/>
        <v>0</v>
      </c>
      <c r="L209" s="243">
        <f t="shared" si="16"/>
        <v>0</v>
      </c>
    </row>
    <row r="210" spans="1:12" ht="13.5" customHeight="1">
      <c r="A210" s="449" t="s">
        <v>368</v>
      </c>
      <c r="B210" s="449"/>
      <c r="C210" s="449"/>
      <c r="D210" s="449"/>
      <c r="E210" s="449"/>
      <c r="F210" s="449"/>
      <c r="G210" s="449"/>
      <c r="H210" s="449"/>
      <c r="I210" s="449"/>
    </row>
    <row r="211" spans="1:12" ht="31.5" customHeight="1">
      <c r="A211" s="449"/>
      <c r="B211" s="449"/>
      <c r="C211" s="449"/>
      <c r="D211" s="449"/>
      <c r="E211" s="449"/>
      <c r="F211" s="449"/>
      <c r="G211" s="449"/>
      <c r="H211" s="449"/>
      <c r="I211" s="449"/>
    </row>
    <row r="212" spans="1:12" ht="15" customHeight="1">
      <c r="A212" s="282"/>
      <c r="B212" s="282"/>
      <c r="C212" s="282"/>
      <c r="D212" s="282"/>
      <c r="E212" s="282"/>
      <c r="F212" s="282"/>
      <c r="G212" s="282"/>
      <c r="H212" s="282"/>
      <c r="I212" s="282"/>
    </row>
    <row r="228" spans="1:7">
      <c r="A228" s="242" t="s">
        <v>355</v>
      </c>
    </row>
    <row r="229" spans="1:7">
      <c r="A229" s="242" t="s">
        <v>360</v>
      </c>
    </row>
    <row r="230" spans="1:7">
      <c r="A230" s="243" t="s">
        <v>383</v>
      </c>
    </row>
    <row r="239" spans="1:7" ht="31.5">
      <c r="C239" s="253" t="s">
        <v>379</v>
      </c>
      <c r="D239" s="252" t="s">
        <v>359</v>
      </c>
      <c r="E239" s="253" t="s">
        <v>363</v>
      </c>
      <c r="F239" s="253" t="s">
        <v>365</v>
      </c>
      <c r="G239" s="253" t="s">
        <v>366</v>
      </c>
    </row>
    <row r="240" spans="1:7" s="254" customFormat="1">
      <c r="C240" s="255" t="str">
        <f>'Bang Tra'!N53</f>
        <v>A - 1</v>
      </c>
      <c r="D240" s="256">
        <f>'Bang Tra'!N64</f>
        <v>0.71399999999999997</v>
      </c>
      <c r="E240" s="448">
        <f>C31</f>
        <v>86.7</v>
      </c>
      <c r="F240" s="257">
        <f>ROUND($E$240*D240,1)</f>
        <v>61.9</v>
      </c>
      <c r="G240" s="258"/>
    </row>
    <row r="241" spans="1:7">
      <c r="C241" s="255" t="str">
        <f>'Bang Tra'!O53</f>
        <v>2 - B</v>
      </c>
      <c r="D241" s="256">
        <f>'Bang Tra'!O64</f>
        <v>-1.268</v>
      </c>
      <c r="E241" s="448"/>
      <c r="F241" s="257">
        <f t="shared" ref="F241:F247" si="17">ROUND($E$240*D241,1)</f>
        <v>-109.9</v>
      </c>
      <c r="G241" s="257"/>
    </row>
    <row r="242" spans="1:7">
      <c r="C242" s="255" t="str">
        <f>'Bang Tra'!P53</f>
        <v>B - 3</v>
      </c>
      <c r="D242" s="256">
        <f>'Bang Tra'!P64</f>
        <v>1.095</v>
      </c>
      <c r="E242" s="448"/>
      <c r="F242" s="257">
        <f t="shared" si="17"/>
        <v>94.9</v>
      </c>
      <c r="G242" s="257"/>
    </row>
    <row r="243" spans="1:7">
      <c r="C243" s="255" t="str">
        <f>'Bang Tra'!Q53</f>
        <v>4 - C</v>
      </c>
      <c r="D243" s="256">
        <f>'Bang Tra'!Q64</f>
        <v>-0.90500000000000003</v>
      </c>
      <c r="E243" s="448"/>
      <c r="F243" s="257">
        <f t="shared" si="17"/>
        <v>-78.5</v>
      </c>
      <c r="G243" s="257"/>
    </row>
    <row r="244" spans="1:7">
      <c r="C244" s="255" t="str">
        <f>'Bang Tra'!R53</f>
        <v>C - 5</v>
      </c>
      <c r="D244" s="256">
        <f>D243</f>
        <v>-0.90500000000000003</v>
      </c>
      <c r="E244" s="448"/>
      <c r="F244" s="257">
        <f t="shared" si="17"/>
        <v>-78.5</v>
      </c>
      <c r="G244" s="257"/>
    </row>
    <row r="245" spans="1:7">
      <c r="C245" s="255" t="s">
        <v>356</v>
      </c>
      <c r="D245" s="256">
        <f>D242</f>
        <v>1.095</v>
      </c>
      <c r="E245" s="448"/>
      <c r="F245" s="257">
        <f t="shared" si="17"/>
        <v>94.9</v>
      </c>
      <c r="G245" s="257"/>
    </row>
    <row r="246" spans="1:7">
      <c r="C246" s="255" t="s">
        <v>357</v>
      </c>
      <c r="D246" s="256">
        <f>D241</f>
        <v>-1.268</v>
      </c>
      <c r="E246" s="448"/>
      <c r="F246" s="257">
        <f t="shared" si="17"/>
        <v>-109.9</v>
      </c>
      <c r="G246" s="257"/>
    </row>
    <row r="247" spans="1:7">
      <c r="C247" s="255" t="s">
        <v>358</v>
      </c>
      <c r="D247" s="256">
        <f>D240</f>
        <v>0.71399999999999997</v>
      </c>
      <c r="E247" s="448"/>
      <c r="F247" s="257">
        <f t="shared" si="17"/>
        <v>61.9</v>
      </c>
      <c r="G247" s="257"/>
    </row>
    <row r="249" spans="1:7">
      <c r="A249" s="242" t="s">
        <v>361</v>
      </c>
    </row>
    <row r="250" spans="1:7">
      <c r="A250" s="243" t="s">
        <v>362</v>
      </c>
    </row>
    <row r="251" spans="1:7" ht="117.75" customHeight="1"/>
    <row r="252" spans="1:7" ht="31.5">
      <c r="C252" s="253" t="s">
        <v>379</v>
      </c>
      <c r="D252" s="252" t="s">
        <v>359</v>
      </c>
      <c r="E252" s="253" t="s">
        <v>363</v>
      </c>
      <c r="F252" s="253" t="s">
        <v>365</v>
      </c>
      <c r="G252" s="253" t="s">
        <v>366</v>
      </c>
    </row>
    <row r="253" spans="1:7">
      <c r="C253" s="255" t="s">
        <v>143</v>
      </c>
      <c r="D253" s="256">
        <f>'Bang Tra'!N65</f>
        <v>0.85699999999999998</v>
      </c>
      <c r="E253" s="448">
        <f>ROUND($D$33,2)</f>
        <v>144</v>
      </c>
      <c r="F253" s="257">
        <f>ROUND($E$253*D253,2)</f>
        <v>123.41</v>
      </c>
      <c r="G253" s="257">
        <f t="shared" ref="G253:G260" si="18">$F240+F253</f>
        <v>185.31</v>
      </c>
    </row>
    <row r="254" spans="1:7">
      <c r="C254" s="255" t="s">
        <v>144</v>
      </c>
      <c r="D254" s="256">
        <f>'Bang Tra'!O65</f>
        <v>-1.143</v>
      </c>
      <c r="E254" s="448"/>
      <c r="F254" s="257">
        <f t="shared" ref="F254:F260" si="19">ROUND($E$253*D254,2)</f>
        <v>-164.59</v>
      </c>
      <c r="G254" s="257">
        <f t="shared" si="18"/>
        <v>-274.49</v>
      </c>
    </row>
    <row r="255" spans="1:7">
      <c r="C255" s="255" t="s">
        <v>145</v>
      </c>
      <c r="D255" s="256">
        <f>'Bang Tra'!P65</f>
        <v>4.8000000000000001E-2</v>
      </c>
      <c r="E255" s="448"/>
      <c r="F255" s="257">
        <f t="shared" si="19"/>
        <v>6.91</v>
      </c>
      <c r="G255" s="257">
        <f t="shared" si="18"/>
        <v>101.81</v>
      </c>
    </row>
    <row r="256" spans="1:7">
      <c r="C256" s="255" t="s">
        <v>146</v>
      </c>
      <c r="D256" s="256">
        <v>0</v>
      </c>
      <c r="E256" s="448"/>
      <c r="F256" s="257">
        <f t="shared" si="19"/>
        <v>0</v>
      </c>
      <c r="G256" s="257">
        <f t="shared" si="18"/>
        <v>-78.5</v>
      </c>
    </row>
    <row r="257" spans="1:7">
      <c r="C257" s="255" t="s">
        <v>147</v>
      </c>
      <c r="D257" s="256">
        <v>0</v>
      </c>
      <c r="E257" s="448"/>
      <c r="F257" s="257">
        <f t="shared" si="19"/>
        <v>0</v>
      </c>
      <c r="G257" s="257">
        <f t="shared" si="18"/>
        <v>-78.5</v>
      </c>
    </row>
    <row r="258" spans="1:7">
      <c r="C258" s="255" t="s">
        <v>356</v>
      </c>
      <c r="D258" s="256">
        <f>D255</f>
        <v>4.8000000000000001E-2</v>
      </c>
      <c r="E258" s="448"/>
      <c r="F258" s="257">
        <f t="shared" si="19"/>
        <v>6.91</v>
      </c>
      <c r="G258" s="257">
        <f t="shared" si="18"/>
        <v>101.81</v>
      </c>
    </row>
    <row r="259" spans="1:7">
      <c r="C259" s="255" t="s">
        <v>357</v>
      </c>
      <c r="D259" s="256">
        <f>D254</f>
        <v>-1.143</v>
      </c>
      <c r="E259" s="448"/>
      <c r="F259" s="257">
        <f t="shared" si="19"/>
        <v>-164.59</v>
      </c>
      <c r="G259" s="257">
        <f t="shared" si="18"/>
        <v>-274.49</v>
      </c>
    </row>
    <row r="260" spans="1:7">
      <c r="C260" s="255" t="s">
        <v>358</v>
      </c>
      <c r="D260" s="256">
        <f>D253</f>
        <v>0.85699999999999998</v>
      </c>
      <c r="E260" s="448"/>
      <c r="F260" s="257">
        <f t="shared" si="19"/>
        <v>123.41</v>
      </c>
      <c r="G260" s="257">
        <f t="shared" si="18"/>
        <v>185.31</v>
      </c>
    </row>
    <row r="262" spans="1:7">
      <c r="A262" s="243" t="s">
        <v>347</v>
      </c>
    </row>
    <row r="263" spans="1:7" ht="99" customHeight="1"/>
    <row r="264" spans="1:7" ht="31.5">
      <c r="C264" s="253" t="s">
        <v>379</v>
      </c>
      <c r="D264" s="252" t="s">
        <v>359</v>
      </c>
      <c r="E264" s="253" t="s">
        <v>363</v>
      </c>
      <c r="F264" s="253" t="s">
        <v>365</v>
      </c>
      <c r="G264" s="253" t="s">
        <v>366</v>
      </c>
    </row>
    <row r="265" spans="1:7">
      <c r="C265" s="255" t="s">
        <v>143</v>
      </c>
      <c r="D265" s="256">
        <f>'Bang Tra'!N66</f>
        <v>-0.14299999999999999</v>
      </c>
      <c r="E265" s="448">
        <f>ROUND($D$33,2)</f>
        <v>144</v>
      </c>
      <c r="F265" s="257">
        <f>ROUND($E$265*D265,2)</f>
        <v>-20.59</v>
      </c>
      <c r="G265" s="257">
        <f t="shared" ref="G265:G272" si="20">$F240+F265</f>
        <v>41.31</v>
      </c>
    </row>
    <row r="266" spans="1:7">
      <c r="C266" s="255" t="s">
        <v>144</v>
      </c>
      <c r="D266" s="256">
        <f>'Bang Tra'!O66</f>
        <v>-0.14299999999999999</v>
      </c>
      <c r="E266" s="448"/>
      <c r="F266" s="257">
        <f t="shared" ref="F266:F272" si="21">ROUND($E$265*D266,2)</f>
        <v>-20.59</v>
      </c>
      <c r="G266" s="257">
        <f t="shared" si="20"/>
        <v>-130.49</v>
      </c>
    </row>
    <row r="267" spans="1:7">
      <c r="C267" s="255" t="s">
        <v>145</v>
      </c>
      <c r="D267" s="256">
        <f>'Bang Tra'!P66</f>
        <v>1.048</v>
      </c>
      <c r="E267" s="448"/>
      <c r="F267" s="257">
        <f t="shared" si="21"/>
        <v>150.91</v>
      </c>
      <c r="G267" s="257">
        <f t="shared" si="20"/>
        <v>245.81</v>
      </c>
    </row>
    <row r="268" spans="1:7">
      <c r="C268" s="255" t="s">
        <v>146</v>
      </c>
      <c r="D268" s="256">
        <f>'Bang Tra'!Q66</f>
        <v>-0.95199999999999996</v>
      </c>
      <c r="E268" s="448"/>
      <c r="F268" s="257">
        <f t="shared" si="21"/>
        <v>-137.09</v>
      </c>
      <c r="G268" s="257">
        <f t="shared" si="20"/>
        <v>-215.59</v>
      </c>
    </row>
    <row r="269" spans="1:7">
      <c r="C269" s="255" t="s">
        <v>147</v>
      </c>
      <c r="D269" s="256">
        <f>D268</f>
        <v>-0.95199999999999996</v>
      </c>
      <c r="E269" s="448"/>
      <c r="F269" s="257">
        <f t="shared" si="21"/>
        <v>-137.09</v>
      </c>
      <c r="G269" s="257">
        <f t="shared" si="20"/>
        <v>-215.59</v>
      </c>
    </row>
    <row r="270" spans="1:7">
      <c r="C270" s="255" t="s">
        <v>356</v>
      </c>
      <c r="D270" s="256">
        <f>D267</f>
        <v>1.048</v>
      </c>
      <c r="E270" s="448"/>
      <c r="F270" s="257">
        <f t="shared" si="21"/>
        <v>150.91</v>
      </c>
      <c r="G270" s="257">
        <f t="shared" si="20"/>
        <v>245.81</v>
      </c>
    </row>
    <row r="271" spans="1:7">
      <c r="C271" s="255" t="s">
        <v>357</v>
      </c>
      <c r="D271" s="256">
        <f>D266</f>
        <v>-0.14299999999999999</v>
      </c>
      <c r="E271" s="448"/>
      <c r="F271" s="257">
        <f t="shared" si="21"/>
        <v>-20.59</v>
      </c>
      <c r="G271" s="257">
        <f t="shared" si="20"/>
        <v>-130.49</v>
      </c>
    </row>
    <row r="272" spans="1:7">
      <c r="C272" s="255" t="s">
        <v>358</v>
      </c>
      <c r="D272" s="256">
        <f>D265</f>
        <v>-0.14299999999999999</v>
      </c>
      <c r="E272" s="448"/>
      <c r="F272" s="257">
        <f t="shared" si="21"/>
        <v>-20.59</v>
      </c>
      <c r="G272" s="257">
        <f t="shared" si="20"/>
        <v>41.31</v>
      </c>
    </row>
    <row r="274" spans="1:7">
      <c r="A274" s="243" t="s">
        <v>348</v>
      </c>
    </row>
    <row r="275" spans="1:7" ht="99" customHeight="1"/>
    <row r="276" spans="1:7" ht="31.5">
      <c r="C276" s="253" t="s">
        <v>379</v>
      </c>
      <c r="D276" s="252" t="s">
        <v>359</v>
      </c>
      <c r="E276" s="253" t="s">
        <v>363</v>
      </c>
      <c r="F276" s="253" t="s">
        <v>365</v>
      </c>
      <c r="G276" s="253" t="s">
        <v>366</v>
      </c>
    </row>
    <row r="277" spans="1:7">
      <c r="C277" s="255" t="s">
        <v>143</v>
      </c>
      <c r="D277" s="256">
        <f>'Bang Tra'!N67</f>
        <v>0.67900000000000005</v>
      </c>
      <c r="E277" s="448">
        <f>ROUND($D$33,2)</f>
        <v>144</v>
      </c>
      <c r="F277" s="257">
        <f>ROUND($E$277*D277,2)</f>
        <v>97.78</v>
      </c>
      <c r="G277" s="257">
        <f t="shared" ref="G277:G284" si="22">F240+F277</f>
        <v>159.68</v>
      </c>
    </row>
    <row r="278" spans="1:7">
      <c r="C278" s="255" t="s">
        <v>144</v>
      </c>
      <c r="D278" s="256">
        <f>'Bang Tra'!O67</f>
        <v>-1.321</v>
      </c>
      <c r="E278" s="448"/>
      <c r="F278" s="257">
        <f t="shared" ref="F278:F284" si="23">ROUND($E$277*D278,2)</f>
        <v>-190.22</v>
      </c>
      <c r="G278" s="257">
        <f t="shared" si="22"/>
        <v>-300.12</v>
      </c>
    </row>
    <row r="279" spans="1:7">
      <c r="C279" s="255" t="s">
        <v>145</v>
      </c>
      <c r="D279" s="256">
        <f>'Bang Tra'!P67</f>
        <v>1.274</v>
      </c>
      <c r="E279" s="448"/>
      <c r="F279" s="257">
        <f t="shared" si="23"/>
        <v>183.46</v>
      </c>
      <c r="G279" s="257">
        <f t="shared" si="22"/>
        <v>278.36</v>
      </c>
    </row>
    <row r="280" spans="1:7">
      <c r="C280" s="255" t="s">
        <v>146</v>
      </c>
      <c r="D280" s="256">
        <f>'Bang Tra'!Q67</f>
        <v>-0.72599999999999998</v>
      </c>
      <c r="E280" s="448"/>
      <c r="F280" s="257">
        <f t="shared" si="23"/>
        <v>-104.54</v>
      </c>
      <c r="G280" s="257">
        <f t="shared" si="22"/>
        <v>-183.04000000000002</v>
      </c>
    </row>
    <row r="281" spans="1:7">
      <c r="C281" s="255" t="s">
        <v>147</v>
      </c>
      <c r="D281" s="256">
        <f>D280</f>
        <v>-0.72599999999999998</v>
      </c>
      <c r="E281" s="448"/>
      <c r="F281" s="257">
        <f t="shared" si="23"/>
        <v>-104.54</v>
      </c>
      <c r="G281" s="257">
        <f t="shared" si="22"/>
        <v>-183.04000000000002</v>
      </c>
    </row>
    <row r="282" spans="1:7">
      <c r="C282" s="255" t="s">
        <v>356</v>
      </c>
      <c r="D282" s="256">
        <f>D279</f>
        <v>1.274</v>
      </c>
      <c r="E282" s="448"/>
      <c r="F282" s="257">
        <f t="shared" si="23"/>
        <v>183.46</v>
      </c>
      <c r="G282" s="257">
        <f t="shared" si="22"/>
        <v>278.36</v>
      </c>
    </row>
    <row r="283" spans="1:7">
      <c r="C283" s="255" t="s">
        <v>357</v>
      </c>
      <c r="D283" s="256">
        <f>D278</f>
        <v>-1.321</v>
      </c>
      <c r="E283" s="448"/>
      <c r="F283" s="257">
        <f t="shared" si="23"/>
        <v>-190.22</v>
      </c>
      <c r="G283" s="257">
        <f t="shared" si="22"/>
        <v>-300.12</v>
      </c>
    </row>
    <row r="284" spans="1:7">
      <c r="C284" s="255" t="s">
        <v>358</v>
      </c>
      <c r="D284" s="256">
        <f>D277</f>
        <v>0.67900000000000005</v>
      </c>
      <c r="E284" s="448"/>
      <c r="F284" s="257">
        <f t="shared" si="23"/>
        <v>97.78</v>
      </c>
      <c r="G284" s="257">
        <f t="shared" si="22"/>
        <v>159.68</v>
      </c>
    </row>
    <row r="286" spans="1:7">
      <c r="A286" s="243" t="s">
        <v>349</v>
      </c>
    </row>
    <row r="287" spans="1:7" ht="124.5" customHeight="1"/>
    <row r="288" spans="1:7" ht="31.5">
      <c r="C288" s="253" t="s">
        <v>379</v>
      </c>
      <c r="D288" s="252" t="s">
        <v>359</v>
      </c>
      <c r="E288" s="253" t="s">
        <v>363</v>
      </c>
      <c r="F288" s="253" t="s">
        <v>365</v>
      </c>
      <c r="G288" s="253" t="s">
        <v>366</v>
      </c>
    </row>
    <row r="289" spans="1:7">
      <c r="C289" s="255" t="s">
        <v>143</v>
      </c>
      <c r="D289" s="256">
        <f>'Bang Tra'!N68</f>
        <v>-9.5000000000000001E-2</v>
      </c>
      <c r="E289" s="448">
        <f>ROUND($D$33,2)</f>
        <v>144</v>
      </c>
      <c r="F289" s="257">
        <f>ROUND($E$289*D289,2)</f>
        <v>-13.68</v>
      </c>
      <c r="G289" s="257">
        <f t="shared" ref="G289:G296" si="24">F240+F289</f>
        <v>48.22</v>
      </c>
    </row>
    <row r="290" spans="1:7">
      <c r="C290" s="255" t="s">
        <v>144</v>
      </c>
      <c r="D290" s="256">
        <f>'Bang Tra'!O68</f>
        <v>-9.5000000000000001E-2</v>
      </c>
      <c r="E290" s="448"/>
      <c r="F290" s="257">
        <f t="shared" ref="F290:F296" si="25">ROUND($E$289*D290,2)</f>
        <v>-13.68</v>
      </c>
      <c r="G290" s="257">
        <f t="shared" si="24"/>
        <v>-123.58000000000001</v>
      </c>
    </row>
    <row r="291" spans="1:7">
      <c r="C291" s="255" t="s">
        <v>145</v>
      </c>
      <c r="D291" s="256">
        <f>'Bang Tra'!P68</f>
        <v>0.81</v>
      </c>
      <c r="E291" s="448"/>
      <c r="F291" s="257">
        <f t="shared" si="25"/>
        <v>116.64</v>
      </c>
      <c r="G291" s="257">
        <f t="shared" si="24"/>
        <v>211.54000000000002</v>
      </c>
    </row>
    <row r="292" spans="1:7">
      <c r="C292" s="255" t="s">
        <v>146</v>
      </c>
      <c r="D292" s="256">
        <f>'Bang Tra'!Q68</f>
        <v>-1.19</v>
      </c>
      <c r="E292" s="448"/>
      <c r="F292" s="257">
        <f t="shared" si="25"/>
        <v>-171.36</v>
      </c>
      <c r="G292" s="257">
        <f t="shared" si="24"/>
        <v>-249.86</v>
      </c>
    </row>
    <row r="293" spans="1:7">
      <c r="C293" s="255" t="s">
        <v>147</v>
      </c>
      <c r="D293" s="256">
        <f>D292</f>
        <v>-1.19</v>
      </c>
      <c r="E293" s="448"/>
      <c r="F293" s="257">
        <f t="shared" si="25"/>
        <v>-171.36</v>
      </c>
      <c r="G293" s="257">
        <f t="shared" si="24"/>
        <v>-249.86</v>
      </c>
    </row>
    <row r="294" spans="1:7">
      <c r="C294" s="255" t="s">
        <v>356</v>
      </c>
      <c r="D294" s="256">
        <f>D291</f>
        <v>0.81</v>
      </c>
      <c r="E294" s="448"/>
      <c r="F294" s="257">
        <f t="shared" si="25"/>
        <v>116.64</v>
      </c>
      <c r="G294" s="257">
        <f t="shared" si="24"/>
        <v>211.54000000000002</v>
      </c>
    </row>
    <row r="295" spans="1:7">
      <c r="C295" s="255" t="s">
        <v>357</v>
      </c>
      <c r="D295" s="256">
        <f>D290</f>
        <v>-9.5000000000000001E-2</v>
      </c>
      <c r="E295" s="448"/>
      <c r="F295" s="257">
        <f t="shared" si="25"/>
        <v>-13.68</v>
      </c>
      <c r="G295" s="257">
        <f t="shared" si="24"/>
        <v>-123.58000000000001</v>
      </c>
    </row>
    <row r="296" spans="1:7">
      <c r="C296" s="255" t="s">
        <v>358</v>
      </c>
      <c r="D296" s="256">
        <f>D289</f>
        <v>-9.5000000000000001E-2</v>
      </c>
      <c r="E296" s="448"/>
      <c r="F296" s="257">
        <f t="shared" si="25"/>
        <v>-13.68</v>
      </c>
      <c r="G296" s="257">
        <f t="shared" si="24"/>
        <v>48.22</v>
      </c>
    </row>
    <row r="298" spans="1:7">
      <c r="A298" s="243" t="s">
        <v>350</v>
      </c>
    </row>
    <row r="299" spans="1:7" ht="98.25" customHeight="1"/>
    <row r="300" spans="1:7" ht="31.5">
      <c r="C300" s="253" t="s">
        <v>379</v>
      </c>
      <c r="D300" s="252" t="s">
        <v>359</v>
      </c>
      <c r="E300" s="253" t="s">
        <v>363</v>
      </c>
      <c r="F300" s="253" t="s">
        <v>365</v>
      </c>
      <c r="G300" s="253" t="s">
        <v>366</v>
      </c>
    </row>
    <row r="301" spans="1:7">
      <c r="C301" s="255" t="s">
        <v>143</v>
      </c>
      <c r="D301" s="256">
        <v>0</v>
      </c>
      <c r="E301" s="448">
        <f>ROUND($D$33,2)</f>
        <v>144</v>
      </c>
      <c r="F301" s="257">
        <f>ROUND($E$301*D301,2)</f>
        <v>0</v>
      </c>
      <c r="G301" s="257">
        <f t="shared" ref="G301:G308" si="26">F240+F301</f>
        <v>61.9</v>
      </c>
    </row>
    <row r="302" spans="1:7">
      <c r="C302" s="255" t="s">
        <v>144</v>
      </c>
      <c r="D302" s="256">
        <f>'Bang Tra'!O69</f>
        <v>3.5999999999999997E-2</v>
      </c>
      <c r="E302" s="448"/>
      <c r="F302" s="257">
        <f t="shared" ref="F302:F308" si="27">ROUND($E$301*D302,2)</f>
        <v>5.18</v>
      </c>
      <c r="G302" s="257">
        <f t="shared" si="26"/>
        <v>-104.72</v>
      </c>
    </row>
    <row r="303" spans="1:7">
      <c r="C303" s="255" t="s">
        <v>145</v>
      </c>
      <c r="D303" s="256">
        <f>'Bang Tra'!P69</f>
        <v>-0.17799999999999999</v>
      </c>
      <c r="E303" s="448"/>
      <c r="F303" s="257">
        <f t="shared" si="27"/>
        <v>-25.63</v>
      </c>
      <c r="G303" s="257">
        <f t="shared" si="26"/>
        <v>69.27000000000001</v>
      </c>
    </row>
    <row r="304" spans="1:7">
      <c r="C304" s="255" t="s">
        <v>146</v>
      </c>
      <c r="D304" s="256">
        <v>0</v>
      </c>
      <c r="E304" s="448"/>
      <c r="F304" s="257">
        <f t="shared" si="27"/>
        <v>0</v>
      </c>
      <c r="G304" s="257">
        <f t="shared" si="26"/>
        <v>-78.5</v>
      </c>
    </row>
    <row r="305" spans="1:7">
      <c r="C305" s="255" t="s">
        <v>147</v>
      </c>
      <c r="D305" s="256">
        <f>D304</f>
        <v>0</v>
      </c>
      <c r="E305" s="448"/>
      <c r="F305" s="257">
        <f t="shared" si="27"/>
        <v>0</v>
      </c>
      <c r="G305" s="257">
        <f t="shared" si="26"/>
        <v>-78.5</v>
      </c>
    </row>
    <row r="306" spans="1:7">
      <c r="C306" s="255" t="s">
        <v>356</v>
      </c>
      <c r="D306" s="256">
        <f>D303</f>
        <v>-0.17799999999999999</v>
      </c>
      <c r="E306" s="448"/>
      <c r="F306" s="257">
        <f t="shared" si="27"/>
        <v>-25.63</v>
      </c>
      <c r="G306" s="257">
        <f t="shared" si="26"/>
        <v>69.27000000000001</v>
      </c>
    </row>
    <row r="307" spans="1:7">
      <c r="C307" s="255" t="s">
        <v>357</v>
      </c>
      <c r="D307" s="256">
        <f>D302</f>
        <v>3.5999999999999997E-2</v>
      </c>
      <c r="E307" s="448"/>
      <c r="F307" s="257">
        <f t="shared" si="27"/>
        <v>5.18</v>
      </c>
      <c r="G307" s="257">
        <f t="shared" si="26"/>
        <v>-104.72</v>
      </c>
    </row>
    <row r="308" spans="1:7">
      <c r="C308" s="255" t="s">
        <v>358</v>
      </c>
      <c r="D308" s="256">
        <f>D301</f>
        <v>0</v>
      </c>
      <c r="E308" s="448"/>
      <c r="F308" s="257">
        <f t="shared" si="27"/>
        <v>0</v>
      </c>
      <c r="G308" s="257">
        <f t="shared" si="26"/>
        <v>61.9</v>
      </c>
    </row>
    <row r="310" spans="1:7">
      <c r="A310" s="243" t="s">
        <v>351</v>
      </c>
    </row>
    <row r="311" spans="1:7" ht="87.75" customHeight="1"/>
    <row r="312" spans="1:7" ht="31.5">
      <c r="C312" s="253" t="s">
        <v>379</v>
      </c>
      <c r="D312" s="252" t="s">
        <v>359</v>
      </c>
      <c r="E312" s="253" t="s">
        <v>363</v>
      </c>
      <c r="F312" s="253" t="s">
        <v>365</v>
      </c>
      <c r="G312" s="253" t="s">
        <v>366</v>
      </c>
    </row>
    <row r="313" spans="1:7">
      <c r="C313" s="255" t="s">
        <v>143</v>
      </c>
      <c r="D313" s="256">
        <f>'Bang Tra'!N70</f>
        <v>0.81</v>
      </c>
      <c r="E313" s="448">
        <f>ROUND($D$33,2)</f>
        <v>144</v>
      </c>
      <c r="F313" s="257">
        <f>ROUND($E$313*D313,2)</f>
        <v>116.64</v>
      </c>
      <c r="G313" s="257">
        <f t="shared" ref="G313:G320" si="28">F240+F313</f>
        <v>178.54</v>
      </c>
    </row>
    <row r="314" spans="1:7">
      <c r="C314" s="255" t="s">
        <v>144</v>
      </c>
      <c r="D314" s="256">
        <f>'Bang Tra'!O70</f>
        <v>-1.19</v>
      </c>
      <c r="E314" s="448"/>
      <c r="F314" s="257">
        <f t="shared" ref="F314:F320" si="29">ROUND($E$313*D314,2)</f>
        <v>-171.36</v>
      </c>
      <c r="G314" s="257">
        <f t="shared" si="28"/>
        <v>-281.26</v>
      </c>
    </row>
    <row r="315" spans="1:7">
      <c r="C315" s="255" t="s">
        <v>145</v>
      </c>
      <c r="D315" s="256">
        <f>'Bang Tra'!P70</f>
        <v>0.28599999999999998</v>
      </c>
      <c r="E315" s="448"/>
      <c r="F315" s="257">
        <f t="shared" si="29"/>
        <v>41.18</v>
      </c>
      <c r="G315" s="257">
        <f t="shared" si="28"/>
        <v>136.08000000000001</v>
      </c>
    </row>
    <row r="316" spans="1:7">
      <c r="C316" s="255" t="s">
        <v>146</v>
      </c>
      <c r="D316" s="256">
        <f>'Bang Tra'!Q70</f>
        <v>0.28599999999999998</v>
      </c>
      <c r="E316" s="448"/>
      <c r="F316" s="257">
        <f t="shared" si="29"/>
        <v>41.18</v>
      </c>
      <c r="G316" s="257">
        <f t="shared" si="28"/>
        <v>-37.32</v>
      </c>
    </row>
    <row r="317" spans="1:7">
      <c r="C317" s="255" t="s">
        <v>147</v>
      </c>
      <c r="D317" s="256">
        <f>D316</f>
        <v>0.28599999999999998</v>
      </c>
      <c r="E317" s="448"/>
      <c r="F317" s="257">
        <f t="shared" si="29"/>
        <v>41.18</v>
      </c>
      <c r="G317" s="257">
        <f t="shared" si="28"/>
        <v>-37.32</v>
      </c>
    </row>
    <row r="318" spans="1:7">
      <c r="C318" s="255" t="s">
        <v>356</v>
      </c>
      <c r="D318" s="256">
        <f>D315</f>
        <v>0.28599999999999998</v>
      </c>
      <c r="E318" s="448"/>
      <c r="F318" s="257">
        <f t="shared" si="29"/>
        <v>41.18</v>
      </c>
      <c r="G318" s="257">
        <f t="shared" si="28"/>
        <v>136.08000000000001</v>
      </c>
    </row>
    <row r="319" spans="1:7">
      <c r="C319" s="255" t="s">
        <v>357</v>
      </c>
      <c r="D319" s="256">
        <f>D314</f>
        <v>-1.19</v>
      </c>
      <c r="E319" s="448"/>
      <c r="F319" s="257">
        <f t="shared" si="29"/>
        <v>-171.36</v>
      </c>
      <c r="G319" s="257">
        <f t="shared" si="28"/>
        <v>-281.26</v>
      </c>
    </row>
    <row r="320" spans="1:7">
      <c r="C320" s="255" t="s">
        <v>358</v>
      </c>
      <c r="D320" s="256">
        <f>D313</f>
        <v>0.81</v>
      </c>
      <c r="E320" s="448"/>
      <c r="F320" s="257">
        <f t="shared" si="29"/>
        <v>116.64</v>
      </c>
      <c r="G320" s="257">
        <f t="shared" si="28"/>
        <v>178.54</v>
      </c>
    </row>
    <row r="321" spans="1:7">
      <c r="A321" s="259" t="s">
        <v>364</v>
      </c>
    </row>
    <row r="322" spans="1:7" s="254" customFormat="1" ht="52.5" customHeight="1">
      <c r="C322" s="253" t="s">
        <v>379</v>
      </c>
      <c r="D322" s="450" t="s">
        <v>376</v>
      </c>
      <c r="E322" s="450"/>
      <c r="F322" s="450" t="s">
        <v>377</v>
      </c>
      <c r="G322" s="450"/>
    </row>
    <row r="323" spans="1:7" s="254" customFormat="1" ht="24" customHeight="1">
      <c r="B323" s="269"/>
      <c r="C323" s="270" t="s">
        <v>143</v>
      </c>
      <c r="D323" s="448">
        <f>MAX(G253,G265,G277,G289,G301,G313)</f>
        <v>185.31</v>
      </c>
      <c r="E323" s="448"/>
      <c r="F323" s="448">
        <f>MIN(G253,G265,G277,G289,G301,G313)</f>
        <v>41.31</v>
      </c>
      <c r="G323" s="448"/>
    </row>
    <row r="324" spans="1:7" s="254" customFormat="1" ht="24" customHeight="1">
      <c r="B324" s="269"/>
      <c r="C324" s="270" t="s">
        <v>144</v>
      </c>
      <c r="D324" s="448">
        <f t="shared" ref="D324:D330" si="30">MAX(G254,G266,G278,G290,G302,G314)</f>
        <v>-104.72</v>
      </c>
      <c r="E324" s="448"/>
      <c r="F324" s="448">
        <f t="shared" ref="F324:F330" si="31">MIN(G254,G266,G278,G290,G302,G314)</f>
        <v>-300.12</v>
      </c>
      <c r="G324" s="448"/>
    </row>
    <row r="325" spans="1:7" s="254" customFormat="1" ht="24" customHeight="1">
      <c r="B325" s="269"/>
      <c r="C325" s="270" t="s">
        <v>145</v>
      </c>
      <c r="D325" s="448">
        <f t="shared" si="30"/>
        <v>278.36</v>
      </c>
      <c r="E325" s="448"/>
      <c r="F325" s="448">
        <f t="shared" si="31"/>
        <v>69.27000000000001</v>
      </c>
      <c r="G325" s="448"/>
    </row>
    <row r="326" spans="1:7" s="254" customFormat="1" ht="24" customHeight="1">
      <c r="B326" s="269"/>
      <c r="C326" s="270" t="s">
        <v>146</v>
      </c>
      <c r="D326" s="448">
        <f t="shared" si="30"/>
        <v>-37.32</v>
      </c>
      <c r="E326" s="448"/>
      <c r="F326" s="448">
        <f t="shared" si="31"/>
        <v>-249.86</v>
      </c>
      <c r="G326" s="448"/>
    </row>
    <row r="327" spans="1:7" s="254" customFormat="1" ht="24" customHeight="1">
      <c r="B327" s="269"/>
      <c r="C327" s="270" t="s">
        <v>147</v>
      </c>
      <c r="D327" s="448">
        <f t="shared" si="30"/>
        <v>-37.32</v>
      </c>
      <c r="E327" s="448"/>
      <c r="F327" s="448">
        <f t="shared" si="31"/>
        <v>-249.86</v>
      </c>
      <c r="G327" s="448"/>
    </row>
    <row r="328" spans="1:7" s="254" customFormat="1" ht="24" customHeight="1">
      <c r="B328" s="269"/>
      <c r="C328" s="270" t="s">
        <v>356</v>
      </c>
      <c r="D328" s="448">
        <f t="shared" si="30"/>
        <v>278.36</v>
      </c>
      <c r="E328" s="448"/>
      <c r="F328" s="448">
        <f t="shared" si="31"/>
        <v>69.27000000000001</v>
      </c>
      <c r="G328" s="448"/>
    </row>
    <row r="329" spans="1:7" s="254" customFormat="1" ht="24" customHeight="1">
      <c r="B329" s="269"/>
      <c r="C329" s="270" t="s">
        <v>357</v>
      </c>
      <c r="D329" s="448">
        <f t="shared" si="30"/>
        <v>-104.72</v>
      </c>
      <c r="E329" s="448"/>
      <c r="F329" s="448">
        <f t="shared" si="31"/>
        <v>-300.12</v>
      </c>
      <c r="G329" s="448"/>
    </row>
    <row r="330" spans="1:7" s="254" customFormat="1" ht="24" customHeight="1">
      <c r="B330" s="269"/>
      <c r="C330" s="270" t="s">
        <v>358</v>
      </c>
      <c r="D330" s="448">
        <f t="shared" si="30"/>
        <v>185.31</v>
      </c>
      <c r="E330" s="448"/>
      <c r="F330" s="448">
        <f t="shared" si="31"/>
        <v>41.31</v>
      </c>
      <c r="G330" s="448"/>
    </row>
    <row r="331" spans="1:7">
      <c r="A331" s="260"/>
      <c r="C331" s="261"/>
      <c r="D331" s="262"/>
      <c r="E331" s="262"/>
      <c r="F331" s="262"/>
      <c r="G331" s="262"/>
    </row>
    <row r="332" spans="1:7">
      <c r="A332" s="260"/>
      <c r="C332" s="261"/>
      <c r="D332" s="262"/>
      <c r="E332" s="262"/>
      <c r="F332" s="262"/>
      <c r="G332" s="262"/>
    </row>
    <row r="333" spans="1:7">
      <c r="A333" s="260"/>
      <c r="C333" s="261"/>
      <c r="D333" s="262"/>
      <c r="E333" s="262"/>
      <c r="F333" s="262"/>
      <c r="G333" s="262"/>
    </row>
    <row r="334" spans="1:7">
      <c r="A334" s="260"/>
      <c r="C334" s="261"/>
      <c r="D334" s="262"/>
      <c r="E334" s="262"/>
      <c r="F334" s="262"/>
      <c r="G334" s="262"/>
    </row>
    <row r="335" spans="1:7">
      <c r="A335" s="260"/>
      <c r="C335" s="261"/>
      <c r="D335" s="262"/>
      <c r="E335" s="262"/>
      <c r="F335" s="262"/>
      <c r="G335" s="262"/>
    </row>
    <row r="336" spans="1:7">
      <c r="A336" s="260"/>
      <c r="C336" s="261"/>
      <c r="D336" s="262"/>
      <c r="E336" s="262"/>
      <c r="F336" s="262"/>
      <c r="G336" s="262"/>
    </row>
    <row r="337" spans="1:12">
      <c r="A337" s="260"/>
      <c r="C337" s="261"/>
      <c r="D337" s="262"/>
      <c r="E337" s="262"/>
      <c r="F337" s="262"/>
      <c r="G337" s="262"/>
    </row>
    <row r="338" spans="1:12">
      <c r="A338" s="254"/>
      <c r="B338" s="254"/>
      <c r="C338" s="254"/>
      <c r="D338" s="254"/>
      <c r="E338" s="254"/>
      <c r="F338" s="254"/>
      <c r="G338" s="254"/>
      <c r="H338" s="254"/>
      <c r="I338" s="254"/>
    </row>
    <row r="339" spans="1:12" ht="54" customHeight="1">
      <c r="A339" s="457" t="s">
        <v>384</v>
      </c>
      <c r="B339" s="457"/>
      <c r="C339" s="457"/>
      <c r="D339" s="457"/>
      <c r="E339" s="457"/>
      <c r="F339" s="457"/>
      <c r="G339" s="457"/>
      <c r="H339" s="457"/>
      <c r="I339" s="457"/>
    </row>
    <row r="340" spans="1:12" ht="46.5" customHeight="1">
      <c r="A340" s="260"/>
      <c r="B340" s="245"/>
      <c r="C340" s="253" t="s">
        <v>379</v>
      </c>
      <c r="D340" s="253" t="s">
        <v>371</v>
      </c>
      <c r="E340" s="253" t="s">
        <v>382</v>
      </c>
      <c r="F340" s="253" t="s">
        <v>381</v>
      </c>
      <c r="G340" s="253" t="s">
        <v>380</v>
      </c>
      <c r="H340" s="245"/>
      <c r="I340" s="245"/>
    </row>
    <row r="341" spans="1:12" ht="20.25" customHeight="1">
      <c r="A341" s="260"/>
      <c r="B341" s="245"/>
      <c r="C341" s="255" t="s">
        <v>143</v>
      </c>
      <c r="D341" s="263">
        <f t="shared" ref="D341:D348" si="32">IF(AND(D323&gt;0,F323&gt;0),MAX(D323:G323),IF(AND(D323&lt;0,F323&lt;0),MIN(D323:G323),D323))</f>
        <v>185.31</v>
      </c>
      <c r="E341" s="263">
        <f t="shared" ref="E341:E348" si="33">IF(AND(D323&gt;0,F323&gt;0),0,IF(AND(D323&lt;0,F323&lt;0),0,F323))</f>
        <v>0</v>
      </c>
      <c r="F341" s="257">
        <f>IF(AND(E341=0,D341&gt;0),D341,0)</f>
        <v>185.31</v>
      </c>
      <c r="G341" s="257">
        <f t="shared" ref="G341:G347" si="34">IF(AND(E341=0,D341&lt;0),D341,IF(E341&lt;0,E341,0))</f>
        <v>0</v>
      </c>
      <c r="H341" s="245"/>
      <c r="I341" s="245"/>
    </row>
    <row r="342" spans="1:12" ht="20.25" customHeight="1">
      <c r="A342" s="260"/>
      <c r="B342" s="245"/>
      <c r="C342" s="255" t="s">
        <v>144</v>
      </c>
      <c r="D342" s="263">
        <f t="shared" si="32"/>
        <v>-300.12</v>
      </c>
      <c r="E342" s="263">
        <f t="shared" si="33"/>
        <v>0</v>
      </c>
      <c r="F342" s="257">
        <f t="shared" ref="F342:F348" si="35">IF(AND(E342=0,D342&gt;0),D342,0)</f>
        <v>0</v>
      </c>
      <c r="G342" s="257">
        <f t="shared" si="34"/>
        <v>-300.12</v>
      </c>
      <c r="H342" s="245"/>
      <c r="I342" s="245"/>
    </row>
    <row r="343" spans="1:12" ht="20.25" customHeight="1">
      <c r="A343" s="260"/>
      <c r="B343" s="245"/>
      <c r="C343" s="255" t="s">
        <v>145</v>
      </c>
      <c r="D343" s="263">
        <f t="shared" si="32"/>
        <v>278.36</v>
      </c>
      <c r="E343" s="263">
        <f t="shared" si="33"/>
        <v>0</v>
      </c>
      <c r="F343" s="257">
        <f t="shared" si="35"/>
        <v>278.36</v>
      </c>
      <c r="G343" s="257">
        <f t="shared" si="34"/>
        <v>0</v>
      </c>
      <c r="H343" s="245"/>
      <c r="I343" s="245"/>
    </row>
    <row r="344" spans="1:12" ht="20.25" customHeight="1">
      <c r="A344" s="260"/>
      <c r="B344" s="245"/>
      <c r="C344" s="255" t="s">
        <v>146</v>
      </c>
      <c r="D344" s="263">
        <f t="shared" si="32"/>
        <v>-249.86</v>
      </c>
      <c r="E344" s="263">
        <f t="shared" si="33"/>
        <v>0</v>
      </c>
      <c r="F344" s="257">
        <f t="shared" si="35"/>
        <v>0</v>
      </c>
      <c r="G344" s="257">
        <f t="shared" si="34"/>
        <v>-249.86</v>
      </c>
      <c r="H344" s="245"/>
      <c r="I344" s="245"/>
    </row>
    <row r="345" spans="1:12" ht="20.25" customHeight="1">
      <c r="A345" s="260"/>
      <c r="B345" s="245"/>
      <c r="C345" s="255" t="s">
        <v>147</v>
      </c>
      <c r="D345" s="263">
        <f t="shared" si="32"/>
        <v>-249.86</v>
      </c>
      <c r="E345" s="263">
        <f t="shared" si="33"/>
        <v>0</v>
      </c>
      <c r="F345" s="257">
        <f t="shared" si="35"/>
        <v>0</v>
      </c>
      <c r="G345" s="257">
        <f t="shared" si="34"/>
        <v>-249.86</v>
      </c>
      <c r="H345" s="245"/>
      <c r="I345" s="245"/>
    </row>
    <row r="346" spans="1:12" ht="20.25" customHeight="1">
      <c r="A346" s="260"/>
      <c r="B346" s="245"/>
      <c r="C346" s="255" t="s">
        <v>356</v>
      </c>
      <c r="D346" s="263">
        <f t="shared" si="32"/>
        <v>278.36</v>
      </c>
      <c r="E346" s="263">
        <f t="shared" si="33"/>
        <v>0</v>
      </c>
      <c r="F346" s="257">
        <f t="shared" si="35"/>
        <v>278.36</v>
      </c>
      <c r="G346" s="257">
        <f t="shared" si="34"/>
        <v>0</v>
      </c>
      <c r="H346" s="245"/>
      <c r="I346" s="245"/>
    </row>
    <row r="347" spans="1:12" ht="20.25" customHeight="1">
      <c r="A347" s="260"/>
      <c r="B347" s="245"/>
      <c r="C347" s="255" t="s">
        <v>357</v>
      </c>
      <c r="D347" s="263">
        <f t="shared" si="32"/>
        <v>-300.12</v>
      </c>
      <c r="E347" s="263">
        <f t="shared" si="33"/>
        <v>0</v>
      </c>
      <c r="F347" s="257">
        <f t="shared" si="35"/>
        <v>0</v>
      </c>
      <c r="G347" s="257">
        <f t="shared" si="34"/>
        <v>-300.12</v>
      </c>
      <c r="H347" s="245"/>
      <c r="I347" s="245"/>
    </row>
    <row r="348" spans="1:12" ht="20.25" customHeight="1">
      <c r="A348" s="260"/>
      <c r="B348" s="245"/>
      <c r="C348" s="255" t="s">
        <v>358</v>
      </c>
      <c r="D348" s="263">
        <f t="shared" si="32"/>
        <v>185.31</v>
      </c>
      <c r="E348" s="263">
        <f t="shared" si="33"/>
        <v>0</v>
      </c>
      <c r="F348" s="257">
        <f t="shared" si="35"/>
        <v>185.31</v>
      </c>
      <c r="G348" s="257">
        <f>IF(AND(E348=0,D348&lt;0),D348,IF(E348&lt;0,E348,0))</f>
        <v>0</v>
      </c>
      <c r="H348" s="245"/>
      <c r="I348" s="245"/>
    </row>
    <row r="349" spans="1:12" ht="20.25" customHeight="1">
      <c r="A349" s="260"/>
      <c r="B349" s="245"/>
      <c r="C349" s="264" t="s">
        <v>369</v>
      </c>
      <c r="D349" s="265">
        <f>MAX(D341:D348)</f>
        <v>278.36</v>
      </c>
      <c r="E349" s="265">
        <f>MAX(E341:E348)</f>
        <v>0</v>
      </c>
      <c r="F349" s="265">
        <f t="shared" ref="F349:G349" si="36">MAX(F341:F348)</f>
        <v>278.36</v>
      </c>
      <c r="G349" s="265">
        <f t="shared" si="36"/>
        <v>0</v>
      </c>
      <c r="H349" s="245"/>
      <c r="I349" s="245"/>
    </row>
    <row r="350" spans="1:12" ht="20.25" customHeight="1">
      <c r="A350" s="260"/>
      <c r="B350" s="245"/>
      <c r="C350" s="264" t="s">
        <v>370</v>
      </c>
      <c r="D350" s="265">
        <f>MIN(D341:D348)</f>
        <v>-300.12</v>
      </c>
      <c r="E350" s="265">
        <f>MIN(E341:E348)</f>
        <v>0</v>
      </c>
      <c r="F350" s="265">
        <f t="shared" ref="F350:G350" si="37">MIN(F341:F348)</f>
        <v>0</v>
      </c>
      <c r="G350" s="265">
        <f t="shared" si="37"/>
        <v>-300.12</v>
      </c>
      <c r="H350" s="245"/>
      <c r="I350" s="245"/>
    </row>
    <row r="351" spans="1:12">
      <c r="A351" s="260"/>
      <c r="B351" s="245"/>
      <c r="C351" s="266"/>
      <c r="D351" s="267"/>
      <c r="E351" s="267"/>
      <c r="F351" s="267"/>
      <c r="G351" s="267"/>
      <c r="H351" s="245"/>
      <c r="I351" s="245"/>
    </row>
    <row r="352" spans="1:12" ht="30" customHeight="1">
      <c r="A352" s="449" t="s">
        <v>373</v>
      </c>
      <c r="B352" s="449"/>
      <c r="C352" s="449"/>
      <c r="D352" s="449"/>
      <c r="E352" s="449"/>
      <c r="F352" s="449"/>
      <c r="G352" s="449"/>
      <c r="H352" s="449"/>
      <c r="I352" s="449"/>
      <c r="J352" s="244"/>
      <c r="K352" s="248"/>
      <c r="L352" s="244"/>
    </row>
    <row r="353" spans="1:12" s="245" customFormat="1" ht="19.5" customHeight="1">
      <c r="B353" s="277">
        <f>IF(VLOOKUP(B406,$C$341:$F$348,4,0)=0," ",VLOOKUP(B406,$C$341:$F$348,4,0))</f>
        <v>185.31</v>
      </c>
      <c r="C353" s="277" t="str">
        <f t="shared" ref="C353:I353" si="38">IF(VLOOKUP(C406,$C$341:$F$348,4,0)=0," ",VLOOKUP(C406,$C$341:$F$348,4,0))</f>
        <v xml:space="preserve"> </v>
      </c>
      <c r="D353" s="277">
        <f t="shared" si="38"/>
        <v>278.36</v>
      </c>
      <c r="E353" s="277" t="str">
        <f t="shared" si="38"/>
        <v xml:space="preserve"> </v>
      </c>
      <c r="F353" s="277" t="str">
        <f t="shared" si="38"/>
        <v xml:space="preserve"> </v>
      </c>
      <c r="G353" s="277">
        <f t="shared" si="38"/>
        <v>278.36</v>
      </c>
      <c r="H353" s="277" t="str">
        <f t="shared" si="38"/>
        <v xml:space="preserve"> </v>
      </c>
      <c r="I353" s="277">
        <f t="shared" si="38"/>
        <v>185.31</v>
      </c>
      <c r="J353" s="262"/>
      <c r="K353" s="262"/>
      <c r="L353" s="248"/>
    </row>
    <row r="354" spans="1:12" ht="2.1" customHeight="1">
      <c r="A354" s="455" t="s">
        <v>374</v>
      </c>
      <c r="B354" s="272">
        <f t="shared" ref="B354:B385" si="39">IF(VLOOKUP($B$406,$C$341:$G$348,4,0)&gt;K354,1,0)</f>
        <v>0</v>
      </c>
      <c r="C354" s="272">
        <f t="shared" ref="C354:C385" si="40">IF(VLOOKUP($C$406,$C$341:$G$348,4,0)&gt;K354,1,0)</f>
        <v>0</v>
      </c>
      <c r="D354" s="272">
        <f t="shared" ref="D354:D385" si="41">IF(VLOOKUP($D$406,$C$341:$G$348,4,0)&gt;K354,1,0)</f>
        <v>0</v>
      </c>
      <c r="E354" s="272">
        <f t="shared" ref="E354:E385" si="42">IF(VLOOKUP($E$406,$C$341:$G$348,4,0)&gt;K354,1,0)</f>
        <v>0</v>
      </c>
      <c r="F354" s="272">
        <f t="shared" ref="F354:F385" si="43">IF(VLOOKUP($F$406,$C$341:$G$348,4,0)&gt;K354,1,0)</f>
        <v>0</v>
      </c>
      <c r="G354" s="272">
        <f t="shared" ref="G354:G385" si="44">IF(VLOOKUP($G$406,$C$341:$G$348,4,0)&gt;K354,1,0)</f>
        <v>0</v>
      </c>
      <c r="H354" s="272">
        <f t="shared" ref="H354:H385" si="45">IF(VLOOKUP($H$406,$C$341:$G$348,4,0)&gt;K354,1,0)</f>
        <v>0</v>
      </c>
      <c r="I354" s="272">
        <f t="shared" ref="I354:I385" si="46">IF(VLOOKUP($I$406,$C$341:$G$348,4,0)&gt;K354,1,0)</f>
        <v>0</v>
      </c>
      <c r="J354" s="278">
        <v>52</v>
      </c>
      <c r="K354" s="278">
        <f t="shared" ref="K354:K385" si="47">ROUND($F$349/49*J354,0)</f>
        <v>295</v>
      </c>
      <c r="L354" s="244"/>
    </row>
    <row r="355" spans="1:12" ht="2.1" customHeight="1">
      <c r="A355" s="455"/>
      <c r="B355" s="272">
        <f t="shared" si="39"/>
        <v>0</v>
      </c>
      <c r="C355" s="272">
        <f t="shared" si="40"/>
        <v>0</v>
      </c>
      <c r="D355" s="272">
        <f t="shared" si="41"/>
        <v>0</v>
      </c>
      <c r="E355" s="272">
        <f t="shared" si="42"/>
        <v>0</v>
      </c>
      <c r="F355" s="272">
        <f t="shared" si="43"/>
        <v>0</v>
      </c>
      <c r="G355" s="272">
        <f t="shared" si="44"/>
        <v>0</v>
      </c>
      <c r="H355" s="272">
        <f t="shared" si="45"/>
        <v>0</v>
      </c>
      <c r="I355" s="272">
        <f t="shared" si="46"/>
        <v>0</v>
      </c>
      <c r="J355" s="278">
        <v>51</v>
      </c>
      <c r="K355" s="278">
        <f t="shared" si="47"/>
        <v>290</v>
      </c>
      <c r="L355" s="244"/>
    </row>
    <row r="356" spans="1:12" ht="2.1" customHeight="1">
      <c r="A356" s="455"/>
      <c r="B356" s="272">
        <f t="shared" si="39"/>
        <v>0</v>
      </c>
      <c r="C356" s="272">
        <f t="shared" si="40"/>
        <v>0</v>
      </c>
      <c r="D356" s="272">
        <f t="shared" si="41"/>
        <v>0</v>
      </c>
      <c r="E356" s="272">
        <f t="shared" si="42"/>
        <v>0</v>
      </c>
      <c r="F356" s="272">
        <f t="shared" si="43"/>
        <v>0</v>
      </c>
      <c r="G356" s="272">
        <f t="shared" si="44"/>
        <v>0</v>
      </c>
      <c r="H356" s="272">
        <f t="shared" si="45"/>
        <v>0</v>
      </c>
      <c r="I356" s="272">
        <f t="shared" si="46"/>
        <v>0</v>
      </c>
      <c r="J356" s="278">
        <v>50</v>
      </c>
      <c r="K356" s="278">
        <f t="shared" si="47"/>
        <v>284</v>
      </c>
      <c r="L356" s="244"/>
    </row>
    <row r="357" spans="1:12" ht="2.1" customHeight="1">
      <c r="A357" s="455"/>
      <c r="B357" s="272">
        <f t="shared" si="39"/>
        <v>0</v>
      </c>
      <c r="C357" s="272">
        <f t="shared" si="40"/>
        <v>0</v>
      </c>
      <c r="D357" s="272">
        <f t="shared" si="41"/>
        <v>1</v>
      </c>
      <c r="E357" s="272">
        <f t="shared" si="42"/>
        <v>0</v>
      </c>
      <c r="F357" s="272">
        <f t="shared" si="43"/>
        <v>0</v>
      </c>
      <c r="G357" s="272">
        <f t="shared" si="44"/>
        <v>1</v>
      </c>
      <c r="H357" s="272">
        <f t="shared" si="45"/>
        <v>0</v>
      </c>
      <c r="I357" s="272">
        <f t="shared" si="46"/>
        <v>0</v>
      </c>
      <c r="J357" s="278">
        <v>49</v>
      </c>
      <c r="K357" s="278">
        <f t="shared" si="47"/>
        <v>278</v>
      </c>
      <c r="L357" s="244"/>
    </row>
    <row r="358" spans="1:12" ht="2.1" customHeight="1">
      <c r="A358" s="455"/>
      <c r="B358" s="272">
        <f t="shared" si="39"/>
        <v>0</v>
      </c>
      <c r="C358" s="272">
        <f t="shared" si="40"/>
        <v>0</v>
      </c>
      <c r="D358" s="272">
        <f t="shared" si="41"/>
        <v>1</v>
      </c>
      <c r="E358" s="272">
        <f t="shared" si="42"/>
        <v>0</v>
      </c>
      <c r="F358" s="272">
        <f t="shared" si="43"/>
        <v>0</v>
      </c>
      <c r="G358" s="272">
        <f t="shared" si="44"/>
        <v>1</v>
      </c>
      <c r="H358" s="272">
        <f t="shared" si="45"/>
        <v>0</v>
      </c>
      <c r="I358" s="272">
        <f t="shared" si="46"/>
        <v>0</v>
      </c>
      <c r="J358" s="278">
        <v>48</v>
      </c>
      <c r="K358" s="278">
        <f t="shared" si="47"/>
        <v>273</v>
      </c>
      <c r="L358" s="244"/>
    </row>
    <row r="359" spans="1:12" ht="2.1" customHeight="1">
      <c r="A359" s="455"/>
      <c r="B359" s="272">
        <f t="shared" si="39"/>
        <v>0</v>
      </c>
      <c r="C359" s="272">
        <f t="shared" si="40"/>
        <v>0</v>
      </c>
      <c r="D359" s="272">
        <f t="shared" si="41"/>
        <v>1</v>
      </c>
      <c r="E359" s="272">
        <f t="shared" si="42"/>
        <v>0</v>
      </c>
      <c r="F359" s="272">
        <f t="shared" si="43"/>
        <v>0</v>
      </c>
      <c r="G359" s="272">
        <f t="shared" si="44"/>
        <v>1</v>
      </c>
      <c r="H359" s="272">
        <f t="shared" si="45"/>
        <v>0</v>
      </c>
      <c r="I359" s="272">
        <f t="shared" si="46"/>
        <v>0</v>
      </c>
      <c r="J359" s="278">
        <v>47</v>
      </c>
      <c r="K359" s="278">
        <f t="shared" si="47"/>
        <v>267</v>
      </c>
      <c r="L359" s="244"/>
    </row>
    <row r="360" spans="1:12" ht="2.1" customHeight="1">
      <c r="A360" s="455"/>
      <c r="B360" s="272">
        <f t="shared" si="39"/>
        <v>0</v>
      </c>
      <c r="C360" s="272">
        <f t="shared" si="40"/>
        <v>0</v>
      </c>
      <c r="D360" s="272">
        <f t="shared" si="41"/>
        <v>1</v>
      </c>
      <c r="E360" s="272">
        <f t="shared" si="42"/>
        <v>0</v>
      </c>
      <c r="F360" s="272">
        <f t="shared" si="43"/>
        <v>0</v>
      </c>
      <c r="G360" s="272">
        <f t="shared" si="44"/>
        <v>1</v>
      </c>
      <c r="H360" s="272">
        <f t="shared" si="45"/>
        <v>0</v>
      </c>
      <c r="I360" s="272">
        <f t="shared" si="46"/>
        <v>0</v>
      </c>
      <c r="J360" s="278">
        <v>46</v>
      </c>
      <c r="K360" s="278">
        <f t="shared" si="47"/>
        <v>261</v>
      </c>
      <c r="L360" s="244"/>
    </row>
    <row r="361" spans="1:12" ht="2.1" customHeight="1">
      <c r="A361" s="455"/>
      <c r="B361" s="272">
        <f t="shared" si="39"/>
        <v>0</v>
      </c>
      <c r="C361" s="272">
        <f t="shared" si="40"/>
        <v>0</v>
      </c>
      <c r="D361" s="272">
        <f t="shared" si="41"/>
        <v>1</v>
      </c>
      <c r="E361" s="272">
        <f t="shared" si="42"/>
        <v>0</v>
      </c>
      <c r="F361" s="272">
        <f t="shared" si="43"/>
        <v>0</v>
      </c>
      <c r="G361" s="272">
        <f t="shared" si="44"/>
        <v>1</v>
      </c>
      <c r="H361" s="272">
        <f t="shared" si="45"/>
        <v>0</v>
      </c>
      <c r="I361" s="272">
        <f t="shared" si="46"/>
        <v>0</v>
      </c>
      <c r="J361" s="278">
        <v>45</v>
      </c>
      <c r="K361" s="278">
        <f t="shared" si="47"/>
        <v>256</v>
      </c>
      <c r="L361" s="244"/>
    </row>
    <row r="362" spans="1:12" ht="2.1" customHeight="1">
      <c r="A362" s="455"/>
      <c r="B362" s="272">
        <f t="shared" si="39"/>
        <v>0</v>
      </c>
      <c r="C362" s="272">
        <f t="shared" si="40"/>
        <v>0</v>
      </c>
      <c r="D362" s="272">
        <f t="shared" si="41"/>
        <v>1</v>
      </c>
      <c r="E362" s="272">
        <f t="shared" si="42"/>
        <v>0</v>
      </c>
      <c r="F362" s="272">
        <f t="shared" si="43"/>
        <v>0</v>
      </c>
      <c r="G362" s="272">
        <f t="shared" si="44"/>
        <v>1</v>
      </c>
      <c r="H362" s="272">
        <f t="shared" si="45"/>
        <v>0</v>
      </c>
      <c r="I362" s="272">
        <f t="shared" si="46"/>
        <v>0</v>
      </c>
      <c r="J362" s="278">
        <v>44</v>
      </c>
      <c r="K362" s="278">
        <f t="shared" si="47"/>
        <v>250</v>
      </c>
      <c r="L362" s="244"/>
    </row>
    <row r="363" spans="1:12" ht="2.1" customHeight="1">
      <c r="A363" s="455"/>
      <c r="B363" s="272">
        <f t="shared" si="39"/>
        <v>0</v>
      </c>
      <c r="C363" s="272">
        <f t="shared" si="40"/>
        <v>0</v>
      </c>
      <c r="D363" s="272">
        <f t="shared" si="41"/>
        <v>1</v>
      </c>
      <c r="E363" s="272">
        <f t="shared" si="42"/>
        <v>0</v>
      </c>
      <c r="F363" s="272">
        <f t="shared" si="43"/>
        <v>0</v>
      </c>
      <c r="G363" s="272">
        <f t="shared" si="44"/>
        <v>1</v>
      </c>
      <c r="H363" s="272">
        <f t="shared" si="45"/>
        <v>0</v>
      </c>
      <c r="I363" s="272">
        <f t="shared" si="46"/>
        <v>0</v>
      </c>
      <c r="J363" s="278">
        <v>43</v>
      </c>
      <c r="K363" s="278">
        <f t="shared" si="47"/>
        <v>244</v>
      </c>
      <c r="L363" s="244"/>
    </row>
    <row r="364" spans="1:12" ht="2.1" customHeight="1">
      <c r="A364" s="455"/>
      <c r="B364" s="272">
        <f t="shared" si="39"/>
        <v>0</v>
      </c>
      <c r="C364" s="272">
        <f t="shared" si="40"/>
        <v>0</v>
      </c>
      <c r="D364" s="272">
        <f t="shared" si="41"/>
        <v>1</v>
      </c>
      <c r="E364" s="272">
        <f t="shared" si="42"/>
        <v>0</v>
      </c>
      <c r="F364" s="272">
        <f t="shared" si="43"/>
        <v>0</v>
      </c>
      <c r="G364" s="272">
        <f t="shared" si="44"/>
        <v>1</v>
      </c>
      <c r="H364" s="272">
        <f t="shared" si="45"/>
        <v>0</v>
      </c>
      <c r="I364" s="272">
        <f t="shared" si="46"/>
        <v>0</v>
      </c>
      <c r="J364" s="278">
        <v>42</v>
      </c>
      <c r="K364" s="278">
        <f t="shared" si="47"/>
        <v>239</v>
      </c>
      <c r="L364" s="244"/>
    </row>
    <row r="365" spans="1:12" ht="2.1" customHeight="1">
      <c r="A365" s="455"/>
      <c r="B365" s="272">
        <f t="shared" si="39"/>
        <v>0</v>
      </c>
      <c r="C365" s="272">
        <f t="shared" si="40"/>
        <v>0</v>
      </c>
      <c r="D365" s="272">
        <f t="shared" si="41"/>
        <v>1</v>
      </c>
      <c r="E365" s="272">
        <f t="shared" si="42"/>
        <v>0</v>
      </c>
      <c r="F365" s="272">
        <f t="shared" si="43"/>
        <v>0</v>
      </c>
      <c r="G365" s="272">
        <f t="shared" si="44"/>
        <v>1</v>
      </c>
      <c r="H365" s="272">
        <f t="shared" si="45"/>
        <v>0</v>
      </c>
      <c r="I365" s="272">
        <f t="shared" si="46"/>
        <v>0</v>
      </c>
      <c r="J365" s="278">
        <v>41</v>
      </c>
      <c r="K365" s="278">
        <f t="shared" si="47"/>
        <v>233</v>
      </c>
      <c r="L365" s="244"/>
    </row>
    <row r="366" spans="1:12" ht="2.1" customHeight="1">
      <c r="A366" s="455"/>
      <c r="B366" s="272">
        <f t="shared" si="39"/>
        <v>0</v>
      </c>
      <c r="C366" s="272">
        <f t="shared" si="40"/>
        <v>0</v>
      </c>
      <c r="D366" s="272">
        <f t="shared" si="41"/>
        <v>1</v>
      </c>
      <c r="E366" s="272">
        <f t="shared" si="42"/>
        <v>0</v>
      </c>
      <c r="F366" s="272">
        <f t="shared" si="43"/>
        <v>0</v>
      </c>
      <c r="G366" s="272">
        <f t="shared" si="44"/>
        <v>1</v>
      </c>
      <c r="H366" s="272">
        <f t="shared" si="45"/>
        <v>0</v>
      </c>
      <c r="I366" s="272">
        <f t="shared" si="46"/>
        <v>0</v>
      </c>
      <c r="J366" s="278">
        <v>40</v>
      </c>
      <c r="K366" s="278">
        <f t="shared" si="47"/>
        <v>227</v>
      </c>
      <c r="L366" s="244"/>
    </row>
    <row r="367" spans="1:12" ht="2.1" customHeight="1">
      <c r="A367" s="455"/>
      <c r="B367" s="272">
        <f t="shared" si="39"/>
        <v>0</v>
      </c>
      <c r="C367" s="272">
        <f t="shared" si="40"/>
        <v>0</v>
      </c>
      <c r="D367" s="272">
        <f t="shared" si="41"/>
        <v>1</v>
      </c>
      <c r="E367" s="272">
        <f t="shared" si="42"/>
        <v>0</v>
      </c>
      <c r="F367" s="272">
        <f t="shared" si="43"/>
        <v>0</v>
      </c>
      <c r="G367" s="272">
        <f t="shared" si="44"/>
        <v>1</v>
      </c>
      <c r="H367" s="272">
        <f t="shared" si="45"/>
        <v>0</v>
      </c>
      <c r="I367" s="272">
        <f t="shared" si="46"/>
        <v>0</v>
      </c>
      <c r="J367" s="278">
        <v>39</v>
      </c>
      <c r="K367" s="278">
        <f t="shared" si="47"/>
        <v>222</v>
      </c>
      <c r="L367" s="244"/>
    </row>
    <row r="368" spans="1:12" ht="2.1" customHeight="1">
      <c r="A368" s="455"/>
      <c r="B368" s="272">
        <f t="shared" si="39"/>
        <v>0</v>
      </c>
      <c r="C368" s="272">
        <f t="shared" si="40"/>
        <v>0</v>
      </c>
      <c r="D368" s="272">
        <f t="shared" si="41"/>
        <v>1</v>
      </c>
      <c r="E368" s="272">
        <f t="shared" si="42"/>
        <v>0</v>
      </c>
      <c r="F368" s="272">
        <f t="shared" si="43"/>
        <v>0</v>
      </c>
      <c r="G368" s="272">
        <f t="shared" si="44"/>
        <v>1</v>
      </c>
      <c r="H368" s="272">
        <f t="shared" si="45"/>
        <v>0</v>
      </c>
      <c r="I368" s="272">
        <f t="shared" si="46"/>
        <v>0</v>
      </c>
      <c r="J368" s="278">
        <v>38</v>
      </c>
      <c r="K368" s="278">
        <f t="shared" si="47"/>
        <v>216</v>
      </c>
      <c r="L368" s="244"/>
    </row>
    <row r="369" spans="1:12" ht="2.1" customHeight="1">
      <c r="A369" s="455"/>
      <c r="B369" s="272">
        <f t="shared" si="39"/>
        <v>0</v>
      </c>
      <c r="C369" s="272">
        <f t="shared" si="40"/>
        <v>0</v>
      </c>
      <c r="D369" s="272">
        <f t="shared" si="41"/>
        <v>1</v>
      </c>
      <c r="E369" s="272">
        <f t="shared" si="42"/>
        <v>0</v>
      </c>
      <c r="F369" s="272">
        <f t="shared" si="43"/>
        <v>0</v>
      </c>
      <c r="G369" s="272">
        <f t="shared" si="44"/>
        <v>1</v>
      </c>
      <c r="H369" s="272">
        <f t="shared" si="45"/>
        <v>0</v>
      </c>
      <c r="I369" s="272">
        <f t="shared" si="46"/>
        <v>0</v>
      </c>
      <c r="J369" s="278">
        <v>37</v>
      </c>
      <c r="K369" s="278">
        <f t="shared" si="47"/>
        <v>210</v>
      </c>
      <c r="L369" s="244"/>
    </row>
    <row r="370" spans="1:12" ht="2.1" customHeight="1">
      <c r="A370" s="455"/>
      <c r="B370" s="272">
        <f t="shared" si="39"/>
        <v>0</v>
      </c>
      <c r="C370" s="272">
        <f t="shared" si="40"/>
        <v>0</v>
      </c>
      <c r="D370" s="272">
        <f t="shared" si="41"/>
        <v>1</v>
      </c>
      <c r="E370" s="272">
        <f t="shared" si="42"/>
        <v>0</v>
      </c>
      <c r="F370" s="272">
        <f t="shared" si="43"/>
        <v>0</v>
      </c>
      <c r="G370" s="272">
        <f t="shared" si="44"/>
        <v>1</v>
      </c>
      <c r="H370" s="272">
        <f t="shared" si="45"/>
        <v>0</v>
      </c>
      <c r="I370" s="272">
        <f t="shared" si="46"/>
        <v>0</v>
      </c>
      <c r="J370" s="278">
        <v>36</v>
      </c>
      <c r="K370" s="278">
        <f t="shared" si="47"/>
        <v>205</v>
      </c>
      <c r="L370" s="244"/>
    </row>
    <row r="371" spans="1:12" ht="2.1" customHeight="1">
      <c r="A371" s="455"/>
      <c r="B371" s="272">
        <f t="shared" si="39"/>
        <v>0</v>
      </c>
      <c r="C371" s="272">
        <f t="shared" si="40"/>
        <v>0</v>
      </c>
      <c r="D371" s="272">
        <f t="shared" si="41"/>
        <v>1</v>
      </c>
      <c r="E371" s="272">
        <f t="shared" si="42"/>
        <v>0</v>
      </c>
      <c r="F371" s="272">
        <f t="shared" si="43"/>
        <v>0</v>
      </c>
      <c r="G371" s="272">
        <f t="shared" si="44"/>
        <v>1</v>
      </c>
      <c r="H371" s="272">
        <f t="shared" si="45"/>
        <v>0</v>
      </c>
      <c r="I371" s="272">
        <f t="shared" si="46"/>
        <v>0</v>
      </c>
      <c r="J371" s="278">
        <v>35</v>
      </c>
      <c r="K371" s="278">
        <f t="shared" si="47"/>
        <v>199</v>
      </c>
      <c r="L371" s="244"/>
    </row>
    <row r="372" spans="1:12" ht="2.1" customHeight="1">
      <c r="A372" s="455"/>
      <c r="B372" s="272">
        <f t="shared" si="39"/>
        <v>0</v>
      </c>
      <c r="C372" s="272">
        <f t="shared" si="40"/>
        <v>0</v>
      </c>
      <c r="D372" s="272">
        <f t="shared" si="41"/>
        <v>1</v>
      </c>
      <c r="E372" s="272">
        <f t="shared" si="42"/>
        <v>0</v>
      </c>
      <c r="F372" s="272">
        <f t="shared" si="43"/>
        <v>0</v>
      </c>
      <c r="G372" s="272">
        <f t="shared" si="44"/>
        <v>1</v>
      </c>
      <c r="H372" s="272">
        <f t="shared" si="45"/>
        <v>0</v>
      </c>
      <c r="I372" s="272">
        <f t="shared" si="46"/>
        <v>0</v>
      </c>
      <c r="J372" s="278">
        <v>34</v>
      </c>
      <c r="K372" s="278">
        <f t="shared" si="47"/>
        <v>193</v>
      </c>
      <c r="L372" s="244"/>
    </row>
    <row r="373" spans="1:12" ht="2.1" customHeight="1">
      <c r="A373" s="455"/>
      <c r="B373" s="272">
        <f t="shared" si="39"/>
        <v>0</v>
      </c>
      <c r="C373" s="272">
        <f t="shared" si="40"/>
        <v>0</v>
      </c>
      <c r="D373" s="272">
        <f t="shared" si="41"/>
        <v>1</v>
      </c>
      <c r="E373" s="272">
        <f t="shared" si="42"/>
        <v>0</v>
      </c>
      <c r="F373" s="272">
        <f t="shared" si="43"/>
        <v>0</v>
      </c>
      <c r="G373" s="272">
        <f t="shared" si="44"/>
        <v>1</v>
      </c>
      <c r="H373" s="272">
        <f t="shared" si="45"/>
        <v>0</v>
      </c>
      <c r="I373" s="272">
        <f t="shared" si="46"/>
        <v>0</v>
      </c>
      <c r="J373" s="278">
        <v>33</v>
      </c>
      <c r="K373" s="278">
        <f t="shared" si="47"/>
        <v>187</v>
      </c>
      <c r="L373" s="244"/>
    </row>
    <row r="374" spans="1:12" ht="2.1" customHeight="1">
      <c r="A374" s="455"/>
      <c r="B374" s="272">
        <f t="shared" si="39"/>
        <v>1</v>
      </c>
      <c r="C374" s="272">
        <f t="shared" si="40"/>
        <v>0</v>
      </c>
      <c r="D374" s="272">
        <f t="shared" si="41"/>
        <v>1</v>
      </c>
      <c r="E374" s="272">
        <f t="shared" si="42"/>
        <v>0</v>
      </c>
      <c r="F374" s="272">
        <f t="shared" si="43"/>
        <v>0</v>
      </c>
      <c r="G374" s="272">
        <f t="shared" si="44"/>
        <v>1</v>
      </c>
      <c r="H374" s="272">
        <f t="shared" si="45"/>
        <v>0</v>
      </c>
      <c r="I374" s="272">
        <f t="shared" si="46"/>
        <v>1</v>
      </c>
      <c r="J374" s="278">
        <v>32</v>
      </c>
      <c r="K374" s="278">
        <f t="shared" si="47"/>
        <v>182</v>
      </c>
      <c r="L374" s="244"/>
    </row>
    <row r="375" spans="1:12" ht="2.1" customHeight="1">
      <c r="A375" s="455"/>
      <c r="B375" s="272">
        <f t="shared" si="39"/>
        <v>1</v>
      </c>
      <c r="C375" s="272">
        <f t="shared" si="40"/>
        <v>0</v>
      </c>
      <c r="D375" s="272">
        <f t="shared" si="41"/>
        <v>1</v>
      </c>
      <c r="E375" s="272">
        <f t="shared" si="42"/>
        <v>0</v>
      </c>
      <c r="F375" s="272">
        <f t="shared" si="43"/>
        <v>0</v>
      </c>
      <c r="G375" s="272">
        <f t="shared" si="44"/>
        <v>1</v>
      </c>
      <c r="H375" s="272">
        <f t="shared" si="45"/>
        <v>0</v>
      </c>
      <c r="I375" s="272">
        <f t="shared" si="46"/>
        <v>1</v>
      </c>
      <c r="J375" s="278">
        <v>31</v>
      </c>
      <c r="K375" s="278">
        <f t="shared" si="47"/>
        <v>176</v>
      </c>
      <c r="L375" s="244"/>
    </row>
    <row r="376" spans="1:12" ht="2.1" customHeight="1">
      <c r="A376" s="455"/>
      <c r="B376" s="272">
        <f t="shared" si="39"/>
        <v>1</v>
      </c>
      <c r="C376" s="272">
        <f t="shared" si="40"/>
        <v>0</v>
      </c>
      <c r="D376" s="272">
        <f t="shared" si="41"/>
        <v>1</v>
      </c>
      <c r="E376" s="272">
        <f t="shared" si="42"/>
        <v>0</v>
      </c>
      <c r="F376" s="272">
        <f t="shared" si="43"/>
        <v>0</v>
      </c>
      <c r="G376" s="272">
        <f t="shared" si="44"/>
        <v>1</v>
      </c>
      <c r="H376" s="272">
        <f t="shared" si="45"/>
        <v>0</v>
      </c>
      <c r="I376" s="272">
        <f t="shared" si="46"/>
        <v>1</v>
      </c>
      <c r="J376" s="278">
        <v>30</v>
      </c>
      <c r="K376" s="278">
        <f t="shared" si="47"/>
        <v>170</v>
      </c>
      <c r="L376" s="244"/>
    </row>
    <row r="377" spans="1:12" ht="2.1" customHeight="1">
      <c r="A377" s="455"/>
      <c r="B377" s="272">
        <f t="shared" si="39"/>
        <v>1</v>
      </c>
      <c r="C377" s="272">
        <f t="shared" si="40"/>
        <v>0</v>
      </c>
      <c r="D377" s="272">
        <f t="shared" si="41"/>
        <v>1</v>
      </c>
      <c r="E377" s="272">
        <f t="shared" si="42"/>
        <v>0</v>
      </c>
      <c r="F377" s="272">
        <f t="shared" si="43"/>
        <v>0</v>
      </c>
      <c r="G377" s="272">
        <f t="shared" si="44"/>
        <v>1</v>
      </c>
      <c r="H377" s="272">
        <f t="shared" si="45"/>
        <v>0</v>
      </c>
      <c r="I377" s="272">
        <f t="shared" si="46"/>
        <v>1</v>
      </c>
      <c r="J377" s="278">
        <v>29</v>
      </c>
      <c r="K377" s="278">
        <f t="shared" si="47"/>
        <v>165</v>
      </c>
      <c r="L377" s="244"/>
    </row>
    <row r="378" spans="1:12" ht="2.1" customHeight="1">
      <c r="A378" s="455"/>
      <c r="B378" s="272">
        <f t="shared" si="39"/>
        <v>1</v>
      </c>
      <c r="C378" s="272">
        <f t="shared" si="40"/>
        <v>0</v>
      </c>
      <c r="D378" s="272">
        <f t="shared" si="41"/>
        <v>1</v>
      </c>
      <c r="E378" s="272">
        <f t="shared" si="42"/>
        <v>0</v>
      </c>
      <c r="F378" s="272">
        <f t="shared" si="43"/>
        <v>0</v>
      </c>
      <c r="G378" s="272">
        <f t="shared" si="44"/>
        <v>1</v>
      </c>
      <c r="H378" s="272">
        <f t="shared" si="45"/>
        <v>0</v>
      </c>
      <c r="I378" s="272">
        <f t="shared" si="46"/>
        <v>1</v>
      </c>
      <c r="J378" s="278">
        <v>28</v>
      </c>
      <c r="K378" s="278">
        <f t="shared" si="47"/>
        <v>159</v>
      </c>
      <c r="L378" s="244"/>
    </row>
    <row r="379" spans="1:12" ht="2.1" customHeight="1">
      <c r="A379" s="455"/>
      <c r="B379" s="272">
        <f t="shared" si="39"/>
        <v>1</v>
      </c>
      <c r="C379" s="272">
        <f t="shared" si="40"/>
        <v>0</v>
      </c>
      <c r="D379" s="272">
        <f t="shared" si="41"/>
        <v>1</v>
      </c>
      <c r="E379" s="272">
        <f t="shared" si="42"/>
        <v>0</v>
      </c>
      <c r="F379" s="272">
        <f t="shared" si="43"/>
        <v>0</v>
      </c>
      <c r="G379" s="272">
        <f t="shared" si="44"/>
        <v>1</v>
      </c>
      <c r="H379" s="272">
        <f t="shared" si="45"/>
        <v>0</v>
      </c>
      <c r="I379" s="272">
        <f t="shared" si="46"/>
        <v>1</v>
      </c>
      <c r="J379" s="278">
        <v>27</v>
      </c>
      <c r="K379" s="278">
        <f t="shared" si="47"/>
        <v>153</v>
      </c>
      <c r="L379" s="244"/>
    </row>
    <row r="380" spans="1:12" ht="2.1" customHeight="1">
      <c r="A380" s="455"/>
      <c r="B380" s="272">
        <f t="shared" si="39"/>
        <v>1</v>
      </c>
      <c r="C380" s="272">
        <f t="shared" si="40"/>
        <v>0</v>
      </c>
      <c r="D380" s="272">
        <f t="shared" si="41"/>
        <v>1</v>
      </c>
      <c r="E380" s="272">
        <f t="shared" si="42"/>
        <v>0</v>
      </c>
      <c r="F380" s="272">
        <f t="shared" si="43"/>
        <v>0</v>
      </c>
      <c r="G380" s="272">
        <f t="shared" si="44"/>
        <v>1</v>
      </c>
      <c r="H380" s="272">
        <f t="shared" si="45"/>
        <v>0</v>
      </c>
      <c r="I380" s="272">
        <f t="shared" si="46"/>
        <v>1</v>
      </c>
      <c r="J380" s="278">
        <v>26</v>
      </c>
      <c r="K380" s="278">
        <f t="shared" si="47"/>
        <v>148</v>
      </c>
      <c r="L380" s="244"/>
    </row>
    <row r="381" spans="1:12" ht="2.1" customHeight="1">
      <c r="A381" s="455"/>
      <c r="B381" s="272">
        <f t="shared" si="39"/>
        <v>1</v>
      </c>
      <c r="C381" s="272">
        <f t="shared" si="40"/>
        <v>0</v>
      </c>
      <c r="D381" s="272">
        <f t="shared" si="41"/>
        <v>1</v>
      </c>
      <c r="E381" s="272">
        <f t="shared" si="42"/>
        <v>0</v>
      </c>
      <c r="F381" s="272">
        <f t="shared" si="43"/>
        <v>0</v>
      </c>
      <c r="G381" s="272">
        <f t="shared" si="44"/>
        <v>1</v>
      </c>
      <c r="H381" s="272">
        <f t="shared" si="45"/>
        <v>0</v>
      </c>
      <c r="I381" s="272">
        <f t="shared" si="46"/>
        <v>1</v>
      </c>
      <c r="J381" s="278">
        <v>25</v>
      </c>
      <c r="K381" s="278">
        <f t="shared" si="47"/>
        <v>142</v>
      </c>
      <c r="L381" s="244"/>
    </row>
    <row r="382" spans="1:12" ht="2.1" customHeight="1">
      <c r="A382" s="455"/>
      <c r="B382" s="272">
        <f t="shared" si="39"/>
        <v>1</v>
      </c>
      <c r="C382" s="272">
        <f t="shared" si="40"/>
        <v>0</v>
      </c>
      <c r="D382" s="272">
        <f t="shared" si="41"/>
        <v>1</v>
      </c>
      <c r="E382" s="272">
        <f t="shared" si="42"/>
        <v>0</v>
      </c>
      <c r="F382" s="272">
        <f t="shared" si="43"/>
        <v>0</v>
      </c>
      <c r="G382" s="272">
        <f t="shared" si="44"/>
        <v>1</v>
      </c>
      <c r="H382" s="272">
        <f t="shared" si="45"/>
        <v>0</v>
      </c>
      <c r="I382" s="272">
        <f t="shared" si="46"/>
        <v>1</v>
      </c>
      <c r="J382" s="278">
        <v>24</v>
      </c>
      <c r="K382" s="278">
        <f t="shared" si="47"/>
        <v>136</v>
      </c>
      <c r="L382" s="244"/>
    </row>
    <row r="383" spans="1:12" ht="2.1" customHeight="1">
      <c r="A383" s="455"/>
      <c r="B383" s="272">
        <f t="shared" si="39"/>
        <v>1</v>
      </c>
      <c r="C383" s="272">
        <f t="shared" si="40"/>
        <v>0</v>
      </c>
      <c r="D383" s="272">
        <f t="shared" si="41"/>
        <v>1</v>
      </c>
      <c r="E383" s="272">
        <f t="shared" si="42"/>
        <v>0</v>
      </c>
      <c r="F383" s="272">
        <f t="shared" si="43"/>
        <v>0</v>
      </c>
      <c r="G383" s="272">
        <f t="shared" si="44"/>
        <v>1</v>
      </c>
      <c r="H383" s="272">
        <f t="shared" si="45"/>
        <v>0</v>
      </c>
      <c r="I383" s="272">
        <f t="shared" si="46"/>
        <v>1</v>
      </c>
      <c r="J383" s="278">
        <v>23</v>
      </c>
      <c r="K383" s="278">
        <f t="shared" si="47"/>
        <v>131</v>
      </c>
      <c r="L383" s="244"/>
    </row>
    <row r="384" spans="1:12" ht="2.1" customHeight="1">
      <c r="A384" s="455"/>
      <c r="B384" s="272">
        <f t="shared" si="39"/>
        <v>1</v>
      </c>
      <c r="C384" s="272">
        <f t="shared" si="40"/>
        <v>0</v>
      </c>
      <c r="D384" s="272">
        <f t="shared" si="41"/>
        <v>1</v>
      </c>
      <c r="E384" s="272">
        <f t="shared" si="42"/>
        <v>0</v>
      </c>
      <c r="F384" s="272">
        <f t="shared" si="43"/>
        <v>0</v>
      </c>
      <c r="G384" s="272">
        <f t="shared" si="44"/>
        <v>1</v>
      </c>
      <c r="H384" s="272">
        <f t="shared" si="45"/>
        <v>0</v>
      </c>
      <c r="I384" s="272">
        <f t="shared" si="46"/>
        <v>1</v>
      </c>
      <c r="J384" s="278">
        <v>22</v>
      </c>
      <c r="K384" s="278">
        <f t="shared" si="47"/>
        <v>125</v>
      </c>
      <c r="L384" s="244"/>
    </row>
    <row r="385" spans="1:12" ht="2.1" customHeight="1">
      <c r="A385" s="455"/>
      <c r="B385" s="272">
        <f t="shared" si="39"/>
        <v>1</v>
      </c>
      <c r="C385" s="272">
        <f t="shared" si="40"/>
        <v>0</v>
      </c>
      <c r="D385" s="272">
        <f t="shared" si="41"/>
        <v>1</v>
      </c>
      <c r="E385" s="272">
        <f t="shared" si="42"/>
        <v>0</v>
      </c>
      <c r="F385" s="272">
        <f t="shared" si="43"/>
        <v>0</v>
      </c>
      <c r="G385" s="272">
        <f t="shared" si="44"/>
        <v>1</v>
      </c>
      <c r="H385" s="272">
        <f t="shared" si="45"/>
        <v>0</v>
      </c>
      <c r="I385" s="272">
        <f t="shared" si="46"/>
        <v>1</v>
      </c>
      <c r="J385" s="278">
        <v>21</v>
      </c>
      <c r="K385" s="278">
        <f t="shared" si="47"/>
        <v>119</v>
      </c>
      <c r="L385" s="244"/>
    </row>
    <row r="386" spans="1:12" ht="2.1" customHeight="1">
      <c r="A386" s="455"/>
      <c r="B386" s="272">
        <f t="shared" ref="B386:B405" si="48">IF(VLOOKUP($B$406,$C$341:$G$348,4,0)&gt;K386,1,0)</f>
        <v>1</v>
      </c>
      <c r="C386" s="272">
        <f t="shared" ref="C386:C405" si="49">IF(VLOOKUP($C$406,$C$341:$G$348,4,0)&gt;K386,1,0)</f>
        <v>0</v>
      </c>
      <c r="D386" s="272">
        <f t="shared" ref="D386:D405" si="50">IF(VLOOKUP($D$406,$C$341:$G$348,4,0)&gt;K386,1,0)</f>
        <v>1</v>
      </c>
      <c r="E386" s="272">
        <f t="shared" ref="E386:E405" si="51">IF(VLOOKUP($E$406,$C$341:$G$348,4,0)&gt;K386,1,0)</f>
        <v>0</v>
      </c>
      <c r="F386" s="272">
        <f t="shared" ref="F386:F405" si="52">IF(VLOOKUP($F$406,$C$341:$G$348,4,0)&gt;K386,1,0)</f>
        <v>0</v>
      </c>
      <c r="G386" s="272">
        <f t="shared" ref="G386:G405" si="53">IF(VLOOKUP($G$406,$C$341:$G$348,4,0)&gt;K386,1,0)</f>
        <v>1</v>
      </c>
      <c r="H386" s="272">
        <f t="shared" ref="H386:H405" si="54">IF(VLOOKUP($H$406,$C$341:$G$348,4,0)&gt;K386,1,0)</f>
        <v>0</v>
      </c>
      <c r="I386" s="272">
        <f t="shared" ref="I386:I405" si="55">IF(VLOOKUP($I$406,$C$341:$G$348,4,0)&gt;K386,1,0)</f>
        <v>1</v>
      </c>
      <c r="J386" s="278">
        <v>20</v>
      </c>
      <c r="K386" s="278">
        <f t="shared" ref="K386:K405" si="56">ROUND($F$349/49*J386,0)</f>
        <v>114</v>
      </c>
      <c r="L386" s="244"/>
    </row>
    <row r="387" spans="1:12" ht="2.1" customHeight="1">
      <c r="A387" s="455"/>
      <c r="B387" s="272">
        <f t="shared" si="48"/>
        <v>1</v>
      </c>
      <c r="C387" s="272">
        <f t="shared" si="49"/>
        <v>0</v>
      </c>
      <c r="D387" s="272">
        <f t="shared" si="50"/>
        <v>1</v>
      </c>
      <c r="E387" s="272">
        <f t="shared" si="51"/>
        <v>0</v>
      </c>
      <c r="F387" s="272">
        <f t="shared" si="52"/>
        <v>0</v>
      </c>
      <c r="G387" s="272">
        <f t="shared" si="53"/>
        <v>1</v>
      </c>
      <c r="H387" s="272">
        <f t="shared" si="54"/>
        <v>0</v>
      </c>
      <c r="I387" s="272">
        <f t="shared" si="55"/>
        <v>1</v>
      </c>
      <c r="J387" s="278">
        <v>19</v>
      </c>
      <c r="K387" s="278">
        <f t="shared" si="56"/>
        <v>108</v>
      </c>
      <c r="L387" s="244"/>
    </row>
    <row r="388" spans="1:12" ht="2.1" customHeight="1">
      <c r="A388" s="455"/>
      <c r="B388" s="272">
        <f t="shared" si="48"/>
        <v>1</v>
      </c>
      <c r="C388" s="272">
        <f t="shared" si="49"/>
        <v>0</v>
      </c>
      <c r="D388" s="272">
        <f t="shared" si="50"/>
        <v>1</v>
      </c>
      <c r="E388" s="272">
        <f t="shared" si="51"/>
        <v>0</v>
      </c>
      <c r="F388" s="272">
        <f t="shared" si="52"/>
        <v>0</v>
      </c>
      <c r="G388" s="272">
        <f t="shared" si="53"/>
        <v>1</v>
      </c>
      <c r="H388" s="272">
        <f t="shared" si="54"/>
        <v>0</v>
      </c>
      <c r="I388" s="272">
        <f t="shared" si="55"/>
        <v>1</v>
      </c>
      <c r="J388" s="278">
        <v>18</v>
      </c>
      <c r="K388" s="278">
        <f t="shared" si="56"/>
        <v>102</v>
      </c>
      <c r="L388" s="244"/>
    </row>
    <row r="389" spans="1:12" ht="2.1" customHeight="1">
      <c r="A389" s="455"/>
      <c r="B389" s="272">
        <f t="shared" si="48"/>
        <v>1</v>
      </c>
      <c r="C389" s="272">
        <f t="shared" si="49"/>
        <v>0</v>
      </c>
      <c r="D389" s="272">
        <f t="shared" si="50"/>
        <v>1</v>
      </c>
      <c r="E389" s="272">
        <f t="shared" si="51"/>
        <v>0</v>
      </c>
      <c r="F389" s="272">
        <f t="shared" si="52"/>
        <v>0</v>
      </c>
      <c r="G389" s="272">
        <f t="shared" si="53"/>
        <v>1</v>
      </c>
      <c r="H389" s="272">
        <f t="shared" si="54"/>
        <v>0</v>
      </c>
      <c r="I389" s="272">
        <f t="shared" si="55"/>
        <v>1</v>
      </c>
      <c r="J389" s="278">
        <v>17</v>
      </c>
      <c r="K389" s="278">
        <f t="shared" si="56"/>
        <v>97</v>
      </c>
      <c r="L389" s="244"/>
    </row>
    <row r="390" spans="1:12" ht="2.1" customHeight="1">
      <c r="A390" s="455"/>
      <c r="B390" s="272">
        <f t="shared" si="48"/>
        <v>1</v>
      </c>
      <c r="C390" s="272">
        <f t="shared" si="49"/>
        <v>0</v>
      </c>
      <c r="D390" s="272">
        <f t="shared" si="50"/>
        <v>1</v>
      </c>
      <c r="E390" s="272">
        <f t="shared" si="51"/>
        <v>0</v>
      </c>
      <c r="F390" s="272">
        <f t="shared" si="52"/>
        <v>0</v>
      </c>
      <c r="G390" s="272">
        <f t="shared" si="53"/>
        <v>1</v>
      </c>
      <c r="H390" s="272">
        <f t="shared" si="54"/>
        <v>0</v>
      </c>
      <c r="I390" s="272">
        <f t="shared" si="55"/>
        <v>1</v>
      </c>
      <c r="J390" s="278">
        <v>16</v>
      </c>
      <c r="K390" s="278">
        <f t="shared" si="56"/>
        <v>91</v>
      </c>
      <c r="L390" s="244"/>
    </row>
    <row r="391" spans="1:12" ht="2.1" customHeight="1">
      <c r="A391" s="455"/>
      <c r="B391" s="272">
        <f t="shared" si="48"/>
        <v>1</v>
      </c>
      <c r="C391" s="272">
        <f t="shared" si="49"/>
        <v>0</v>
      </c>
      <c r="D391" s="272">
        <f t="shared" si="50"/>
        <v>1</v>
      </c>
      <c r="E391" s="272">
        <f t="shared" si="51"/>
        <v>0</v>
      </c>
      <c r="F391" s="272">
        <f t="shared" si="52"/>
        <v>0</v>
      </c>
      <c r="G391" s="272">
        <f t="shared" si="53"/>
        <v>1</v>
      </c>
      <c r="H391" s="272">
        <f t="shared" si="54"/>
        <v>0</v>
      </c>
      <c r="I391" s="272">
        <f t="shared" si="55"/>
        <v>1</v>
      </c>
      <c r="J391" s="278">
        <v>15</v>
      </c>
      <c r="K391" s="278">
        <f t="shared" si="56"/>
        <v>85</v>
      </c>
      <c r="L391" s="244"/>
    </row>
    <row r="392" spans="1:12" ht="2.1" customHeight="1">
      <c r="A392" s="455"/>
      <c r="B392" s="272">
        <f t="shared" si="48"/>
        <v>1</v>
      </c>
      <c r="C392" s="272">
        <f t="shared" si="49"/>
        <v>0</v>
      </c>
      <c r="D392" s="272">
        <f t="shared" si="50"/>
        <v>1</v>
      </c>
      <c r="E392" s="272">
        <f t="shared" si="51"/>
        <v>0</v>
      </c>
      <c r="F392" s="272">
        <f t="shared" si="52"/>
        <v>0</v>
      </c>
      <c r="G392" s="272">
        <f t="shared" si="53"/>
        <v>1</v>
      </c>
      <c r="H392" s="272">
        <f t="shared" si="54"/>
        <v>0</v>
      </c>
      <c r="I392" s="272">
        <f t="shared" si="55"/>
        <v>1</v>
      </c>
      <c r="J392" s="278">
        <v>14</v>
      </c>
      <c r="K392" s="278">
        <f t="shared" si="56"/>
        <v>80</v>
      </c>
      <c r="L392" s="244"/>
    </row>
    <row r="393" spans="1:12" ht="2.1" customHeight="1">
      <c r="A393" s="455"/>
      <c r="B393" s="272">
        <f t="shared" si="48"/>
        <v>1</v>
      </c>
      <c r="C393" s="272">
        <f t="shared" si="49"/>
        <v>0</v>
      </c>
      <c r="D393" s="272">
        <f t="shared" si="50"/>
        <v>1</v>
      </c>
      <c r="E393" s="272">
        <f t="shared" si="51"/>
        <v>0</v>
      </c>
      <c r="F393" s="272">
        <f t="shared" si="52"/>
        <v>0</v>
      </c>
      <c r="G393" s="272">
        <f t="shared" si="53"/>
        <v>1</v>
      </c>
      <c r="H393" s="272">
        <f t="shared" si="54"/>
        <v>0</v>
      </c>
      <c r="I393" s="272">
        <f t="shared" si="55"/>
        <v>1</v>
      </c>
      <c r="J393" s="278">
        <v>13</v>
      </c>
      <c r="K393" s="278">
        <f t="shared" si="56"/>
        <v>74</v>
      </c>
      <c r="L393" s="244"/>
    </row>
    <row r="394" spans="1:12" ht="2.1" customHeight="1">
      <c r="A394" s="455"/>
      <c r="B394" s="272">
        <f t="shared" si="48"/>
        <v>1</v>
      </c>
      <c r="C394" s="272">
        <f t="shared" si="49"/>
        <v>0</v>
      </c>
      <c r="D394" s="272">
        <f t="shared" si="50"/>
        <v>1</v>
      </c>
      <c r="E394" s="272">
        <f t="shared" si="51"/>
        <v>0</v>
      </c>
      <c r="F394" s="272">
        <f t="shared" si="52"/>
        <v>0</v>
      </c>
      <c r="G394" s="272">
        <f t="shared" si="53"/>
        <v>1</v>
      </c>
      <c r="H394" s="272">
        <f t="shared" si="54"/>
        <v>0</v>
      </c>
      <c r="I394" s="272">
        <f t="shared" si="55"/>
        <v>1</v>
      </c>
      <c r="J394" s="278">
        <v>12</v>
      </c>
      <c r="K394" s="278">
        <f t="shared" si="56"/>
        <v>68</v>
      </c>
      <c r="L394" s="244"/>
    </row>
    <row r="395" spans="1:12" ht="2.1" customHeight="1">
      <c r="A395" s="455"/>
      <c r="B395" s="272">
        <f t="shared" si="48"/>
        <v>1</v>
      </c>
      <c r="C395" s="272">
        <f t="shared" si="49"/>
        <v>0</v>
      </c>
      <c r="D395" s="272">
        <f t="shared" si="50"/>
        <v>1</v>
      </c>
      <c r="E395" s="272">
        <f t="shared" si="51"/>
        <v>0</v>
      </c>
      <c r="F395" s="272">
        <f t="shared" si="52"/>
        <v>0</v>
      </c>
      <c r="G395" s="272">
        <f t="shared" si="53"/>
        <v>1</v>
      </c>
      <c r="H395" s="272">
        <f t="shared" si="54"/>
        <v>0</v>
      </c>
      <c r="I395" s="272">
        <f t="shared" si="55"/>
        <v>1</v>
      </c>
      <c r="J395" s="278">
        <v>11</v>
      </c>
      <c r="K395" s="278">
        <f t="shared" si="56"/>
        <v>62</v>
      </c>
      <c r="L395" s="244"/>
    </row>
    <row r="396" spans="1:12" ht="2.1" customHeight="1">
      <c r="A396" s="455"/>
      <c r="B396" s="272">
        <f t="shared" si="48"/>
        <v>1</v>
      </c>
      <c r="C396" s="272">
        <f t="shared" si="49"/>
        <v>0</v>
      </c>
      <c r="D396" s="272">
        <f t="shared" si="50"/>
        <v>1</v>
      </c>
      <c r="E396" s="272">
        <f t="shared" si="51"/>
        <v>0</v>
      </c>
      <c r="F396" s="272">
        <f t="shared" si="52"/>
        <v>0</v>
      </c>
      <c r="G396" s="272">
        <f t="shared" si="53"/>
        <v>1</v>
      </c>
      <c r="H396" s="272">
        <f t="shared" si="54"/>
        <v>0</v>
      </c>
      <c r="I396" s="272">
        <f t="shared" si="55"/>
        <v>1</v>
      </c>
      <c r="J396" s="278">
        <v>10</v>
      </c>
      <c r="K396" s="278">
        <f t="shared" si="56"/>
        <v>57</v>
      </c>
      <c r="L396" s="244"/>
    </row>
    <row r="397" spans="1:12" ht="2.1" customHeight="1">
      <c r="A397" s="455"/>
      <c r="B397" s="272">
        <f t="shared" si="48"/>
        <v>1</v>
      </c>
      <c r="C397" s="272">
        <f t="shared" si="49"/>
        <v>0</v>
      </c>
      <c r="D397" s="272">
        <f t="shared" si="50"/>
        <v>1</v>
      </c>
      <c r="E397" s="272">
        <f t="shared" si="51"/>
        <v>0</v>
      </c>
      <c r="F397" s="272">
        <f t="shared" si="52"/>
        <v>0</v>
      </c>
      <c r="G397" s="272">
        <f t="shared" si="53"/>
        <v>1</v>
      </c>
      <c r="H397" s="272">
        <f t="shared" si="54"/>
        <v>0</v>
      </c>
      <c r="I397" s="272">
        <f t="shared" si="55"/>
        <v>1</v>
      </c>
      <c r="J397" s="278">
        <v>9</v>
      </c>
      <c r="K397" s="278">
        <f t="shared" si="56"/>
        <v>51</v>
      </c>
      <c r="L397" s="244"/>
    </row>
    <row r="398" spans="1:12" ht="2.1" customHeight="1">
      <c r="A398" s="455"/>
      <c r="B398" s="272">
        <f t="shared" si="48"/>
        <v>1</v>
      </c>
      <c r="C398" s="272">
        <f t="shared" si="49"/>
        <v>0</v>
      </c>
      <c r="D398" s="272">
        <f t="shared" si="50"/>
        <v>1</v>
      </c>
      <c r="E398" s="272">
        <f t="shared" si="51"/>
        <v>0</v>
      </c>
      <c r="F398" s="272">
        <f t="shared" si="52"/>
        <v>0</v>
      </c>
      <c r="G398" s="272">
        <f t="shared" si="53"/>
        <v>1</v>
      </c>
      <c r="H398" s="272">
        <f t="shared" si="54"/>
        <v>0</v>
      </c>
      <c r="I398" s="272">
        <f t="shared" si="55"/>
        <v>1</v>
      </c>
      <c r="J398" s="278">
        <v>8</v>
      </c>
      <c r="K398" s="278">
        <f t="shared" si="56"/>
        <v>45</v>
      </c>
      <c r="L398" s="244"/>
    </row>
    <row r="399" spans="1:12" ht="2.1" customHeight="1">
      <c r="A399" s="455"/>
      <c r="B399" s="272">
        <f t="shared" si="48"/>
        <v>1</v>
      </c>
      <c r="C399" s="272">
        <f t="shared" si="49"/>
        <v>0</v>
      </c>
      <c r="D399" s="272">
        <f t="shared" si="50"/>
        <v>1</v>
      </c>
      <c r="E399" s="272">
        <f t="shared" si="51"/>
        <v>0</v>
      </c>
      <c r="F399" s="272">
        <f t="shared" si="52"/>
        <v>0</v>
      </c>
      <c r="G399" s="272">
        <f t="shared" si="53"/>
        <v>1</v>
      </c>
      <c r="H399" s="272">
        <f t="shared" si="54"/>
        <v>0</v>
      </c>
      <c r="I399" s="272">
        <f t="shared" si="55"/>
        <v>1</v>
      </c>
      <c r="J399" s="278">
        <v>7</v>
      </c>
      <c r="K399" s="278">
        <f t="shared" si="56"/>
        <v>40</v>
      </c>
      <c r="L399" s="244"/>
    </row>
    <row r="400" spans="1:12" ht="2.1" customHeight="1">
      <c r="A400" s="455"/>
      <c r="B400" s="272">
        <f t="shared" si="48"/>
        <v>1</v>
      </c>
      <c r="C400" s="272">
        <f t="shared" si="49"/>
        <v>0</v>
      </c>
      <c r="D400" s="272">
        <f t="shared" si="50"/>
        <v>1</v>
      </c>
      <c r="E400" s="272">
        <f t="shared" si="51"/>
        <v>0</v>
      </c>
      <c r="F400" s="272">
        <f t="shared" si="52"/>
        <v>0</v>
      </c>
      <c r="G400" s="272">
        <f t="shared" si="53"/>
        <v>1</v>
      </c>
      <c r="H400" s="272">
        <f t="shared" si="54"/>
        <v>0</v>
      </c>
      <c r="I400" s="272">
        <f t="shared" si="55"/>
        <v>1</v>
      </c>
      <c r="J400" s="278">
        <v>6</v>
      </c>
      <c r="K400" s="278">
        <f t="shared" si="56"/>
        <v>34</v>
      </c>
      <c r="L400" s="244"/>
    </row>
    <row r="401" spans="1:12" ht="2.1" customHeight="1">
      <c r="A401" s="455"/>
      <c r="B401" s="272">
        <f t="shared" si="48"/>
        <v>1</v>
      </c>
      <c r="C401" s="272">
        <f t="shared" si="49"/>
        <v>0</v>
      </c>
      <c r="D401" s="272">
        <f t="shared" si="50"/>
        <v>1</v>
      </c>
      <c r="E401" s="272">
        <f t="shared" si="51"/>
        <v>0</v>
      </c>
      <c r="F401" s="272">
        <f t="shared" si="52"/>
        <v>0</v>
      </c>
      <c r="G401" s="272">
        <f t="shared" si="53"/>
        <v>1</v>
      </c>
      <c r="H401" s="272">
        <f t="shared" si="54"/>
        <v>0</v>
      </c>
      <c r="I401" s="272">
        <f t="shared" si="55"/>
        <v>1</v>
      </c>
      <c r="J401" s="278">
        <v>5</v>
      </c>
      <c r="K401" s="278">
        <f t="shared" si="56"/>
        <v>28</v>
      </c>
      <c r="L401" s="244"/>
    </row>
    <row r="402" spans="1:12" ht="2.1" customHeight="1">
      <c r="A402" s="455"/>
      <c r="B402" s="272">
        <f t="shared" si="48"/>
        <v>1</v>
      </c>
      <c r="C402" s="272">
        <f t="shared" si="49"/>
        <v>0</v>
      </c>
      <c r="D402" s="272">
        <f t="shared" si="50"/>
        <v>1</v>
      </c>
      <c r="E402" s="272">
        <f t="shared" si="51"/>
        <v>0</v>
      </c>
      <c r="F402" s="272">
        <f t="shared" si="52"/>
        <v>0</v>
      </c>
      <c r="G402" s="272">
        <f t="shared" si="53"/>
        <v>1</v>
      </c>
      <c r="H402" s="272">
        <f t="shared" si="54"/>
        <v>0</v>
      </c>
      <c r="I402" s="272">
        <f t="shared" si="55"/>
        <v>1</v>
      </c>
      <c r="J402" s="278">
        <v>4</v>
      </c>
      <c r="K402" s="278">
        <f t="shared" si="56"/>
        <v>23</v>
      </c>
      <c r="L402" s="244"/>
    </row>
    <row r="403" spans="1:12" ht="1.5" customHeight="1">
      <c r="A403" s="455"/>
      <c r="B403" s="272">
        <f t="shared" si="48"/>
        <v>1</v>
      </c>
      <c r="C403" s="272">
        <f t="shared" si="49"/>
        <v>0</v>
      </c>
      <c r="D403" s="272">
        <f t="shared" si="50"/>
        <v>1</v>
      </c>
      <c r="E403" s="272">
        <f t="shared" si="51"/>
        <v>0</v>
      </c>
      <c r="F403" s="272">
        <f t="shared" si="52"/>
        <v>0</v>
      </c>
      <c r="G403" s="272">
        <f t="shared" si="53"/>
        <v>1</v>
      </c>
      <c r="H403" s="272">
        <f t="shared" si="54"/>
        <v>0</v>
      </c>
      <c r="I403" s="272">
        <f t="shared" si="55"/>
        <v>1</v>
      </c>
      <c r="J403" s="278">
        <v>3</v>
      </c>
      <c r="K403" s="278">
        <f t="shared" si="56"/>
        <v>17</v>
      </c>
      <c r="L403" s="244"/>
    </row>
    <row r="404" spans="1:12" ht="2.1" customHeight="1">
      <c r="A404" s="455"/>
      <c r="B404" s="272">
        <f t="shared" si="48"/>
        <v>1</v>
      </c>
      <c r="C404" s="272">
        <f t="shared" si="49"/>
        <v>0</v>
      </c>
      <c r="D404" s="272">
        <f t="shared" si="50"/>
        <v>1</v>
      </c>
      <c r="E404" s="272">
        <f t="shared" si="51"/>
        <v>0</v>
      </c>
      <c r="F404" s="272">
        <f t="shared" si="52"/>
        <v>0</v>
      </c>
      <c r="G404" s="272">
        <f t="shared" si="53"/>
        <v>1</v>
      </c>
      <c r="H404" s="272">
        <f t="shared" si="54"/>
        <v>0</v>
      </c>
      <c r="I404" s="272">
        <f t="shared" si="55"/>
        <v>1</v>
      </c>
      <c r="J404" s="278">
        <v>2</v>
      </c>
      <c r="K404" s="278">
        <f t="shared" si="56"/>
        <v>11</v>
      </c>
      <c r="L404" s="244"/>
    </row>
    <row r="405" spans="1:12" ht="2.1" customHeight="1">
      <c r="A405" s="456"/>
      <c r="B405" s="273">
        <f t="shared" si="48"/>
        <v>1</v>
      </c>
      <c r="C405" s="273">
        <f t="shared" si="49"/>
        <v>0</v>
      </c>
      <c r="D405" s="273">
        <f t="shared" si="50"/>
        <v>1</v>
      </c>
      <c r="E405" s="273">
        <f t="shared" si="51"/>
        <v>0</v>
      </c>
      <c r="F405" s="273">
        <f t="shared" si="52"/>
        <v>0</v>
      </c>
      <c r="G405" s="273">
        <f t="shared" si="53"/>
        <v>1</v>
      </c>
      <c r="H405" s="273">
        <f t="shared" si="54"/>
        <v>0</v>
      </c>
      <c r="I405" s="273">
        <f t="shared" si="55"/>
        <v>1</v>
      </c>
      <c r="J405" s="278">
        <v>1</v>
      </c>
      <c r="K405" s="278">
        <f t="shared" si="56"/>
        <v>6</v>
      </c>
      <c r="L405" s="244"/>
    </row>
    <row r="406" spans="1:12">
      <c r="A406" s="251" t="s">
        <v>372</v>
      </c>
      <c r="B406" s="275" t="s">
        <v>143</v>
      </c>
      <c r="C406" s="276" t="s">
        <v>144</v>
      </c>
      <c r="D406" s="276" t="s">
        <v>145</v>
      </c>
      <c r="E406" s="276" t="s">
        <v>146</v>
      </c>
      <c r="F406" s="276" t="s">
        <v>147</v>
      </c>
      <c r="G406" s="276" t="s">
        <v>356</v>
      </c>
      <c r="H406" s="276" t="s">
        <v>357</v>
      </c>
      <c r="I406" s="276" t="s">
        <v>358</v>
      </c>
      <c r="J406" s="244"/>
      <c r="K406" s="244"/>
      <c r="L406" s="244"/>
    </row>
    <row r="407" spans="1:12" ht="17.25">
      <c r="A407" s="251" t="s">
        <v>378</v>
      </c>
      <c r="B407" s="274">
        <f>$I$7*1000/2</f>
        <v>3750</v>
      </c>
      <c r="C407" s="255">
        <f t="shared" ref="C407:I407" si="57">$I$7*1000/2</f>
        <v>3750</v>
      </c>
      <c r="D407" s="255">
        <f t="shared" si="57"/>
        <v>3750</v>
      </c>
      <c r="E407" s="255">
        <f t="shared" si="57"/>
        <v>3750</v>
      </c>
      <c r="F407" s="255">
        <f t="shared" si="57"/>
        <v>3750</v>
      </c>
      <c r="G407" s="255">
        <f t="shared" si="57"/>
        <v>3750</v>
      </c>
      <c r="H407" s="255">
        <f t="shared" si="57"/>
        <v>3750</v>
      </c>
      <c r="I407" s="255">
        <f t="shared" si="57"/>
        <v>3750</v>
      </c>
      <c r="J407" s="244"/>
      <c r="K407" s="244"/>
      <c r="L407" s="244"/>
    </row>
    <row r="408" spans="1:12" ht="2.1" customHeight="1">
      <c r="A408" s="454" t="s">
        <v>375</v>
      </c>
      <c r="B408" s="271">
        <f t="shared" ref="B408:B439" si="58">IF(VLOOKUP($B$406,$C$341:$G$348,5,0)&lt;K408,1,0)</f>
        <v>0</v>
      </c>
      <c r="C408" s="271">
        <f t="shared" ref="C408:C439" si="59">IF(VLOOKUP($C$406,$C$341:$G$348,5,0)&lt;K408,1,0)</f>
        <v>1</v>
      </c>
      <c r="D408" s="271">
        <f t="shared" ref="D408:D439" si="60">IF(VLOOKUP($D$406,$C$341:$G$348,5,0)&lt;K408,1,0)</f>
        <v>0</v>
      </c>
      <c r="E408" s="271">
        <f t="shared" ref="E408:E439" si="61">IF(VLOOKUP($E$406,$C$341:$G$348,5,0)&lt;K408,1,0)</f>
        <v>1</v>
      </c>
      <c r="F408" s="271">
        <f t="shared" ref="F408:F439" si="62">IF(VLOOKUP($F$406,$C$341:$G$348,5,0)&lt;K408,1,0)</f>
        <v>1</v>
      </c>
      <c r="G408" s="271">
        <f t="shared" ref="G408:G439" si="63">IF(VLOOKUP($G$406,$C$341:$G$348,5,0)&lt;K408,1,0)</f>
        <v>0</v>
      </c>
      <c r="H408" s="271">
        <f t="shared" ref="H408:H439" si="64">IF(VLOOKUP($H$406,$C$341:$G$348,5,0)&lt;K408,1,0)</f>
        <v>1</v>
      </c>
      <c r="I408" s="271">
        <f t="shared" ref="I408:I439" si="65">IF(VLOOKUP($I$406,$C$341:$G$348,5,0)&lt;K408,1,0)</f>
        <v>0</v>
      </c>
      <c r="J408" s="244">
        <v>1</v>
      </c>
      <c r="K408" s="244">
        <f t="shared" ref="K408:K439" si="66">ROUND(($G$350/49)*J408,0)</f>
        <v>-6</v>
      </c>
      <c r="L408" s="244"/>
    </row>
    <row r="409" spans="1:12" ht="2.1" customHeight="1">
      <c r="A409" s="455"/>
      <c r="B409" s="272">
        <f t="shared" si="58"/>
        <v>0</v>
      </c>
      <c r="C409" s="272">
        <f t="shared" si="59"/>
        <v>1</v>
      </c>
      <c r="D409" s="272">
        <f t="shared" si="60"/>
        <v>0</v>
      </c>
      <c r="E409" s="272">
        <f t="shared" si="61"/>
        <v>1</v>
      </c>
      <c r="F409" s="272">
        <f t="shared" si="62"/>
        <v>1</v>
      </c>
      <c r="G409" s="272">
        <f t="shared" si="63"/>
        <v>0</v>
      </c>
      <c r="H409" s="272">
        <f t="shared" si="64"/>
        <v>1</v>
      </c>
      <c r="I409" s="272">
        <f t="shared" si="65"/>
        <v>0</v>
      </c>
      <c r="J409" s="244">
        <v>2</v>
      </c>
      <c r="K409" s="244">
        <f t="shared" si="66"/>
        <v>-12</v>
      </c>
      <c r="L409" s="244"/>
    </row>
    <row r="410" spans="1:12" ht="2.1" customHeight="1">
      <c r="A410" s="455"/>
      <c r="B410" s="272">
        <f t="shared" si="58"/>
        <v>0</v>
      </c>
      <c r="C410" s="272">
        <f t="shared" si="59"/>
        <v>1</v>
      </c>
      <c r="D410" s="272">
        <f t="shared" si="60"/>
        <v>0</v>
      </c>
      <c r="E410" s="272">
        <f t="shared" si="61"/>
        <v>1</v>
      </c>
      <c r="F410" s="272">
        <f t="shared" si="62"/>
        <v>1</v>
      </c>
      <c r="G410" s="272">
        <f t="shared" si="63"/>
        <v>0</v>
      </c>
      <c r="H410" s="272">
        <f t="shared" si="64"/>
        <v>1</v>
      </c>
      <c r="I410" s="272">
        <f t="shared" si="65"/>
        <v>0</v>
      </c>
      <c r="J410" s="244">
        <v>3</v>
      </c>
      <c r="K410" s="244">
        <f t="shared" si="66"/>
        <v>-18</v>
      </c>
      <c r="L410" s="244"/>
    </row>
    <row r="411" spans="1:12" ht="2.1" customHeight="1">
      <c r="A411" s="455"/>
      <c r="B411" s="272">
        <f t="shared" si="58"/>
        <v>0</v>
      </c>
      <c r="C411" s="272">
        <f t="shared" si="59"/>
        <v>1</v>
      </c>
      <c r="D411" s="272">
        <f t="shared" si="60"/>
        <v>0</v>
      </c>
      <c r="E411" s="272">
        <f t="shared" si="61"/>
        <v>1</v>
      </c>
      <c r="F411" s="272">
        <f t="shared" si="62"/>
        <v>1</v>
      </c>
      <c r="G411" s="272">
        <f t="shared" si="63"/>
        <v>0</v>
      </c>
      <c r="H411" s="272">
        <f t="shared" si="64"/>
        <v>1</v>
      </c>
      <c r="I411" s="272">
        <f t="shared" si="65"/>
        <v>0</v>
      </c>
      <c r="J411" s="244">
        <v>4</v>
      </c>
      <c r="K411" s="244">
        <f t="shared" si="66"/>
        <v>-24</v>
      </c>
      <c r="L411" s="244"/>
    </row>
    <row r="412" spans="1:12" ht="2.1" customHeight="1">
      <c r="A412" s="455"/>
      <c r="B412" s="272">
        <f t="shared" si="58"/>
        <v>0</v>
      </c>
      <c r="C412" s="272">
        <f t="shared" si="59"/>
        <v>1</v>
      </c>
      <c r="D412" s="272">
        <f t="shared" si="60"/>
        <v>0</v>
      </c>
      <c r="E412" s="272">
        <f t="shared" si="61"/>
        <v>1</v>
      </c>
      <c r="F412" s="272">
        <f t="shared" si="62"/>
        <v>1</v>
      </c>
      <c r="G412" s="272">
        <f t="shared" si="63"/>
        <v>0</v>
      </c>
      <c r="H412" s="272">
        <f t="shared" si="64"/>
        <v>1</v>
      </c>
      <c r="I412" s="272">
        <f t="shared" si="65"/>
        <v>0</v>
      </c>
      <c r="J412" s="244">
        <v>5</v>
      </c>
      <c r="K412" s="244">
        <f t="shared" si="66"/>
        <v>-31</v>
      </c>
      <c r="L412" s="244"/>
    </row>
    <row r="413" spans="1:12" ht="2.1" customHeight="1">
      <c r="A413" s="455"/>
      <c r="B413" s="272">
        <f t="shared" si="58"/>
        <v>0</v>
      </c>
      <c r="C413" s="272">
        <f t="shared" si="59"/>
        <v>1</v>
      </c>
      <c r="D413" s="272">
        <f t="shared" si="60"/>
        <v>0</v>
      </c>
      <c r="E413" s="272">
        <f t="shared" si="61"/>
        <v>1</v>
      </c>
      <c r="F413" s="272">
        <f t="shared" si="62"/>
        <v>1</v>
      </c>
      <c r="G413" s="272">
        <f t="shared" si="63"/>
        <v>0</v>
      </c>
      <c r="H413" s="272">
        <f t="shared" si="64"/>
        <v>1</v>
      </c>
      <c r="I413" s="272">
        <f t="shared" si="65"/>
        <v>0</v>
      </c>
      <c r="J413" s="244">
        <v>6</v>
      </c>
      <c r="K413" s="244">
        <f t="shared" si="66"/>
        <v>-37</v>
      </c>
      <c r="L413" s="244"/>
    </row>
    <row r="414" spans="1:12" ht="2.1" customHeight="1">
      <c r="A414" s="455"/>
      <c r="B414" s="272">
        <f t="shared" si="58"/>
        <v>0</v>
      </c>
      <c r="C414" s="272">
        <f t="shared" si="59"/>
        <v>1</v>
      </c>
      <c r="D414" s="272">
        <f t="shared" si="60"/>
        <v>0</v>
      </c>
      <c r="E414" s="272">
        <f t="shared" si="61"/>
        <v>1</v>
      </c>
      <c r="F414" s="272">
        <f t="shared" si="62"/>
        <v>1</v>
      </c>
      <c r="G414" s="272">
        <f t="shared" si="63"/>
        <v>0</v>
      </c>
      <c r="H414" s="272">
        <f t="shared" si="64"/>
        <v>1</v>
      </c>
      <c r="I414" s="272">
        <f t="shared" si="65"/>
        <v>0</v>
      </c>
      <c r="J414" s="244">
        <v>7</v>
      </c>
      <c r="K414" s="244">
        <f t="shared" si="66"/>
        <v>-43</v>
      </c>
      <c r="L414" s="244"/>
    </row>
    <row r="415" spans="1:12" ht="2.1" customHeight="1">
      <c r="A415" s="455"/>
      <c r="B415" s="272">
        <f t="shared" si="58"/>
        <v>0</v>
      </c>
      <c r="C415" s="272">
        <f t="shared" si="59"/>
        <v>1</v>
      </c>
      <c r="D415" s="272">
        <f t="shared" si="60"/>
        <v>0</v>
      </c>
      <c r="E415" s="272">
        <f t="shared" si="61"/>
        <v>1</v>
      </c>
      <c r="F415" s="272">
        <f t="shared" si="62"/>
        <v>1</v>
      </c>
      <c r="G415" s="272">
        <f t="shared" si="63"/>
        <v>0</v>
      </c>
      <c r="H415" s="272">
        <f t="shared" si="64"/>
        <v>1</v>
      </c>
      <c r="I415" s="272">
        <f t="shared" si="65"/>
        <v>0</v>
      </c>
      <c r="J415" s="244">
        <v>8</v>
      </c>
      <c r="K415" s="244">
        <f t="shared" si="66"/>
        <v>-49</v>
      </c>
      <c r="L415" s="244"/>
    </row>
    <row r="416" spans="1:12" ht="2.1" customHeight="1">
      <c r="A416" s="455"/>
      <c r="B416" s="272">
        <f t="shared" si="58"/>
        <v>0</v>
      </c>
      <c r="C416" s="272">
        <f t="shared" si="59"/>
        <v>1</v>
      </c>
      <c r="D416" s="272">
        <f t="shared" si="60"/>
        <v>0</v>
      </c>
      <c r="E416" s="272">
        <f t="shared" si="61"/>
        <v>1</v>
      </c>
      <c r="F416" s="272">
        <f t="shared" si="62"/>
        <v>1</v>
      </c>
      <c r="G416" s="272">
        <f t="shared" si="63"/>
        <v>0</v>
      </c>
      <c r="H416" s="272">
        <f t="shared" si="64"/>
        <v>1</v>
      </c>
      <c r="I416" s="272">
        <f t="shared" si="65"/>
        <v>0</v>
      </c>
      <c r="J416" s="244">
        <v>9</v>
      </c>
      <c r="K416" s="244">
        <f t="shared" si="66"/>
        <v>-55</v>
      </c>
      <c r="L416" s="244"/>
    </row>
    <row r="417" spans="1:12" ht="2.1" customHeight="1">
      <c r="A417" s="455"/>
      <c r="B417" s="272">
        <f t="shared" si="58"/>
        <v>0</v>
      </c>
      <c r="C417" s="272">
        <f t="shared" si="59"/>
        <v>1</v>
      </c>
      <c r="D417" s="272">
        <f t="shared" si="60"/>
        <v>0</v>
      </c>
      <c r="E417" s="272">
        <f t="shared" si="61"/>
        <v>1</v>
      </c>
      <c r="F417" s="272">
        <f t="shared" si="62"/>
        <v>1</v>
      </c>
      <c r="G417" s="272">
        <f t="shared" si="63"/>
        <v>0</v>
      </c>
      <c r="H417" s="272">
        <f t="shared" si="64"/>
        <v>1</v>
      </c>
      <c r="I417" s="272">
        <f t="shared" si="65"/>
        <v>0</v>
      </c>
      <c r="J417" s="244">
        <v>10</v>
      </c>
      <c r="K417" s="244">
        <f t="shared" si="66"/>
        <v>-61</v>
      </c>
      <c r="L417" s="244"/>
    </row>
    <row r="418" spans="1:12" ht="2.1" customHeight="1">
      <c r="A418" s="455"/>
      <c r="B418" s="272">
        <f t="shared" si="58"/>
        <v>0</v>
      </c>
      <c r="C418" s="272">
        <f t="shared" si="59"/>
        <v>1</v>
      </c>
      <c r="D418" s="272">
        <f t="shared" si="60"/>
        <v>0</v>
      </c>
      <c r="E418" s="272">
        <f t="shared" si="61"/>
        <v>1</v>
      </c>
      <c r="F418" s="272">
        <f t="shared" si="62"/>
        <v>1</v>
      </c>
      <c r="G418" s="272">
        <f t="shared" si="63"/>
        <v>0</v>
      </c>
      <c r="H418" s="272">
        <f t="shared" si="64"/>
        <v>1</v>
      </c>
      <c r="I418" s="272">
        <f t="shared" si="65"/>
        <v>0</v>
      </c>
      <c r="J418" s="244">
        <v>11</v>
      </c>
      <c r="K418" s="244">
        <f t="shared" si="66"/>
        <v>-67</v>
      </c>
      <c r="L418" s="244"/>
    </row>
    <row r="419" spans="1:12" ht="2.1" customHeight="1">
      <c r="A419" s="455"/>
      <c r="B419" s="272">
        <f t="shared" si="58"/>
        <v>0</v>
      </c>
      <c r="C419" s="272">
        <f t="shared" si="59"/>
        <v>1</v>
      </c>
      <c r="D419" s="272">
        <f t="shared" si="60"/>
        <v>0</v>
      </c>
      <c r="E419" s="272">
        <f t="shared" si="61"/>
        <v>1</v>
      </c>
      <c r="F419" s="272">
        <f t="shared" si="62"/>
        <v>1</v>
      </c>
      <c r="G419" s="272">
        <f t="shared" si="63"/>
        <v>0</v>
      </c>
      <c r="H419" s="272">
        <f t="shared" si="64"/>
        <v>1</v>
      </c>
      <c r="I419" s="272">
        <f t="shared" si="65"/>
        <v>0</v>
      </c>
      <c r="J419" s="244">
        <v>12</v>
      </c>
      <c r="K419" s="244">
        <f t="shared" si="66"/>
        <v>-73</v>
      </c>
      <c r="L419" s="244"/>
    </row>
    <row r="420" spans="1:12" ht="2.1" customHeight="1">
      <c r="A420" s="455"/>
      <c r="B420" s="272">
        <f t="shared" si="58"/>
        <v>0</v>
      </c>
      <c r="C420" s="272">
        <f t="shared" si="59"/>
        <v>1</v>
      </c>
      <c r="D420" s="272">
        <f t="shared" si="60"/>
        <v>0</v>
      </c>
      <c r="E420" s="272">
        <f t="shared" si="61"/>
        <v>1</v>
      </c>
      <c r="F420" s="272">
        <f t="shared" si="62"/>
        <v>1</v>
      </c>
      <c r="G420" s="272">
        <f t="shared" si="63"/>
        <v>0</v>
      </c>
      <c r="H420" s="272">
        <f t="shared" si="64"/>
        <v>1</v>
      </c>
      <c r="I420" s="272">
        <f t="shared" si="65"/>
        <v>0</v>
      </c>
      <c r="J420" s="244">
        <v>13</v>
      </c>
      <c r="K420" s="244">
        <f t="shared" si="66"/>
        <v>-80</v>
      </c>
      <c r="L420" s="244"/>
    </row>
    <row r="421" spans="1:12" ht="2.1" customHeight="1">
      <c r="A421" s="455"/>
      <c r="B421" s="272">
        <f t="shared" si="58"/>
        <v>0</v>
      </c>
      <c r="C421" s="272">
        <f t="shared" si="59"/>
        <v>1</v>
      </c>
      <c r="D421" s="272">
        <f t="shared" si="60"/>
        <v>0</v>
      </c>
      <c r="E421" s="272">
        <f t="shared" si="61"/>
        <v>1</v>
      </c>
      <c r="F421" s="272">
        <f t="shared" si="62"/>
        <v>1</v>
      </c>
      <c r="G421" s="272">
        <f t="shared" si="63"/>
        <v>0</v>
      </c>
      <c r="H421" s="272">
        <f t="shared" si="64"/>
        <v>1</v>
      </c>
      <c r="I421" s="272">
        <f t="shared" si="65"/>
        <v>0</v>
      </c>
      <c r="J421" s="244">
        <v>14</v>
      </c>
      <c r="K421" s="244">
        <f t="shared" si="66"/>
        <v>-86</v>
      </c>
      <c r="L421" s="244"/>
    </row>
    <row r="422" spans="1:12" ht="2.1" customHeight="1">
      <c r="A422" s="455"/>
      <c r="B422" s="272">
        <f t="shared" si="58"/>
        <v>0</v>
      </c>
      <c r="C422" s="272">
        <f t="shared" si="59"/>
        <v>1</v>
      </c>
      <c r="D422" s="272">
        <f t="shared" si="60"/>
        <v>0</v>
      </c>
      <c r="E422" s="272">
        <f t="shared" si="61"/>
        <v>1</v>
      </c>
      <c r="F422" s="272">
        <f t="shared" si="62"/>
        <v>1</v>
      </c>
      <c r="G422" s="272">
        <f t="shared" si="63"/>
        <v>0</v>
      </c>
      <c r="H422" s="272">
        <f t="shared" si="64"/>
        <v>1</v>
      </c>
      <c r="I422" s="272">
        <f t="shared" si="65"/>
        <v>0</v>
      </c>
      <c r="J422" s="244">
        <v>15</v>
      </c>
      <c r="K422" s="244">
        <f t="shared" si="66"/>
        <v>-92</v>
      </c>
      <c r="L422" s="244"/>
    </row>
    <row r="423" spans="1:12" ht="2.1" customHeight="1">
      <c r="A423" s="455"/>
      <c r="B423" s="272">
        <f t="shared" si="58"/>
        <v>0</v>
      </c>
      <c r="C423" s="272">
        <f t="shared" si="59"/>
        <v>1</v>
      </c>
      <c r="D423" s="272">
        <f t="shared" si="60"/>
        <v>0</v>
      </c>
      <c r="E423" s="272">
        <f t="shared" si="61"/>
        <v>1</v>
      </c>
      <c r="F423" s="272">
        <f t="shared" si="62"/>
        <v>1</v>
      </c>
      <c r="G423" s="272">
        <f t="shared" si="63"/>
        <v>0</v>
      </c>
      <c r="H423" s="272">
        <f t="shared" si="64"/>
        <v>1</v>
      </c>
      <c r="I423" s="272">
        <f t="shared" si="65"/>
        <v>0</v>
      </c>
      <c r="J423" s="244">
        <v>16</v>
      </c>
      <c r="K423" s="244">
        <f t="shared" si="66"/>
        <v>-98</v>
      </c>
      <c r="L423" s="244"/>
    </row>
    <row r="424" spans="1:12" ht="2.1" customHeight="1">
      <c r="A424" s="455"/>
      <c r="B424" s="272">
        <f t="shared" si="58"/>
        <v>0</v>
      </c>
      <c r="C424" s="272">
        <f t="shared" si="59"/>
        <v>1</v>
      </c>
      <c r="D424" s="272">
        <f t="shared" si="60"/>
        <v>0</v>
      </c>
      <c r="E424" s="272">
        <f t="shared" si="61"/>
        <v>1</v>
      </c>
      <c r="F424" s="272">
        <f t="shared" si="62"/>
        <v>1</v>
      </c>
      <c r="G424" s="272">
        <f t="shared" si="63"/>
        <v>0</v>
      </c>
      <c r="H424" s="272">
        <f t="shared" si="64"/>
        <v>1</v>
      </c>
      <c r="I424" s="272">
        <f t="shared" si="65"/>
        <v>0</v>
      </c>
      <c r="J424" s="244">
        <v>17</v>
      </c>
      <c r="K424" s="244">
        <f t="shared" si="66"/>
        <v>-104</v>
      </c>
      <c r="L424" s="244"/>
    </row>
    <row r="425" spans="1:12" ht="2.1" customHeight="1">
      <c r="A425" s="455"/>
      <c r="B425" s="272">
        <f t="shared" si="58"/>
        <v>0</v>
      </c>
      <c r="C425" s="272">
        <f t="shared" si="59"/>
        <v>1</v>
      </c>
      <c r="D425" s="272">
        <f t="shared" si="60"/>
        <v>0</v>
      </c>
      <c r="E425" s="272">
        <f t="shared" si="61"/>
        <v>1</v>
      </c>
      <c r="F425" s="272">
        <f t="shared" si="62"/>
        <v>1</v>
      </c>
      <c r="G425" s="272">
        <f t="shared" si="63"/>
        <v>0</v>
      </c>
      <c r="H425" s="272">
        <f t="shared" si="64"/>
        <v>1</v>
      </c>
      <c r="I425" s="272">
        <f t="shared" si="65"/>
        <v>0</v>
      </c>
      <c r="J425" s="244">
        <v>18</v>
      </c>
      <c r="K425" s="244">
        <f t="shared" si="66"/>
        <v>-110</v>
      </c>
      <c r="L425" s="244"/>
    </row>
    <row r="426" spans="1:12" ht="2.1" customHeight="1">
      <c r="A426" s="455"/>
      <c r="B426" s="272">
        <f t="shared" si="58"/>
        <v>0</v>
      </c>
      <c r="C426" s="272">
        <f t="shared" si="59"/>
        <v>1</v>
      </c>
      <c r="D426" s="272">
        <f t="shared" si="60"/>
        <v>0</v>
      </c>
      <c r="E426" s="272">
        <f t="shared" si="61"/>
        <v>1</v>
      </c>
      <c r="F426" s="272">
        <f t="shared" si="62"/>
        <v>1</v>
      </c>
      <c r="G426" s="272">
        <f t="shared" si="63"/>
        <v>0</v>
      </c>
      <c r="H426" s="272">
        <f t="shared" si="64"/>
        <v>1</v>
      </c>
      <c r="I426" s="272">
        <f t="shared" si="65"/>
        <v>0</v>
      </c>
      <c r="J426" s="244">
        <v>19</v>
      </c>
      <c r="K426" s="244">
        <f t="shared" si="66"/>
        <v>-116</v>
      </c>
      <c r="L426" s="244"/>
    </row>
    <row r="427" spans="1:12" ht="2.1" customHeight="1">
      <c r="A427" s="455"/>
      <c r="B427" s="272">
        <f t="shared" si="58"/>
        <v>0</v>
      </c>
      <c r="C427" s="272">
        <f t="shared" si="59"/>
        <v>1</v>
      </c>
      <c r="D427" s="272">
        <f t="shared" si="60"/>
        <v>0</v>
      </c>
      <c r="E427" s="272">
        <f t="shared" si="61"/>
        <v>1</v>
      </c>
      <c r="F427" s="272">
        <f t="shared" si="62"/>
        <v>1</v>
      </c>
      <c r="G427" s="272">
        <f t="shared" si="63"/>
        <v>0</v>
      </c>
      <c r="H427" s="272">
        <f t="shared" si="64"/>
        <v>1</v>
      </c>
      <c r="I427" s="272">
        <f t="shared" si="65"/>
        <v>0</v>
      </c>
      <c r="J427" s="244">
        <v>20</v>
      </c>
      <c r="K427" s="244">
        <f t="shared" si="66"/>
        <v>-122</v>
      </c>
      <c r="L427" s="244"/>
    </row>
    <row r="428" spans="1:12" ht="2.1" customHeight="1">
      <c r="A428" s="455"/>
      <c r="B428" s="272">
        <f t="shared" si="58"/>
        <v>0</v>
      </c>
      <c r="C428" s="272">
        <f t="shared" si="59"/>
        <v>1</v>
      </c>
      <c r="D428" s="272">
        <f t="shared" si="60"/>
        <v>0</v>
      </c>
      <c r="E428" s="272">
        <f t="shared" si="61"/>
        <v>1</v>
      </c>
      <c r="F428" s="272">
        <f t="shared" si="62"/>
        <v>1</v>
      </c>
      <c r="G428" s="272">
        <f t="shared" si="63"/>
        <v>0</v>
      </c>
      <c r="H428" s="272">
        <f t="shared" si="64"/>
        <v>1</v>
      </c>
      <c r="I428" s="272">
        <f t="shared" si="65"/>
        <v>0</v>
      </c>
      <c r="J428" s="244">
        <v>21</v>
      </c>
      <c r="K428" s="244">
        <f t="shared" si="66"/>
        <v>-129</v>
      </c>
      <c r="L428" s="244"/>
    </row>
    <row r="429" spans="1:12" ht="2.1" customHeight="1">
      <c r="A429" s="455"/>
      <c r="B429" s="272">
        <f t="shared" si="58"/>
        <v>0</v>
      </c>
      <c r="C429" s="272">
        <f t="shared" si="59"/>
        <v>1</v>
      </c>
      <c r="D429" s="272">
        <f t="shared" si="60"/>
        <v>0</v>
      </c>
      <c r="E429" s="272">
        <f t="shared" si="61"/>
        <v>1</v>
      </c>
      <c r="F429" s="272">
        <f t="shared" si="62"/>
        <v>1</v>
      </c>
      <c r="G429" s="272">
        <f t="shared" si="63"/>
        <v>0</v>
      </c>
      <c r="H429" s="272">
        <f t="shared" si="64"/>
        <v>1</v>
      </c>
      <c r="I429" s="272">
        <f t="shared" si="65"/>
        <v>0</v>
      </c>
      <c r="J429" s="244">
        <v>22</v>
      </c>
      <c r="K429" s="244">
        <f t="shared" si="66"/>
        <v>-135</v>
      </c>
      <c r="L429" s="244"/>
    </row>
    <row r="430" spans="1:12" ht="2.1" customHeight="1">
      <c r="A430" s="455"/>
      <c r="B430" s="272">
        <f t="shared" si="58"/>
        <v>0</v>
      </c>
      <c r="C430" s="272">
        <f t="shared" si="59"/>
        <v>1</v>
      </c>
      <c r="D430" s="272">
        <f t="shared" si="60"/>
        <v>0</v>
      </c>
      <c r="E430" s="272">
        <f t="shared" si="61"/>
        <v>1</v>
      </c>
      <c r="F430" s="272">
        <f t="shared" si="62"/>
        <v>1</v>
      </c>
      <c r="G430" s="272">
        <f t="shared" si="63"/>
        <v>0</v>
      </c>
      <c r="H430" s="272">
        <f t="shared" si="64"/>
        <v>1</v>
      </c>
      <c r="I430" s="272">
        <f t="shared" si="65"/>
        <v>0</v>
      </c>
      <c r="J430" s="244">
        <v>23</v>
      </c>
      <c r="K430" s="244">
        <f t="shared" si="66"/>
        <v>-141</v>
      </c>
      <c r="L430" s="244"/>
    </row>
    <row r="431" spans="1:12" ht="2.1" customHeight="1">
      <c r="A431" s="455"/>
      <c r="B431" s="272">
        <f t="shared" si="58"/>
        <v>0</v>
      </c>
      <c r="C431" s="272">
        <f t="shared" si="59"/>
        <v>1</v>
      </c>
      <c r="D431" s="272">
        <f t="shared" si="60"/>
        <v>0</v>
      </c>
      <c r="E431" s="272">
        <f t="shared" si="61"/>
        <v>1</v>
      </c>
      <c r="F431" s="272">
        <f t="shared" si="62"/>
        <v>1</v>
      </c>
      <c r="G431" s="272">
        <f t="shared" si="63"/>
        <v>0</v>
      </c>
      <c r="H431" s="272">
        <f t="shared" si="64"/>
        <v>1</v>
      </c>
      <c r="I431" s="272">
        <f t="shared" si="65"/>
        <v>0</v>
      </c>
      <c r="J431" s="244">
        <v>24</v>
      </c>
      <c r="K431" s="244">
        <f t="shared" si="66"/>
        <v>-147</v>
      </c>
      <c r="L431" s="244"/>
    </row>
    <row r="432" spans="1:12" ht="2.1" customHeight="1">
      <c r="A432" s="455"/>
      <c r="B432" s="272">
        <f t="shared" si="58"/>
        <v>0</v>
      </c>
      <c r="C432" s="272">
        <f t="shared" si="59"/>
        <v>1</v>
      </c>
      <c r="D432" s="272">
        <f t="shared" si="60"/>
        <v>0</v>
      </c>
      <c r="E432" s="272">
        <f t="shared" si="61"/>
        <v>1</v>
      </c>
      <c r="F432" s="272">
        <f t="shared" si="62"/>
        <v>1</v>
      </c>
      <c r="G432" s="272">
        <f t="shared" si="63"/>
        <v>0</v>
      </c>
      <c r="H432" s="272">
        <f t="shared" si="64"/>
        <v>1</v>
      </c>
      <c r="I432" s="272">
        <f t="shared" si="65"/>
        <v>0</v>
      </c>
      <c r="J432" s="244">
        <v>25</v>
      </c>
      <c r="K432" s="244">
        <f t="shared" si="66"/>
        <v>-153</v>
      </c>
      <c r="L432" s="244"/>
    </row>
    <row r="433" spans="1:12" ht="2.1" customHeight="1">
      <c r="A433" s="455"/>
      <c r="B433" s="272">
        <f t="shared" si="58"/>
        <v>0</v>
      </c>
      <c r="C433" s="272">
        <f t="shared" si="59"/>
        <v>1</v>
      </c>
      <c r="D433" s="272">
        <f t="shared" si="60"/>
        <v>0</v>
      </c>
      <c r="E433" s="272">
        <f t="shared" si="61"/>
        <v>1</v>
      </c>
      <c r="F433" s="272">
        <f t="shared" si="62"/>
        <v>1</v>
      </c>
      <c r="G433" s="272">
        <f t="shared" si="63"/>
        <v>0</v>
      </c>
      <c r="H433" s="272">
        <f t="shared" si="64"/>
        <v>1</v>
      </c>
      <c r="I433" s="272">
        <f t="shared" si="65"/>
        <v>0</v>
      </c>
      <c r="J433" s="244">
        <v>26</v>
      </c>
      <c r="K433" s="244">
        <f t="shared" si="66"/>
        <v>-159</v>
      </c>
      <c r="L433" s="244"/>
    </row>
    <row r="434" spans="1:12" ht="2.1" customHeight="1">
      <c r="A434" s="455"/>
      <c r="B434" s="272">
        <f t="shared" si="58"/>
        <v>0</v>
      </c>
      <c r="C434" s="272">
        <f t="shared" si="59"/>
        <v>1</v>
      </c>
      <c r="D434" s="272">
        <f t="shared" si="60"/>
        <v>0</v>
      </c>
      <c r="E434" s="272">
        <f t="shared" si="61"/>
        <v>1</v>
      </c>
      <c r="F434" s="272">
        <f t="shared" si="62"/>
        <v>1</v>
      </c>
      <c r="G434" s="272">
        <f t="shared" si="63"/>
        <v>0</v>
      </c>
      <c r="H434" s="272">
        <f t="shared" si="64"/>
        <v>1</v>
      </c>
      <c r="I434" s="272">
        <f t="shared" si="65"/>
        <v>0</v>
      </c>
      <c r="J434" s="244">
        <v>27</v>
      </c>
      <c r="K434" s="244">
        <f t="shared" si="66"/>
        <v>-165</v>
      </c>
      <c r="L434" s="244"/>
    </row>
    <row r="435" spans="1:12" ht="2.1" customHeight="1">
      <c r="A435" s="455"/>
      <c r="B435" s="272">
        <f t="shared" si="58"/>
        <v>0</v>
      </c>
      <c r="C435" s="272">
        <f t="shared" si="59"/>
        <v>1</v>
      </c>
      <c r="D435" s="272">
        <f t="shared" si="60"/>
        <v>0</v>
      </c>
      <c r="E435" s="272">
        <f t="shared" si="61"/>
        <v>1</v>
      </c>
      <c r="F435" s="272">
        <f t="shared" si="62"/>
        <v>1</v>
      </c>
      <c r="G435" s="272">
        <f t="shared" si="63"/>
        <v>0</v>
      </c>
      <c r="H435" s="272">
        <f t="shared" si="64"/>
        <v>1</v>
      </c>
      <c r="I435" s="272">
        <f t="shared" si="65"/>
        <v>0</v>
      </c>
      <c r="J435" s="244">
        <v>28</v>
      </c>
      <c r="K435" s="244">
        <f t="shared" si="66"/>
        <v>-171</v>
      </c>
      <c r="L435" s="244"/>
    </row>
    <row r="436" spans="1:12" ht="2.1" customHeight="1">
      <c r="A436" s="455"/>
      <c r="B436" s="272">
        <f t="shared" si="58"/>
        <v>0</v>
      </c>
      <c r="C436" s="272">
        <f t="shared" si="59"/>
        <v>1</v>
      </c>
      <c r="D436" s="272">
        <f t="shared" si="60"/>
        <v>0</v>
      </c>
      <c r="E436" s="272">
        <f t="shared" si="61"/>
        <v>1</v>
      </c>
      <c r="F436" s="272">
        <f t="shared" si="62"/>
        <v>1</v>
      </c>
      <c r="G436" s="272">
        <f t="shared" si="63"/>
        <v>0</v>
      </c>
      <c r="H436" s="272">
        <f t="shared" si="64"/>
        <v>1</v>
      </c>
      <c r="I436" s="272">
        <f t="shared" si="65"/>
        <v>0</v>
      </c>
      <c r="J436" s="244">
        <v>29</v>
      </c>
      <c r="K436" s="244">
        <f t="shared" si="66"/>
        <v>-178</v>
      </c>
      <c r="L436" s="244"/>
    </row>
    <row r="437" spans="1:12" ht="2.1" customHeight="1">
      <c r="A437" s="455"/>
      <c r="B437" s="272">
        <f t="shared" si="58"/>
        <v>0</v>
      </c>
      <c r="C437" s="272">
        <f t="shared" si="59"/>
        <v>1</v>
      </c>
      <c r="D437" s="272">
        <f t="shared" si="60"/>
        <v>0</v>
      </c>
      <c r="E437" s="272">
        <f t="shared" si="61"/>
        <v>1</v>
      </c>
      <c r="F437" s="272">
        <f t="shared" si="62"/>
        <v>1</v>
      </c>
      <c r="G437" s="272">
        <f t="shared" si="63"/>
        <v>0</v>
      </c>
      <c r="H437" s="272">
        <f t="shared" si="64"/>
        <v>1</v>
      </c>
      <c r="I437" s="272">
        <f t="shared" si="65"/>
        <v>0</v>
      </c>
      <c r="J437" s="244">
        <v>30</v>
      </c>
      <c r="K437" s="244">
        <f t="shared" si="66"/>
        <v>-184</v>
      </c>
      <c r="L437" s="244"/>
    </row>
    <row r="438" spans="1:12" ht="2.1" customHeight="1">
      <c r="A438" s="455"/>
      <c r="B438" s="272">
        <f t="shared" si="58"/>
        <v>0</v>
      </c>
      <c r="C438" s="272">
        <f t="shared" si="59"/>
        <v>1</v>
      </c>
      <c r="D438" s="272">
        <f t="shared" si="60"/>
        <v>0</v>
      </c>
      <c r="E438" s="272">
        <f t="shared" si="61"/>
        <v>1</v>
      </c>
      <c r="F438" s="272">
        <f t="shared" si="62"/>
        <v>1</v>
      </c>
      <c r="G438" s="272">
        <f t="shared" si="63"/>
        <v>0</v>
      </c>
      <c r="H438" s="272">
        <f t="shared" si="64"/>
        <v>1</v>
      </c>
      <c r="I438" s="272">
        <f t="shared" si="65"/>
        <v>0</v>
      </c>
      <c r="J438" s="244">
        <v>31</v>
      </c>
      <c r="K438" s="244">
        <f t="shared" si="66"/>
        <v>-190</v>
      </c>
      <c r="L438" s="244"/>
    </row>
    <row r="439" spans="1:12" ht="2.1" customHeight="1">
      <c r="A439" s="455"/>
      <c r="B439" s="272">
        <f t="shared" si="58"/>
        <v>0</v>
      </c>
      <c r="C439" s="272">
        <f t="shared" si="59"/>
        <v>1</v>
      </c>
      <c r="D439" s="272">
        <f t="shared" si="60"/>
        <v>0</v>
      </c>
      <c r="E439" s="272">
        <f t="shared" si="61"/>
        <v>1</v>
      </c>
      <c r="F439" s="272">
        <f t="shared" si="62"/>
        <v>1</v>
      </c>
      <c r="G439" s="272">
        <f t="shared" si="63"/>
        <v>0</v>
      </c>
      <c r="H439" s="272">
        <f t="shared" si="64"/>
        <v>1</v>
      </c>
      <c r="I439" s="272">
        <f t="shared" si="65"/>
        <v>0</v>
      </c>
      <c r="J439" s="244">
        <v>32</v>
      </c>
      <c r="K439" s="244">
        <f t="shared" si="66"/>
        <v>-196</v>
      </c>
      <c r="L439" s="244"/>
    </row>
    <row r="440" spans="1:12" ht="2.1" customHeight="1">
      <c r="A440" s="455"/>
      <c r="B440" s="272">
        <f t="shared" ref="B440:B459" si="67">IF(VLOOKUP($B$406,$C$341:$G$348,5,0)&lt;K440,1,0)</f>
        <v>0</v>
      </c>
      <c r="C440" s="272">
        <f t="shared" ref="C440:C459" si="68">IF(VLOOKUP($C$406,$C$341:$G$348,5,0)&lt;K440,1,0)</f>
        <v>1</v>
      </c>
      <c r="D440" s="272">
        <f t="shared" ref="D440:D459" si="69">IF(VLOOKUP($D$406,$C$341:$G$348,5,0)&lt;K440,1,0)</f>
        <v>0</v>
      </c>
      <c r="E440" s="272">
        <f t="shared" ref="E440:E459" si="70">IF(VLOOKUP($E$406,$C$341:$G$348,5,0)&lt;K440,1,0)</f>
        <v>1</v>
      </c>
      <c r="F440" s="272">
        <f t="shared" ref="F440:F459" si="71">IF(VLOOKUP($F$406,$C$341:$G$348,5,0)&lt;K440,1,0)</f>
        <v>1</v>
      </c>
      <c r="G440" s="272">
        <f t="shared" ref="G440:G459" si="72">IF(VLOOKUP($G$406,$C$341:$G$348,5,0)&lt;K440,1,0)</f>
        <v>0</v>
      </c>
      <c r="H440" s="272">
        <f t="shared" ref="H440:H459" si="73">IF(VLOOKUP($H$406,$C$341:$G$348,5,0)&lt;K440,1,0)</f>
        <v>1</v>
      </c>
      <c r="I440" s="272">
        <f t="shared" ref="I440:I459" si="74">IF(VLOOKUP($I$406,$C$341:$G$348,5,0)&lt;K440,1,0)</f>
        <v>0</v>
      </c>
      <c r="J440" s="244">
        <v>33</v>
      </c>
      <c r="K440" s="244">
        <f t="shared" ref="K440:K459" si="75">ROUND(($G$350/49)*J440,0)</f>
        <v>-202</v>
      </c>
      <c r="L440" s="244"/>
    </row>
    <row r="441" spans="1:12" ht="2.1" customHeight="1">
      <c r="A441" s="455"/>
      <c r="B441" s="272">
        <f t="shared" si="67"/>
        <v>0</v>
      </c>
      <c r="C441" s="272">
        <f t="shared" si="68"/>
        <v>1</v>
      </c>
      <c r="D441" s="272">
        <f t="shared" si="69"/>
        <v>0</v>
      </c>
      <c r="E441" s="272">
        <f t="shared" si="70"/>
        <v>1</v>
      </c>
      <c r="F441" s="272">
        <f t="shared" si="71"/>
        <v>1</v>
      </c>
      <c r="G441" s="272">
        <f t="shared" si="72"/>
        <v>0</v>
      </c>
      <c r="H441" s="272">
        <f t="shared" si="73"/>
        <v>1</v>
      </c>
      <c r="I441" s="272">
        <f t="shared" si="74"/>
        <v>0</v>
      </c>
      <c r="J441" s="244">
        <v>34</v>
      </c>
      <c r="K441" s="244">
        <f t="shared" si="75"/>
        <v>-208</v>
      </c>
      <c r="L441" s="244"/>
    </row>
    <row r="442" spans="1:12" ht="2.1" customHeight="1">
      <c r="A442" s="455"/>
      <c r="B442" s="272">
        <f t="shared" si="67"/>
        <v>0</v>
      </c>
      <c r="C442" s="272">
        <f t="shared" si="68"/>
        <v>1</v>
      </c>
      <c r="D442" s="272">
        <f t="shared" si="69"/>
        <v>0</v>
      </c>
      <c r="E442" s="272">
        <f t="shared" si="70"/>
        <v>1</v>
      </c>
      <c r="F442" s="272">
        <f t="shared" si="71"/>
        <v>1</v>
      </c>
      <c r="G442" s="272">
        <f t="shared" si="72"/>
        <v>0</v>
      </c>
      <c r="H442" s="272">
        <f t="shared" si="73"/>
        <v>1</v>
      </c>
      <c r="I442" s="272">
        <f t="shared" si="74"/>
        <v>0</v>
      </c>
      <c r="J442" s="244">
        <v>35</v>
      </c>
      <c r="K442" s="244">
        <f t="shared" si="75"/>
        <v>-214</v>
      </c>
      <c r="L442" s="244"/>
    </row>
    <row r="443" spans="1:12" ht="2.1" customHeight="1">
      <c r="A443" s="455"/>
      <c r="B443" s="272">
        <f t="shared" si="67"/>
        <v>0</v>
      </c>
      <c r="C443" s="272">
        <f t="shared" si="68"/>
        <v>1</v>
      </c>
      <c r="D443" s="272">
        <f t="shared" si="69"/>
        <v>0</v>
      </c>
      <c r="E443" s="272">
        <f t="shared" si="70"/>
        <v>1</v>
      </c>
      <c r="F443" s="272">
        <f t="shared" si="71"/>
        <v>1</v>
      </c>
      <c r="G443" s="272">
        <f t="shared" si="72"/>
        <v>0</v>
      </c>
      <c r="H443" s="272">
        <f t="shared" si="73"/>
        <v>1</v>
      </c>
      <c r="I443" s="272">
        <f t="shared" si="74"/>
        <v>0</v>
      </c>
      <c r="J443" s="244">
        <v>36</v>
      </c>
      <c r="K443" s="244">
        <f t="shared" si="75"/>
        <v>-220</v>
      </c>
      <c r="L443" s="244"/>
    </row>
    <row r="444" spans="1:12" ht="2.1" customHeight="1">
      <c r="A444" s="455"/>
      <c r="B444" s="272">
        <f t="shared" si="67"/>
        <v>0</v>
      </c>
      <c r="C444" s="272">
        <f t="shared" si="68"/>
        <v>1</v>
      </c>
      <c r="D444" s="272">
        <f t="shared" si="69"/>
        <v>0</v>
      </c>
      <c r="E444" s="272">
        <f t="shared" si="70"/>
        <v>1</v>
      </c>
      <c r="F444" s="272">
        <f t="shared" si="71"/>
        <v>1</v>
      </c>
      <c r="G444" s="272">
        <f t="shared" si="72"/>
        <v>0</v>
      </c>
      <c r="H444" s="272">
        <f t="shared" si="73"/>
        <v>1</v>
      </c>
      <c r="I444" s="272">
        <f t="shared" si="74"/>
        <v>0</v>
      </c>
      <c r="J444" s="244">
        <v>37</v>
      </c>
      <c r="K444" s="244">
        <f t="shared" si="75"/>
        <v>-227</v>
      </c>
      <c r="L444" s="244"/>
    </row>
    <row r="445" spans="1:12" ht="2.1" customHeight="1">
      <c r="A445" s="455"/>
      <c r="B445" s="272">
        <f t="shared" si="67"/>
        <v>0</v>
      </c>
      <c r="C445" s="272">
        <f t="shared" si="68"/>
        <v>1</v>
      </c>
      <c r="D445" s="272">
        <f t="shared" si="69"/>
        <v>0</v>
      </c>
      <c r="E445" s="272">
        <f t="shared" si="70"/>
        <v>1</v>
      </c>
      <c r="F445" s="272">
        <f t="shared" si="71"/>
        <v>1</v>
      </c>
      <c r="G445" s="272">
        <f t="shared" si="72"/>
        <v>0</v>
      </c>
      <c r="H445" s="272">
        <f t="shared" si="73"/>
        <v>1</v>
      </c>
      <c r="I445" s="272">
        <f t="shared" si="74"/>
        <v>0</v>
      </c>
      <c r="J445" s="244">
        <v>38</v>
      </c>
      <c r="K445" s="244">
        <f t="shared" si="75"/>
        <v>-233</v>
      </c>
      <c r="L445" s="244"/>
    </row>
    <row r="446" spans="1:12" ht="2.1" customHeight="1">
      <c r="A446" s="455"/>
      <c r="B446" s="272">
        <f t="shared" si="67"/>
        <v>0</v>
      </c>
      <c r="C446" s="272">
        <f t="shared" si="68"/>
        <v>1</v>
      </c>
      <c r="D446" s="272">
        <f t="shared" si="69"/>
        <v>0</v>
      </c>
      <c r="E446" s="272">
        <f t="shared" si="70"/>
        <v>1</v>
      </c>
      <c r="F446" s="272">
        <f t="shared" si="71"/>
        <v>1</v>
      </c>
      <c r="G446" s="272">
        <f t="shared" si="72"/>
        <v>0</v>
      </c>
      <c r="H446" s="272">
        <f t="shared" si="73"/>
        <v>1</v>
      </c>
      <c r="I446" s="272">
        <f t="shared" si="74"/>
        <v>0</v>
      </c>
      <c r="J446" s="244">
        <v>39</v>
      </c>
      <c r="K446" s="244">
        <f t="shared" si="75"/>
        <v>-239</v>
      </c>
      <c r="L446" s="244"/>
    </row>
    <row r="447" spans="1:12" ht="2.1" customHeight="1">
      <c r="A447" s="455"/>
      <c r="B447" s="272">
        <f t="shared" si="67"/>
        <v>0</v>
      </c>
      <c r="C447" s="272">
        <f t="shared" si="68"/>
        <v>1</v>
      </c>
      <c r="D447" s="272">
        <f t="shared" si="69"/>
        <v>0</v>
      </c>
      <c r="E447" s="272">
        <f t="shared" si="70"/>
        <v>1</v>
      </c>
      <c r="F447" s="272">
        <f t="shared" si="71"/>
        <v>1</v>
      </c>
      <c r="G447" s="272">
        <f t="shared" si="72"/>
        <v>0</v>
      </c>
      <c r="H447" s="272">
        <f t="shared" si="73"/>
        <v>1</v>
      </c>
      <c r="I447" s="272">
        <f t="shared" si="74"/>
        <v>0</v>
      </c>
      <c r="J447" s="244">
        <v>40</v>
      </c>
      <c r="K447" s="244">
        <f t="shared" si="75"/>
        <v>-245</v>
      </c>
      <c r="L447" s="244"/>
    </row>
    <row r="448" spans="1:12" ht="2.1" customHeight="1">
      <c r="A448" s="455"/>
      <c r="B448" s="272">
        <f t="shared" si="67"/>
        <v>0</v>
      </c>
      <c r="C448" s="272">
        <f t="shared" si="68"/>
        <v>1</v>
      </c>
      <c r="D448" s="272">
        <f t="shared" si="69"/>
        <v>0</v>
      </c>
      <c r="E448" s="272">
        <f t="shared" si="70"/>
        <v>0</v>
      </c>
      <c r="F448" s="272">
        <f t="shared" si="71"/>
        <v>0</v>
      </c>
      <c r="G448" s="272">
        <f t="shared" si="72"/>
        <v>0</v>
      </c>
      <c r="H448" s="272">
        <f t="shared" si="73"/>
        <v>1</v>
      </c>
      <c r="I448" s="272">
        <f t="shared" si="74"/>
        <v>0</v>
      </c>
      <c r="J448" s="244">
        <v>41</v>
      </c>
      <c r="K448" s="244">
        <f t="shared" si="75"/>
        <v>-251</v>
      </c>
      <c r="L448" s="244"/>
    </row>
    <row r="449" spans="1:12" ht="2.1" customHeight="1">
      <c r="A449" s="455"/>
      <c r="B449" s="272">
        <f t="shared" si="67"/>
        <v>0</v>
      </c>
      <c r="C449" s="272">
        <f t="shared" si="68"/>
        <v>1</v>
      </c>
      <c r="D449" s="272">
        <f t="shared" si="69"/>
        <v>0</v>
      </c>
      <c r="E449" s="272">
        <f t="shared" si="70"/>
        <v>0</v>
      </c>
      <c r="F449" s="272">
        <f t="shared" si="71"/>
        <v>0</v>
      </c>
      <c r="G449" s="272">
        <f t="shared" si="72"/>
        <v>0</v>
      </c>
      <c r="H449" s="272">
        <f t="shared" si="73"/>
        <v>1</v>
      </c>
      <c r="I449" s="272">
        <f t="shared" si="74"/>
        <v>0</v>
      </c>
      <c r="J449" s="244">
        <v>42</v>
      </c>
      <c r="K449" s="244">
        <f t="shared" si="75"/>
        <v>-257</v>
      </c>
      <c r="L449" s="244"/>
    </row>
    <row r="450" spans="1:12" ht="2.1" customHeight="1">
      <c r="A450" s="455"/>
      <c r="B450" s="272">
        <f t="shared" si="67"/>
        <v>0</v>
      </c>
      <c r="C450" s="272">
        <f t="shared" si="68"/>
        <v>1</v>
      </c>
      <c r="D450" s="272">
        <f t="shared" si="69"/>
        <v>0</v>
      </c>
      <c r="E450" s="272">
        <f t="shared" si="70"/>
        <v>0</v>
      </c>
      <c r="F450" s="272">
        <f t="shared" si="71"/>
        <v>0</v>
      </c>
      <c r="G450" s="272">
        <f t="shared" si="72"/>
        <v>0</v>
      </c>
      <c r="H450" s="272">
        <f t="shared" si="73"/>
        <v>1</v>
      </c>
      <c r="I450" s="272">
        <f t="shared" si="74"/>
        <v>0</v>
      </c>
      <c r="J450" s="244">
        <v>43</v>
      </c>
      <c r="K450" s="244">
        <f t="shared" si="75"/>
        <v>-263</v>
      </c>
      <c r="L450" s="244"/>
    </row>
    <row r="451" spans="1:12" ht="2.1" customHeight="1">
      <c r="A451" s="455"/>
      <c r="B451" s="272">
        <f t="shared" si="67"/>
        <v>0</v>
      </c>
      <c r="C451" s="272">
        <f t="shared" si="68"/>
        <v>1</v>
      </c>
      <c r="D451" s="272">
        <f t="shared" si="69"/>
        <v>0</v>
      </c>
      <c r="E451" s="272">
        <f t="shared" si="70"/>
        <v>0</v>
      </c>
      <c r="F451" s="272">
        <f t="shared" si="71"/>
        <v>0</v>
      </c>
      <c r="G451" s="272">
        <f t="shared" si="72"/>
        <v>0</v>
      </c>
      <c r="H451" s="272">
        <f t="shared" si="73"/>
        <v>1</v>
      </c>
      <c r="I451" s="272">
        <f t="shared" si="74"/>
        <v>0</v>
      </c>
      <c r="J451" s="244">
        <v>44</v>
      </c>
      <c r="K451" s="244">
        <f t="shared" si="75"/>
        <v>-269</v>
      </c>
      <c r="L451" s="244"/>
    </row>
    <row r="452" spans="1:12" ht="2.1" customHeight="1">
      <c r="A452" s="455"/>
      <c r="B452" s="272">
        <f t="shared" si="67"/>
        <v>0</v>
      </c>
      <c r="C452" s="272">
        <f t="shared" si="68"/>
        <v>1</v>
      </c>
      <c r="D452" s="272">
        <f t="shared" si="69"/>
        <v>0</v>
      </c>
      <c r="E452" s="272">
        <f t="shared" si="70"/>
        <v>0</v>
      </c>
      <c r="F452" s="272">
        <f t="shared" si="71"/>
        <v>0</v>
      </c>
      <c r="G452" s="272">
        <f t="shared" si="72"/>
        <v>0</v>
      </c>
      <c r="H452" s="272">
        <f t="shared" si="73"/>
        <v>1</v>
      </c>
      <c r="I452" s="272">
        <f t="shared" si="74"/>
        <v>0</v>
      </c>
      <c r="J452" s="244">
        <v>45</v>
      </c>
      <c r="K452" s="244">
        <f t="shared" si="75"/>
        <v>-276</v>
      </c>
      <c r="L452" s="244"/>
    </row>
    <row r="453" spans="1:12" ht="2.1" customHeight="1">
      <c r="A453" s="455"/>
      <c r="B453" s="272">
        <f t="shared" si="67"/>
        <v>0</v>
      </c>
      <c r="C453" s="272">
        <f t="shared" si="68"/>
        <v>1</v>
      </c>
      <c r="D453" s="272">
        <f t="shared" si="69"/>
        <v>0</v>
      </c>
      <c r="E453" s="272">
        <f t="shared" si="70"/>
        <v>0</v>
      </c>
      <c r="F453" s="272">
        <f t="shared" si="71"/>
        <v>0</v>
      </c>
      <c r="G453" s="272">
        <f t="shared" si="72"/>
        <v>0</v>
      </c>
      <c r="H453" s="272">
        <f t="shared" si="73"/>
        <v>1</v>
      </c>
      <c r="I453" s="272">
        <f t="shared" si="74"/>
        <v>0</v>
      </c>
      <c r="J453" s="244">
        <v>46</v>
      </c>
      <c r="K453" s="244">
        <f t="shared" si="75"/>
        <v>-282</v>
      </c>
      <c r="L453" s="244"/>
    </row>
    <row r="454" spans="1:12" ht="2.1" customHeight="1">
      <c r="A454" s="455"/>
      <c r="B454" s="272">
        <f t="shared" si="67"/>
        <v>0</v>
      </c>
      <c r="C454" s="272">
        <f t="shared" si="68"/>
        <v>1</v>
      </c>
      <c r="D454" s="272">
        <f t="shared" si="69"/>
        <v>0</v>
      </c>
      <c r="E454" s="272">
        <f t="shared" si="70"/>
        <v>0</v>
      </c>
      <c r="F454" s="272">
        <f t="shared" si="71"/>
        <v>0</v>
      </c>
      <c r="G454" s="272">
        <f t="shared" si="72"/>
        <v>0</v>
      </c>
      <c r="H454" s="272">
        <f t="shared" si="73"/>
        <v>1</v>
      </c>
      <c r="I454" s="272">
        <f t="shared" si="74"/>
        <v>0</v>
      </c>
      <c r="J454" s="244">
        <v>47</v>
      </c>
      <c r="K454" s="244">
        <f t="shared" si="75"/>
        <v>-288</v>
      </c>
      <c r="L454" s="244"/>
    </row>
    <row r="455" spans="1:12" ht="2.1" customHeight="1">
      <c r="A455" s="455"/>
      <c r="B455" s="272">
        <f t="shared" si="67"/>
        <v>0</v>
      </c>
      <c r="C455" s="272">
        <f t="shared" si="68"/>
        <v>1</v>
      </c>
      <c r="D455" s="272">
        <f t="shared" si="69"/>
        <v>0</v>
      </c>
      <c r="E455" s="272">
        <f t="shared" si="70"/>
        <v>0</v>
      </c>
      <c r="F455" s="272">
        <f t="shared" si="71"/>
        <v>0</v>
      </c>
      <c r="G455" s="272">
        <f t="shared" si="72"/>
        <v>0</v>
      </c>
      <c r="H455" s="272">
        <f t="shared" si="73"/>
        <v>1</v>
      </c>
      <c r="I455" s="272">
        <f t="shared" si="74"/>
        <v>0</v>
      </c>
      <c r="J455" s="244">
        <v>48</v>
      </c>
      <c r="K455" s="244">
        <f t="shared" si="75"/>
        <v>-294</v>
      </c>
      <c r="L455" s="244"/>
    </row>
    <row r="456" spans="1:12" ht="2.1" customHeight="1">
      <c r="A456" s="455"/>
      <c r="B456" s="272">
        <f t="shared" si="67"/>
        <v>0</v>
      </c>
      <c r="C456" s="272">
        <f t="shared" si="68"/>
        <v>1</v>
      </c>
      <c r="D456" s="272">
        <f t="shared" si="69"/>
        <v>0</v>
      </c>
      <c r="E456" s="272">
        <f t="shared" si="70"/>
        <v>0</v>
      </c>
      <c r="F456" s="272">
        <f t="shared" si="71"/>
        <v>0</v>
      </c>
      <c r="G456" s="272">
        <f t="shared" si="72"/>
        <v>0</v>
      </c>
      <c r="H456" s="272">
        <f t="shared" si="73"/>
        <v>1</v>
      </c>
      <c r="I456" s="272">
        <f t="shared" si="74"/>
        <v>0</v>
      </c>
      <c r="J456" s="244">
        <v>49</v>
      </c>
      <c r="K456" s="244">
        <f t="shared" si="75"/>
        <v>-300</v>
      </c>
      <c r="L456" s="244"/>
    </row>
    <row r="457" spans="1:12" ht="2.1" customHeight="1">
      <c r="A457" s="455"/>
      <c r="B457" s="272">
        <f t="shared" si="67"/>
        <v>0</v>
      </c>
      <c r="C457" s="272">
        <f t="shared" si="68"/>
        <v>0</v>
      </c>
      <c r="D457" s="272">
        <f t="shared" si="69"/>
        <v>0</v>
      </c>
      <c r="E457" s="272">
        <f t="shared" si="70"/>
        <v>0</v>
      </c>
      <c r="F457" s="272">
        <f t="shared" si="71"/>
        <v>0</v>
      </c>
      <c r="G457" s="272">
        <f t="shared" si="72"/>
        <v>0</v>
      </c>
      <c r="H457" s="272">
        <f t="shared" si="73"/>
        <v>0</v>
      </c>
      <c r="I457" s="272">
        <f t="shared" si="74"/>
        <v>0</v>
      </c>
      <c r="J457" s="244">
        <v>50</v>
      </c>
      <c r="K457" s="244">
        <f t="shared" si="75"/>
        <v>-306</v>
      </c>
      <c r="L457" s="244"/>
    </row>
    <row r="458" spans="1:12" ht="2.1" customHeight="1">
      <c r="A458" s="455"/>
      <c r="B458" s="272">
        <f t="shared" si="67"/>
        <v>0</v>
      </c>
      <c r="C458" s="272">
        <f t="shared" si="68"/>
        <v>0</v>
      </c>
      <c r="D458" s="272">
        <f t="shared" si="69"/>
        <v>0</v>
      </c>
      <c r="E458" s="272">
        <f t="shared" si="70"/>
        <v>0</v>
      </c>
      <c r="F458" s="272">
        <f t="shared" si="71"/>
        <v>0</v>
      </c>
      <c r="G458" s="272">
        <f t="shared" si="72"/>
        <v>0</v>
      </c>
      <c r="H458" s="272">
        <f t="shared" si="73"/>
        <v>0</v>
      </c>
      <c r="I458" s="272">
        <f t="shared" si="74"/>
        <v>0</v>
      </c>
      <c r="J458" s="244">
        <v>51</v>
      </c>
      <c r="K458" s="244">
        <f t="shared" si="75"/>
        <v>-312</v>
      </c>
      <c r="L458" s="244"/>
    </row>
    <row r="459" spans="1:12" ht="2.1" customHeight="1">
      <c r="A459" s="455"/>
      <c r="B459" s="272">
        <f t="shared" si="67"/>
        <v>0</v>
      </c>
      <c r="C459" s="272">
        <f t="shared" si="68"/>
        <v>0</v>
      </c>
      <c r="D459" s="272">
        <f t="shared" si="69"/>
        <v>0</v>
      </c>
      <c r="E459" s="272">
        <f t="shared" si="70"/>
        <v>0</v>
      </c>
      <c r="F459" s="272">
        <f t="shared" si="71"/>
        <v>0</v>
      </c>
      <c r="G459" s="272">
        <f t="shared" si="72"/>
        <v>0</v>
      </c>
      <c r="H459" s="272">
        <f t="shared" si="73"/>
        <v>0</v>
      </c>
      <c r="I459" s="272">
        <f t="shared" si="74"/>
        <v>0</v>
      </c>
      <c r="J459" s="244">
        <v>52</v>
      </c>
      <c r="K459" s="244">
        <f t="shared" si="75"/>
        <v>-318</v>
      </c>
      <c r="L459" s="244"/>
    </row>
    <row r="460" spans="1:12" s="281" customFormat="1" ht="18.75" customHeight="1">
      <c r="A460" s="268"/>
      <c r="B460" s="279" t="str">
        <f>IF(ABS(VLOOKUP(B406,$C$341:$G$348,5,0))=0," ",ABS(VLOOKUP(B406,$C$341:$G$348,5,0)))</f>
        <v xml:space="preserve"> </v>
      </c>
      <c r="C460" s="279">
        <f>IF(ABS(VLOOKUP(C406,$C$341:$G$348,5,0))=0," ",ABS(VLOOKUP(C406,$C$341:$G$348,5,0)))</f>
        <v>300.12</v>
      </c>
      <c r="D460" s="279" t="str">
        <f t="shared" ref="D460:I460" si="76">IF(ABS(VLOOKUP(D406,$C$341:$G$348,5,0))=0," ",ABS(VLOOKUP(D406,$C$341:$G$348,5,0)))</f>
        <v xml:space="preserve"> </v>
      </c>
      <c r="E460" s="279">
        <f t="shared" si="76"/>
        <v>249.86</v>
      </c>
      <c r="F460" s="279">
        <f t="shared" si="76"/>
        <v>249.86</v>
      </c>
      <c r="G460" s="279" t="str">
        <f t="shared" si="76"/>
        <v xml:space="preserve"> </v>
      </c>
      <c r="H460" s="279">
        <f t="shared" si="76"/>
        <v>300.12</v>
      </c>
      <c r="I460" s="279" t="str">
        <f t="shared" si="76"/>
        <v xml:space="preserve"> </v>
      </c>
      <c r="J460" s="280"/>
      <c r="K460" s="280"/>
      <c r="L460" s="280"/>
    </row>
    <row r="461" spans="1:12">
      <c r="K461" s="245"/>
    </row>
  </sheetData>
  <sheetProtection password="E091" sheet="1" formatCells="0" formatColumns="0" formatRows="0" insertColumns="0" insertRows="0" insertHyperlinks="0" deleteColumns="0" deleteRows="0" sort="0" autoFilter="0" pivotTables="0"/>
  <mergeCells count="65">
    <mergeCell ref="A408:A459"/>
    <mergeCell ref="A354:A405"/>
    <mergeCell ref="A352:I352"/>
    <mergeCell ref="A339:I339"/>
    <mergeCell ref="D329:E329"/>
    <mergeCell ref="F329:G329"/>
    <mergeCell ref="D330:E330"/>
    <mergeCell ref="F330:G330"/>
    <mergeCell ref="D326:E326"/>
    <mergeCell ref="F326:G326"/>
    <mergeCell ref="D327:E327"/>
    <mergeCell ref="F327:G327"/>
    <mergeCell ref="D328:E328"/>
    <mergeCell ref="F328:G328"/>
    <mergeCell ref="D323:E323"/>
    <mergeCell ref="F323:G323"/>
    <mergeCell ref="D324:E324"/>
    <mergeCell ref="F324:G324"/>
    <mergeCell ref="D325:E325"/>
    <mergeCell ref="F325:G325"/>
    <mergeCell ref="F196:G196"/>
    <mergeCell ref="E79:E91"/>
    <mergeCell ref="E96:E108"/>
    <mergeCell ref="E113:E125"/>
    <mergeCell ref="D322:E322"/>
    <mergeCell ref="F322:G322"/>
    <mergeCell ref="E130:E142"/>
    <mergeCell ref="E147:E159"/>
    <mergeCell ref="E164:E176"/>
    <mergeCell ref="E181:E193"/>
    <mergeCell ref="D196:E196"/>
    <mergeCell ref="D197:E197"/>
    <mergeCell ref="F197:G197"/>
    <mergeCell ref="D198:E198"/>
    <mergeCell ref="F198:G198"/>
    <mergeCell ref="D199:E199"/>
    <mergeCell ref="F199:G199"/>
    <mergeCell ref="D200:E200"/>
    <mergeCell ref="F200:G200"/>
    <mergeCell ref="D201:E201"/>
    <mergeCell ref="F201:G201"/>
    <mergeCell ref="D202:E202"/>
    <mergeCell ref="F202:G202"/>
    <mergeCell ref="D203:E203"/>
    <mergeCell ref="F203:G203"/>
    <mergeCell ref="D204:E204"/>
    <mergeCell ref="F204:G204"/>
    <mergeCell ref="D205:E205"/>
    <mergeCell ref="F205:G205"/>
    <mergeCell ref="D206:E206"/>
    <mergeCell ref="F206:G206"/>
    <mergeCell ref="D207:E207"/>
    <mergeCell ref="F207:G207"/>
    <mergeCell ref="D208:E208"/>
    <mergeCell ref="F208:G208"/>
    <mergeCell ref="E289:E296"/>
    <mergeCell ref="E301:E308"/>
    <mergeCell ref="E313:E320"/>
    <mergeCell ref="D209:E209"/>
    <mergeCell ref="F209:G209"/>
    <mergeCell ref="E240:E247"/>
    <mergeCell ref="E253:E260"/>
    <mergeCell ref="E265:E272"/>
    <mergeCell ref="E277:E284"/>
    <mergeCell ref="A210:I211"/>
  </mergeCells>
  <conditionalFormatting sqref="B408:I459">
    <cfRule type="cellIs" dxfId="1" priority="2" operator="equal">
      <formula>1</formula>
    </cfRule>
  </conditionalFormatting>
  <conditionalFormatting sqref="B354:I405">
    <cfRule type="cellIs" dxfId="0" priority="1" operator="equal">
      <formula>1</formula>
    </cfRule>
  </conditionalFormatting>
  <pageMargins left="0.7" right="0.7" top="0.75" bottom="0.75" header="0.3" footer="0.3"/>
  <pageSetup orientation="portrait" r:id="rId1"/>
  <headerFooter>
    <oddFooter>&amp;C&amp;P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58"/>
  <sheetViews>
    <sheetView topLeftCell="A6" zoomScaleNormal="100" zoomScaleSheetLayoutView="90" workbookViewId="0">
      <selection activeCell="P9" sqref="P9"/>
    </sheetView>
  </sheetViews>
  <sheetFormatPr defaultRowHeight="15.75"/>
  <cols>
    <col min="1" max="1" width="9.140625" style="45"/>
    <col min="2" max="2" width="14.140625" style="45" customWidth="1"/>
    <col min="3" max="16384" width="9.140625" style="45"/>
  </cols>
  <sheetData>
    <row r="1" spans="1:16" s="4" customFormat="1">
      <c r="C1" s="365" t="s">
        <v>161</v>
      </c>
      <c r="D1" s="365"/>
      <c r="E1" s="365"/>
      <c r="F1" s="365"/>
      <c r="G1" s="365"/>
      <c r="H1" s="365"/>
    </row>
    <row r="2" spans="1:16" s="4" customFormat="1">
      <c r="C2" s="365"/>
      <c r="D2" s="365"/>
      <c r="E2" s="365"/>
      <c r="F2" s="365"/>
      <c r="G2" s="365"/>
      <c r="H2" s="365"/>
    </row>
    <row r="3" spans="1:16" s="4" customFormat="1">
      <c r="C3" s="369" t="s">
        <v>165</v>
      </c>
      <c r="D3" s="370"/>
      <c r="E3" s="370"/>
      <c r="F3" s="370"/>
      <c r="G3" s="370"/>
      <c r="H3" s="370"/>
    </row>
    <row r="4" spans="1:16" s="4" customFormat="1">
      <c r="C4" s="370"/>
      <c r="D4" s="370"/>
      <c r="E4" s="370"/>
      <c r="F4" s="370"/>
      <c r="G4" s="370"/>
      <c r="H4" s="370"/>
    </row>
    <row r="5" spans="1:16" s="4" customFormat="1" ht="12" customHeight="1">
      <c r="G5" s="5"/>
      <c r="H5" s="5"/>
    </row>
    <row r="6" spans="1:16" ht="17.25">
      <c r="A6" s="477" t="s">
        <v>49</v>
      </c>
      <c r="B6" s="477"/>
      <c r="C6" s="477"/>
      <c r="D6" s="477"/>
      <c r="E6" s="477"/>
      <c r="F6" s="477"/>
      <c r="G6" s="477"/>
      <c r="H6" s="477"/>
      <c r="I6" s="477"/>
      <c r="J6" s="477"/>
      <c r="K6" s="477"/>
      <c r="L6" s="477"/>
      <c r="M6" s="477"/>
      <c r="N6" s="477"/>
      <c r="O6" s="43"/>
      <c r="P6" s="44"/>
    </row>
    <row r="7" spans="1:16" ht="18.75" thickBot="1">
      <c r="A7" s="46" t="s">
        <v>0</v>
      </c>
      <c r="B7" s="47"/>
      <c r="C7" s="47"/>
      <c r="D7" s="47"/>
      <c r="E7" s="47"/>
      <c r="F7" s="47"/>
      <c r="G7" s="47"/>
      <c r="H7" s="47"/>
      <c r="I7" s="47"/>
      <c r="J7" s="47"/>
      <c r="K7" s="47"/>
      <c r="L7" s="47"/>
      <c r="M7" s="47"/>
      <c r="N7" s="47"/>
      <c r="O7" s="47"/>
      <c r="P7" s="47"/>
    </row>
    <row r="8" spans="1:16" ht="17.25">
      <c r="A8" s="44"/>
      <c r="B8" s="478" t="s">
        <v>1</v>
      </c>
      <c r="C8" s="479"/>
      <c r="D8" s="474" t="s">
        <v>50</v>
      </c>
      <c r="E8" s="475"/>
      <c r="F8" s="475"/>
      <c r="G8" s="475"/>
      <c r="H8" s="475"/>
      <c r="I8" s="475"/>
      <c r="J8" s="475"/>
      <c r="K8" s="475"/>
      <c r="L8" s="475"/>
      <c r="M8" s="475"/>
      <c r="N8" s="476"/>
      <c r="O8" s="44"/>
      <c r="P8" s="44"/>
    </row>
    <row r="9" spans="1:16" ht="18" thickBot="1">
      <c r="A9" s="44"/>
      <c r="B9" s="480"/>
      <c r="C9" s="481"/>
      <c r="D9" s="48" t="s">
        <v>2</v>
      </c>
      <c r="E9" s="48" t="s">
        <v>3</v>
      </c>
      <c r="F9" s="48" t="s">
        <v>4</v>
      </c>
      <c r="G9" s="48" t="s">
        <v>5</v>
      </c>
      <c r="H9" s="48" t="s">
        <v>6</v>
      </c>
      <c r="I9" s="48" t="s">
        <v>7</v>
      </c>
      <c r="J9" s="48" t="s">
        <v>8</v>
      </c>
      <c r="K9" s="48" t="s">
        <v>9</v>
      </c>
      <c r="L9" s="48" t="s">
        <v>10</v>
      </c>
      <c r="M9" s="48" t="s">
        <v>11</v>
      </c>
      <c r="N9" s="49" t="s">
        <v>12</v>
      </c>
      <c r="O9" s="44"/>
      <c r="P9" s="44"/>
    </row>
    <row r="10" spans="1:16" ht="18.75">
      <c r="A10" s="44"/>
      <c r="B10" s="458" t="s">
        <v>41</v>
      </c>
      <c r="C10" s="459"/>
      <c r="D10" s="50">
        <v>7.5</v>
      </c>
      <c r="E10" s="50">
        <v>8.5</v>
      </c>
      <c r="F10" s="50">
        <v>11.5</v>
      </c>
      <c r="G10" s="50">
        <v>14.5</v>
      </c>
      <c r="H10" s="50">
        <v>17</v>
      </c>
      <c r="I10" s="50">
        <v>19.5</v>
      </c>
      <c r="J10" s="50">
        <v>22</v>
      </c>
      <c r="K10" s="50">
        <v>25</v>
      </c>
      <c r="L10" s="50">
        <v>27.5</v>
      </c>
      <c r="M10" s="50">
        <v>30</v>
      </c>
      <c r="N10" s="51">
        <v>33</v>
      </c>
      <c r="O10" s="44"/>
      <c r="P10" s="44"/>
    </row>
    <row r="11" spans="1:16" ht="18.75">
      <c r="A11" s="44"/>
      <c r="B11" s="460" t="s">
        <v>42</v>
      </c>
      <c r="C11" s="461"/>
      <c r="D11" s="52">
        <v>0.66</v>
      </c>
      <c r="E11" s="52">
        <v>0.75</v>
      </c>
      <c r="F11" s="52">
        <v>0.9</v>
      </c>
      <c r="G11" s="52">
        <v>1.05</v>
      </c>
      <c r="H11" s="52">
        <v>1.2</v>
      </c>
      <c r="I11" s="52">
        <v>1.3</v>
      </c>
      <c r="J11" s="52">
        <v>1.4</v>
      </c>
      <c r="K11" s="52">
        <v>1.45</v>
      </c>
      <c r="L11" s="52">
        <v>1.55</v>
      </c>
      <c r="M11" s="52">
        <v>1.6</v>
      </c>
      <c r="N11" s="53">
        <v>1.65</v>
      </c>
      <c r="O11" s="44"/>
      <c r="P11" s="44"/>
    </row>
    <row r="12" spans="1:16" ht="19.5" thickBot="1">
      <c r="B12" s="462" t="s">
        <v>43</v>
      </c>
      <c r="C12" s="463"/>
      <c r="D12" s="54">
        <v>21</v>
      </c>
      <c r="E12" s="54">
        <v>23</v>
      </c>
      <c r="F12" s="54">
        <v>27</v>
      </c>
      <c r="G12" s="54">
        <v>30</v>
      </c>
      <c r="H12" s="54">
        <v>32.5</v>
      </c>
      <c r="I12" s="54">
        <v>34.5</v>
      </c>
      <c r="J12" s="54">
        <v>36</v>
      </c>
      <c r="K12" s="54">
        <v>37.5</v>
      </c>
      <c r="L12" s="54">
        <v>39</v>
      </c>
      <c r="M12" s="54">
        <v>39.5</v>
      </c>
      <c r="N12" s="55">
        <v>40</v>
      </c>
      <c r="O12" s="200" t="s">
        <v>263</v>
      </c>
      <c r="P12" s="44"/>
    </row>
    <row r="13" spans="1:16" s="198" customFormat="1">
      <c r="D13" s="199">
        <f>ROUND(D12/0.0778,0)</f>
        <v>270</v>
      </c>
      <c r="E13" s="199">
        <f t="shared" ref="E13:N13" si="0">ROUND(E12/0.0778,0)</f>
        <v>296</v>
      </c>
      <c r="F13" s="199">
        <f t="shared" si="0"/>
        <v>347</v>
      </c>
      <c r="G13" s="199">
        <f t="shared" si="0"/>
        <v>386</v>
      </c>
      <c r="H13" s="199">
        <f t="shared" si="0"/>
        <v>418</v>
      </c>
      <c r="I13" s="199">
        <f t="shared" si="0"/>
        <v>443</v>
      </c>
      <c r="J13" s="199">
        <f t="shared" si="0"/>
        <v>463</v>
      </c>
      <c r="K13" s="199">
        <f t="shared" si="0"/>
        <v>482</v>
      </c>
      <c r="L13" s="199">
        <f t="shared" si="0"/>
        <v>501</v>
      </c>
      <c r="M13" s="199">
        <f t="shared" si="0"/>
        <v>508</v>
      </c>
      <c r="N13" s="199">
        <f t="shared" si="0"/>
        <v>514</v>
      </c>
      <c r="O13" s="199" t="s">
        <v>264</v>
      </c>
    </row>
    <row r="14" spans="1:16" ht="18.75" thickBot="1">
      <c r="A14" s="46" t="s">
        <v>13</v>
      </c>
      <c r="B14" s="47"/>
      <c r="C14" s="47"/>
      <c r="P14" s="47"/>
    </row>
    <row r="15" spans="1:16" ht="17.25">
      <c r="A15" s="44"/>
      <c r="B15" s="478" t="s">
        <v>1</v>
      </c>
      <c r="C15" s="479"/>
      <c r="D15" s="474" t="s">
        <v>51</v>
      </c>
      <c r="E15" s="475"/>
      <c r="F15" s="475"/>
      <c r="G15" s="475"/>
      <c r="H15" s="475"/>
      <c r="I15" s="475"/>
      <c r="J15" s="475"/>
      <c r="K15" s="475"/>
      <c r="L15" s="475"/>
      <c r="M15" s="475"/>
      <c r="N15" s="475"/>
      <c r="O15" s="476"/>
      <c r="P15" s="44"/>
    </row>
    <row r="16" spans="1:16" ht="18" thickBot="1">
      <c r="A16" s="44"/>
      <c r="B16" s="480"/>
      <c r="C16" s="481"/>
      <c r="D16" s="56" t="s">
        <v>14</v>
      </c>
      <c r="E16" s="56" t="s">
        <v>15</v>
      </c>
      <c r="F16" s="56" t="s">
        <v>16</v>
      </c>
      <c r="G16" s="56" t="s">
        <v>17</v>
      </c>
      <c r="H16" s="56" t="s">
        <v>18</v>
      </c>
      <c r="I16" s="56" t="s">
        <v>19</v>
      </c>
      <c r="J16" s="56" t="s">
        <v>20</v>
      </c>
      <c r="K16" s="56" t="s">
        <v>21</v>
      </c>
      <c r="L16" s="56" t="s">
        <v>22</v>
      </c>
      <c r="M16" s="56" t="s">
        <v>23</v>
      </c>
      <c r="N16" s="56" t="s">
        <v>24</v>
      </c>
      <c r="O16" s="57" t="s">
        <v>25</v>
      </c>
      <c r="P16" s="44"/>
    </row>
    <row r="17" spans="1:16" ht="18.75">
      <c r="A17" s="44"/>
      <c r="B17" s="458" t="s">
        <v>44</v>
      </c>
      <c r="C17" s="459"/>
      <c r="D17" s="50">
        <v>225</v>
      </c>
      <c r="E17" s="50">
        <v>280</v>
      </c>
      <c r="F17" s="50">
        <v>365</v>
      </c>
      <c r="G17" s="50">
        <v>510</v>
      </c>
      <c r="H17" s="50">
        <v>680</v>
      </c>
      <c r="I17" s="50">
        <v>270</v>
      </c>
      <c r="J17" s="50">
        <v>270</v>
      </c>
      <c r="K17" s="50">
        <v>370</v>
      </c>
      <c r="L17" s="50">
        <v>225</v>
      </c>
      <c r="M17" s="50">
        <v>280</v>
      </c>
      <c r="N17" s="50">
        <v>365</v>
      </c>
      <c r="O17" s="51">
        <v>510</v>
      </c>
      <c r="P17" s="58"/>
    </row>
    <row r="18" spans="1:16" ht="18.75">
      <c r="A18" s="44"/>
      <c r="B18" s="460" t="s">
        <v>45</v>
      </c>
      <c r="C18" s="461"/>
      <c r="D18" s="52">
        <v>225</v>
      </c>
      <c r="E18" s="52">
        <v>280</v>
      </c>
      <c r="F18" s="52">
        <v>365</v>
      </c>
      <c r="G18" s="52">
        <v>450</v>
      </c>
      <c r="H18" s="52">
        <v>500</v>
      </c>
      <c r="I18" s="52">
        <v>270</v>
      </c>
      <c r="J18" s="52">
        <v>270</v>
      </c>
      <c r="K18" s="52">
        <v>370</v>
      </c>
      <c r="L18" s="52">
        <v>225</v>
      </c>
      <c r="M18" s="52">
        <v>280</v>
      </c>
      <c r="N18" s="52">
        <v>365</v>
      </c>
      <c r="O18" s="53">
        <v>450</v>
      </c>
      <c r="P18" s="58"/>
    </row>
    <row r="19" spans="1:16" ht="18.75">
      <c r="A19" s="44"/>
      <c r="B19" s="460" t="s">
        <v>46</v>
      </c>
      <c r="C19" s="461"/>
      <c r="D19" s="59">
        <v>175</v>
      </c>
      <c r="E19" s="59">
        <v>225</v>
      </c>
      <c r="F19" s="59">
        <v>290</v>
      </c>
      <c r="G19" s="59">
        <v>405</v>
      </c>
      <c r="H19" s="59">
        <v>545</v>
      </c>
      <c r="I19" s="59"/>
      <c r="J19" s="59"/>
      <c r="K19" s="59"/>
      <c r="L19" s="59">
        <v>175</v>
      </c>
      <c r="M19" s="59">
        <v>225</v>
      </c>
      <c r="N19" s="59">
        <v>290</v>
      </c>
      <c r="O19" s="60">
        <v>405</v>
      </c>
      <c r="P19" s="58"/>
    </row>
    <row r="20" spans="1:16" ht="19.5" thickBot="1">
      <c r="A20" s="44"/>
      <c r="B20" s="462" t="s">
        <v>47</v>
      </c>
      <c r="C20" s="463"/>
      <c r="D20" s="54">
        <v>21</v>
      </c>
      <c r="E20" s="54">
        <v>21</v>
      </c>
      <c r="F20" s="54">
        <v>20</v>
      </c>
      <c r="G20" s="54">
        <v>19</v>
      </c>
      <c r="H20" s="54">
        <v>19</v>
      </c>
      <c r="I20" s="54">
        <v>21</v>
      </c>
      <c r="J20" s="54">
        <v>21</v>
      </c>
      <c r="K20" s="54">
        <v>21</v>
      </c>
      <c r="L20" s="54">
        <v>21</v>
      </c>
      <c r="M20" s="54">
        <v>21</v>
      </c>
      <c r="N20" s="54">
        <v>20</v>
      </c>
      <c r="O20" s="55">
        <v>19</v>
      </c>
      <c r="P20" s="61"/>
    </row>
    <row r="21" spans="1:16" s="197" customFormat="1" ht="18">
      <c r="A21" s="195"/>
      <c r="B21" s="169"/>
      <c r="C21" s="169"/>
      <c r="D21" s="196">
        <v>1</v>
      </c>
      <c r="E21" s="196">
        <v>2</v>
      </c>
      <c r="F21" s="196">
        <v>3</v>
      </c>
      <c r="G21" s="196">
        <v>4</v>
      </c>
      <c r="H21" s="196">
        <v>5</v>
      </c>
      <c r="I21" s="196"/>
      <c r="J21" s="196"/>
      <c r="K21" s="196"/>
      <c r="L21" s="196">
        <v>1</v>
      </c>
      <c r="M21" s="196">
        <v>2</v>
      </c>
      <c r="N21" s="196"/>
      <c r="O21" s="196">
        <v>3</v>
      </c>
      <c r="P21" s="195"/>
    </row>
    <row r="22" spans="1:16" ht="18.75" thickBot="1">
      <c r="A22" s="46" t="s">
        <v>26</v>
      </c>
      <c r="B22" s="47"/>
      <c r="C22" s="47"/>
      <c r="D22" s="47"/>
      <c r="E22" s="47"/>
      <c r="F22" s="47"/>
      <c r="G22" s="47"/>
      <c r="H22" s="47"/>
      <c r="I22" s="47"/>
      <c r="J22" s="47"/>
      <c r="K22" s="47"/>
      <c r="L22" s="47"/>
      <c r="M22" s="47"/>
      <c r="N22" s="47"/>
      <c r="O22" s="47"/>
      <c r="P22" s="47"/>
    </row>
    <row r="23" spans="1:16" ht="18">
      <c r="A23" s="47"/>
      <c r="B23" s="464" t="s">
        <v>27</v>
      </c>
      <c r="C23" s="465"/>
      <c r="D23" s="62" t="s">
        <v>28</v>
      </c>
      <c r="E23" s="63"/>
      <c r="F23" s="63"/>
      <c r="G23" s="63"/>
      <c r="H23" s="63"/>
      <c r="I23" s="63"/>
      <c r="J23" s="63"/>
      <c r="K23" s="63"/>
      <c r="L23" s="63"/>
      <c r="M23" s="64"/>
      <c r="N23" s="47"/>
      <c r="O23" s="47"/>
      <c r="P23" s="47"/>
    </row>
    <row r="24" spans="1:16" ht="18.75" thickBot="1">
      <c r="A24" s="47"/>
      <c r="B24" s="466"/>
      <c r="C24" s="467"/>
      <c r="D24" s="65">
        <v>75</v>
      </c>
      <c r="E24" s="65">
        <v>100</v>
      </c>
      <c r="F24" s="65">
        <v>150</v>
      </c>
      <c r="G24" s="65">
        <v>200</v>
      </c>
      <c r="H24" s="65">
        <v>250</v>
      </c>
      <c r="I24" s="65">
        <v>300</v>
      </c>
      <c r="J24" s="65">
        <v>350</v>
      </c>
      <c r="K24" s="65">
        <v>400</v>
      </c>
      <c r="L24" s="65">
        <v>500</v>
      </c>
      <c r="M24" s="66">
        <v>600</v>
      </c>
      <c r="N24" s="47"/>
      <c r="O24" s="47"/>
      <c r="P24" s="47"/>
    </row>
    <row r="25" spans="1:16" ht="17.25">
      <c r="A25" s="44"/>
      <c r="B25" s="458">
        <v>3000</v>
      </c>
      <c r="C25" s="459"/>
      <c r="D25" s="67"/>
      <c r="E25" s="67"/>
      <c r="F25" s="67"/>
      <c r="G25" s="68">
        <v>0.62</v>
      </c>
      <c r="H25" s="68">
        <v>0.57999999999999996</v>
      </c>
      <c r="I25" s="68">
        <v>0.57999999999999996</v>
      </c>
      <c r="J25" s="68">
        <v>0.55000000000000004</v>
      </c>
      <c r="K25" s="68">
        <v>0.55000000000000004</v>
      </c>
      <c r="L25" s="68">
        <v>0.52</v>
      </c>
      <c r="M25" s="69">
        <v>0.48</v>
      </c>
      <c r="N25" s="58"/>
      <c r="O25" s="44"/>
      <c r="P25" s="44"/>
    </row>
    <row r="26" spans="1:16" ht="17.25">
      <c r="A26" s="44"/>
      <c r="B26" s="460">
        <v>4000</v>
      </c>
      <c r="C26" s="461"/>
      <c r="D26" s="70"/>
      <c r="E26" s="70"/>
      <c r="F26" s="70"/>
      <c r="G26" s="71">
        <v>0.57999999999999996</v>
      </c>
      <c r="H26" s="71">
        <v>0.55000000000000004</v>
      </c>
      <c r="I26" s="71">
        <v>0.55000000000000004</v>
      </c>
      <c r="J26" s="71">
        <v>0.55000000000000004</v>
      </c>
      <c r="K26" s="71">
        <v>0.55000000000000004</v>
      </c>
      <c r="L26" s="71">
        <v>0.5</v>
      </c>
      <c r="M26" s="72">
        <v>0.45</v>
      </c>
      <c r="N26" s="58"/>
      <c r="O26" s="44"/>
      <c r="P26" s="44"/>
    </row>
    <row r="27" spans="1:16" ht="17.25">
      <c r="A27" s="44"/>
      <c r="B27" s="460">
        <v>5000</v>
      </c>
      <c r="C27" s="461"/>
      <c r="D27" s="73"/>
      <c r="E27" s="73"/>
      <c r="F27" s="73"/>
      <c r="G27" s="71">
        <v>0.55000000000000004</v>
      </c>
      <c r="H27" s="71">
        <v>0.55000000000000004</v>
      </c>
      <c r="I27" s="71">
        <v>0.55000000000000004</v>
      </c>
      <c r="J27" s="71">
        <v>0.52</v>
      </c>
      <c r="K27" s="71">
        <v>0.52</v>
      </c>
      <c r="L27" s="71">
        <v>0.45</v>
      </c>
      <c r="M27" s="72">
        <v>0.42</v>
      </c>
      <c r="N27" s="61"/>
      <c r="O27" s="44"/>
      <c r="P27" s="44"/>
    </row>
    <row r="28" spans="1:16" ht="18" thickBot="1">
      <c r="A28" s="44"/>
      <c r="B28" s="462">
        <v>6000</v>
      </c>
      <c r="C28" s="463"/>
      <c r="D28" s="74"/>
      <c r="E28" s="74"/>
      <c r="F28" s="74"/>
      <c r="G28" s="75">
        <v>0.5</v>
      </c>
      <c r="H28" s="75">
        <v>0.48</v>
      </c>
      <c r="I28" s="75">
        <v>0.48</v>
      </c>
      <c r="J28" s="75">
        <v>0.45</v>
      </c>
      <c r="K28" s="75">
        <v>0.45</v>
      </c>
      <c r="L28" s="75">
        <v>0.42</v>
      </c>
      <c r="M28" s="76">
        <v>0.4</v>
      </c>
      <c r="N28" s="61"/>
      <c r="O28" s="44"/>
      <c r="P28" s="44"/>
    </row>
    <row r="29" spans="1:16" ht="33.75">
      <c r="A29" s="44"/>
      <c r="B29" s="77" t="s">
        <v>29</v>
      </c>
      <c r="C29" s="78"/>
      <c r="D29" s="78"/>
      <c r="E29" s="78"/>
      <c r="F29" s="78"/>
      <c r="G29" s="78"/>
      <c r="H29" s="78"/>
      <c r="I29" s="78"/>
      <c r="J29" s="78"/>
      <c r="K29" s="79"/>
      <c r="L29" s="80"/>
      <c r="M29" s="80"/>
      <c r="N29" s="44"/>
      <c r="O29" s="44"/>
      <c r="P29" s="44"/>
    </row>
    <row r="30" spans="1:16" ht="34.5" thickBot="1">
      <c r="A30" s="44"/>
      <c r="B30" s="81" t="s">
        <v>30</v>
      </c>
      <c r="C30" s="82"/>
      <c r="D30" s="82"/>
      <c r="E30" s="82"/>
      <c r="F30" s="82"/>
      <c r="G30" s="82"/>
      <c r="H30" s="82"/>
      <c r="I30" s="82"/>
      <c r="J30" s="82"/>
      <c r="K30" s="82"/>
      <c r="L30" s="83"/>
      <c r="M30" s="83"/>
      <c r="N30" s="44"/>
      <c r="O30" s="44"/>
      <c r="P30" s="44"/>
    </row>
    <row r="32" spans="1:16" ht="18.75" thickBot="1">
      <c r="A32" s="46" t="s">
        <v>31</v>
      </c>
      <c r="B32" s="47"/>
      <c r="C32" s="47"/>
      <c r="D32" s="47"/>
      <c r="E32" s="47"/>
      <c r="F32" s="47"/>
      <c r="G32" s="47"/>
      <c r="H32" s="47"/>
      <c r="I32" s="47"/>
      <c r="J32" s="47"/>
      <c r="K32" s="47"/>
      <c r="L32" s="47"/>
      <c r="M32" s="47"/>
      <c r="N32" s="47"/>
      <c r="O32" s="47"/>
      <c r="P32" s="47"/>
    </row>
    <row r="33" spans="1:16" ht="18" thickBot="1">
      <c r="A33" s="44"/>
      <c r="B33" s="84" t="s">
        <v>32</v>
      </c>
      <c r="C33" s="85"/>
      <c r="D33" s="85"/>
      <c r="E33" s="85"/>
      <c r="F33" s="85"/>
      <c r="G33" s="85"/>
      <c r="H33" s="85"/>
      <c r="I33" s="85"/>
      <c r="J33" s="85"/>
      <c r="K33" s="86" t="s">
        <v>33</v>
      </c>
      <c r="L33" s="85"/>
      <c r="M33" s="87"/>
      <c r="N33" s="44"/>
      <c r="O33" s="44"/>
      <c r="P33" s="44"/>
    </row>
    <row r="34" spans="1:16" ht="17.25">
      <c r="A34" s="44"/>
      <c r="B34" s="88" t="s">
        <v>34</v>
      </c>
      <c r="C34" s="89"/>
      <c r="D34" s="89"/>
      <c r="E34" s="89"/>
      <c r="F34" s="89"/>
      <c r="G34" s="89"/>
      <c r="H34" s="89"/>
      <c r="I34" s="89"/>
      <c r="J34" s="89"/>
      <c r="K34" s="471">
        <v>1.05</v>
      </c>
      <c r="L34" s="472"/>
      <c r="M34" s="473"/>
      <c r="N34" s="44"/>
      <c r="O34" s="44"/>
      <c r="P34" s="44"/>
    </row>
    <row r="35" spans="1:16" ht="17.25">
      <c r="A35" s="44"/>
      <c r="B35" s="88" t="s">
        <v>35</v>
      </c>
      <c r="C35" s="89"/>
      <c r="D35" s="89"/>
      <c r="E35" s="89"/>
      <c r="F35" s="89"/>
      <c r="G35" s="89"/>
      <c r="H35" s="89"/>
      <c r="I35" s="89"/>
      <c r="J35" s="89"/>
      <c r="K35" s="471">
        <v>1.2</v>
      </c>
      <c r="L35" s="472"/>
      <c r="M35" s="473"/>
    </row>
    <row r="36" spans="1:16" ht="17.25">
      <c r="A36" s="44"/>
      <c r="B36" s="88" t="s">
        <v>36</v>
      </c>
      <c r="C36" s="89"/>
      <c r="D36" s="89"/>
      <c r="E36" s="89"/>
      <c r="F36" s="89"/>
      <c r="G36" s="89"/>
      <c r="H36" s="89"/>
      <c r="I36" s="89"/>
      <c r="J36" s="89"/>
      <c r="K36" s="471"/>
      <c r="L36" s="472"/>
      <c r="M36" s="473"/>
    </row>
    <row r="37" spans="1:16" ht="17.25">
      <c r="A37" s="44"/>
      <c r="B37" s="88"/>
      <c r="C37" s="89" t="s">
        <v>37</v>
      </c>
      <c r="D37" s="89"/>
      <c r="E37" s="89"/>
      <c r="F37" s="89"/>
      <c r="G37" s="89"/>
      <c r="H37" s="89"/>
      <c r="I37" s="89"/>
      <c r="J37" s="89"/>
      <c r="K37" s="471">
        <v>1</v>
      </c>
      <c r="L37" s="472"/>
      <c r="M37" s="473"/>
    </row>
    <row r="38" spans="1:16" ht="17.25">
      <c r="A38" s="44"/>
      <c r="B38" s="88"/>
      <c r="C38" s="89" t="s">
        <v>38</v>
      </c>
      <c r="D38" s="89"/>
      <c r="E38" s="89"/>
      <c r="F38" s="89"/>
      <c r="G38" s="89"/>
      <c r="H38" s="89"/>
      <c r="I38" s="89"/>
      <c r="J38" s="89"/>
      <c r="K38" s="471">
        <v>1.1000000000000001</v>
      </c>
      <c r="L38" s="472"/>
      <c r="M38" s="473"/>
    </row>
    <row r="39" spans="1:16" ht="17.25">
      <c r="A39" s="44"/>
      <c r="B39" s="88" t="s">
        <v>39</v>
      </c>
      <c r="C39" s="89"/>
      <c r="D39" s="89"/>
      <c r="E39" s="89"/>
      <c r="F39" s="89"/>
      <c r="G39" s="89"/>
      <c r="H39" s="89"/>
      <c r="I39" s="89"/>
      <c r="J39" s="89"/>
      <c r="K39" s="471">
        <v>1.2</v>
      </c>
      <c r="L39" s="472"/>
      <c r="M39" s="473"/>
    </row>
    <row r="40" spans="1:16" ht="18" thickBot="1">
      <c r="A40" s="44"/>
      <c r="B40" s="90" t="s">
        <v>40</v>
      </c>
      <c r="C40" s="91"/>
      <c r="D40" s="91"/>
      <c r="E40" s="91"/>
      <c r="F40" s="91"/>
      <c r="G40" s="91"/>
      <c r="H40" s="91"/>
      <c r="I40" s="91"/>
      <c r="J40" s="91"/>
      <c r="K40" s="468">
        <v>1.3</v>
      </c>
      <c r="L40" s="469"/>
      <c r="M40" s="470"/>
    </row>
    <row r="43" spans="1:16" ht="16.5" thickBot="1"/>
    <row r="44" spans="1:16" s="92" customFormat="1" ht="39.75" customHeight="1" thickBot="1">
      <c r="B44" s="93" t="s">
        <v>48</v>
      </c>
      <c r="C44" s="94">
        <v>6</v>
      </c>
      <c r="D44" s="95">
        <v>8</v>
      </c>
      <c r="E44" s="95">
        <v>10</v>
      </c>
      <c r="F44" s="95">
        <v>12</v>
      </c>
      <c r="G44" s="95">
        <v>14</v>
      </c>
      <c r="H44" s="95">
        <v>16</v>
      </c>
      <c r="I44" s="95">
        <v>18</v>
      </c>
      <c r="J44" s="95">
        <v>20</v>
      </c>
      <c r="K44" s="95">
        <v>22</v>
      </c>
      <c r="L44" s="95">
        <v>24</v>
      </c>
      <c r="M44" s="95">
        <v>25</v>
      </c>
      <c r="N44" s="95">
        <v>28</v>
      </c>
      <c r="O44" s="96">
        <v>30</v>
      </c>
    </row>
    <row r="45" spans="1:16">
      <c r="B45" s="97">
        <v>1</v>
      </c>
      <c r="C45" s="98">
        <f>3.1416*C44^2*0.01/4</f>
        <v>0.282744</v>
      </c>
      <c r="D45" s="98">
        <f t="shared" ref="D45:O45" si="1">3.1416*D44^2*0.01/4</f>
        <v>0.50265599999999999</v>
      </c>
      <c r="E45" s="98">
        <f t="shared" si="1"/>
        <v>0.78539999999999999</v>
      </c>
      <c r="F45" s="98">
        <f t="shared" si="1"/>
        <v>1.130976</v>
      </c>
      <c r="G45" s="98">
        <f t="shared" si="1"/>
        <v>1.5393840000000001</v>
      </c>
      <c r="H45" s="98">
        <f t="shared" si="1"/>
        <v>2.010624</v>
      </c>
      <c r="I45" s="98">
        <f t="shared" si="1"/>
        <v>2.5446960000000001</v>
      </c>
      <c r="J45" s="98">
        <f t="shared" si="1"/>
        <v>3.1415999999999999</v>
      </c>
      <c r="K45" s="98">
        <f t="shared" si="1"/>
        <v>3.801336</v>
      </c>
      <c r="L45" s="98">
        <f t="shared" si="1"/>
        <v>4.5239039999999999</v>
      </c>
      <c r="M45" s="98">
        <f t="shared" si="1"/>
        <v>4.9087500000000004</v>
      </c>
      <c r="N45" s="98">
        <f t="shared" si="1"/>
        <v>6.1575360000000003</v>
      </c>
      <c r="O45" s="99">
        <f t="shared" si="1"/>
        <v>7.0686</v>
      </c>
    </row>
    <row r="46" spans="1:16">
      <c r="B46" s="100">
        <v>2</v>
      </c>
      <c r="C46" s="101">
        <f>C$45*$B46</f>
        <v>0.56548799999999999</v>
      </c>
      <c r="D46" s="101">
        <f t="shared" ref="D46:O46" si="2">D$45*$B46</f>
        <v>1.005312</v>
      </c>
      <c r="E46" s="101">
        <f t="shared" si="2"/>
        <v>1.5708</v>
      </c>
      <c r="F46" s="101">
        <f t="shared" si="2"/>
        <v>2.261952</v>
      </c>
      <c r="G46" s="101">
        <f t="shared" si="2"/>
        <v>3.0787680000000002</v>
      </c>
      <c r="H46" s="101">
        <f t="shared" si="2"/>
        <v>4.0212479999999999</v>
      </c>
      <c r="I46" s="101">
        <f t="shared" si="2"/>
        <v>5.0893920000000001</v>
      </c>
      <c r="J46" s="101">
        <f t="shared" si="2"/>
        <v>6.2831999999999999</v>
      </c>
      <c r="K46" s="101">
        <f t="shared" si="2"/>
        <v>7.6026720000000001</v>
      </c>
      <c r="L46" s="101">
        <f t="shared" si="2"/>
        <v>9.0478079999999999</v>
      </c>
      <c r="M46" s="101">
        <f t="shared" si="2"/>
        <v>9.8175000000000008</v>
      </c>
      <c r="N46" s="101">
        <f t="shared" si="2"/>
        <v>12.315072000000001</v>
      </c>
      <c r="O46" s="102">
        <f t="shared" si="2"/>
        <v>14.1372</v>
      </c>
    </row>
    <row r="47" spans="1:16">
      <c r="B47" s="100">
        <v>3</v>
      </c>
      <c r="C47" s="101">
        <f t="shared" ref="C47:O58" si="3">C$45*$B47</f>
        <v>0.84823199999999999</v>
      </c>
      <c r="D47" s="101">
        <f t="shared" si="3"/>
        <v>1.507968</v>
      </c>
      <c r="E47" s="101">
        <f t="shared" si="3"/>
        <v>2.3561999999999999</v>
      </c>
      <c r="F47" s="101">
        <f t="shared" si="3"/>
        <v>3.3929279999999999</v>
      </c>
      <c r="G47" s="101">
        <f t="shared" si="3"/>
        <v>4.6181520000000003</v>
      </c>
      <c r="H47" s="101">
        <f t="shared" si="3"/>
        <v>6.0318719999999999</v>
      </c>
      <c r="I47" s="101">
        <f t="shared" si="3"/>
        <v>7.6340880000000002</v>
      </c>
      <c r="J47" s="101">
        <f t="shared" si="3"/>
        <v>9.4247999999999994</v>
      </c>
      <c r="K47" s="101">
        <f t="shared" si="3"/>
        <v>11.404008000000001</v>
      </c>
      <c r="L47" s="101">
        <f t="shared" si="3"/>
        <v>13.571712</v>
      </c>
      <c r="M47" s="101">
        <f t="shared" si="3"/>
        <v>14.72625</v>
      </c>
      <c r="N47" s="101">
        <f t="shared" si="3"/>
        <v>18.472608000000001</v>
      </c>
      <c r="O47" s="102">
        <f t="shared" si="3"/>
        <v>21.2058</v>
      </c>
    </row>
    <row r="48" spans="1:16">
      <c r="B48" s="100">
        <v>4</v>
      </c>
      <c r="C48" s="101">
        <f t="shared" si="3"/>
        <v>1.130976</v>
      </c>
      <c r="D48" s="101">
        <f t="shared" si="3"/>
        <v>2.010624</v>
      </c>
      <c r="E48" s="101">
        <f t="shared" si="3"/>
        <v>3.1415999999999999</v>
      </c>
      <c r="F48" s="101">
        <f t="shared" si="3"/>
        <v>4.5239039999999999</v>
      </c>
      <c r="G48" s="101">
        <f t="shared" si="3"/>
        <v>6.1575360000000003</v>
      </c>
      <c r="H48" s="101">
        <f t="shared" si="3"/>
        <v>8.0424959999999999</v>
      </c>
      <c r="I48" s="101">
        <f t="shared" si="3"/>
        <v>10.178784</v>
      </c>
      <c r="J48" s="101">
        <f t="shared" si="3"/>
        <v>12.5664</v>
      </c>
      <c r="K48" s="101">
        <f t="shared" si="3"/>
        <v>15.205344</v>
      </c>
      <c r="L48" s="101">
        <f t="shared" si="3"/>
        <v>18.095616</v>
      </c>
      <c r="M48" s="101">
        <f t="shared" si="3"/>
        <v>19.635000000000002</v>
      </c>
      <c r="N48" s="101">
        <f t="shared" si="3"/>
        <v>24.630144000000001</v>
      </c>
      <c r="O48" s="102">
        <f t="shared" si="3"/>
        <v>28.2744</v>
      </c>
    </row>
    <row r="49" spans="2:15">
      <c r="B49" s="100">
        <v>5</v>
      </c>
      <c r="C49" s="101">
        <f t="shared" si="3"/>
        <v>1.4137200000000001</v>
      </c>
      <c r="D49" s="101">
        <f t="shared" si="3"/>
        <v>2.51328</v>
      </c>
      <c r="E49" s="101">
        <f t="shared" si="3"/>
        <v>3.927</v>
      </c>
      <c r="F49" s="101">
        <f t="shared" si="3"/>
        <v>5.6548800000000004</v>
      </c>
      <c r="G49" s="101">
        <f t="shared" si="3"/>
        <v>7.6969200000000004</v>
      </c>
      <c r="H49" s="101">
        <f t="shared" si="3"/>
        <v>10.05312</v>
      </c>
      <c r="I49" s="101">
        <f t="shared" si="3"/>
        <v>12.72348</v>
      </c>
      <c r="J49" s="101">
        <f t="shared" si="3"/>
        <v>15.708</v>
      </c>
      <c r="K49" s="101">
        <f t="shared" si="3"/>
        <v>19.006679999999999</v>
      </c>
      <c r="L49" s="101">
        <f t="shared" si="3"/>
        <v>22.619520000000001</v>
      </c>
      <c r="M49" s="101">
        <f t="shared" si="3"/>
        <v>24.543750000000003</v>
      </c>
      <c r="N49" s="101">
        <f t="shared" si="3"/>
        <v>30.787680000000002</v>
      </c>
      <c r="O49" s="102">
        <f t="shared" si="3"/>
        <v>35.343000000000004</v>
      </c>
    </row>
    <row r="50" spans="2:15">
      <c r="B50" s="100">
        <v>6</v>
      </c>
      <c r="C50" s="101">
        <f t="shared" si="3"/>
        <v>1.696464</v>
      </c>
      <c r="D50" s="101">
        <f t="shared" si="3"/>
        <v>3.015936</v>
      </c>
      <c r="E50" s="101">
        <f t="shared" si="3"/>
        <v>4.7123999999999997</v>
      </c>
      <c r="F50" s="101">
        <f t="shared" si="3"/>
        <v>6.7858559999999999</v>
      </c>
      <c r="G50" s="101">
        <f t="shared" si="3"/>
        <v>9.2363040000000005</v>
      </c>
      <c r="H50" s="101">
        <f t="shared" si="3"/>
        <v>12.063744</v>
      </c>
      <c r="I50" s="101">
        <f t="shared" si="3"/>
        <v>15.268176</v>
      </c>
      <c r="J50" s="101">
        <f t="shared" si="3"/>
        <v>18.849599999999999</v>
      </c>
      <c r="K50" s="101">
        <f t="shared" si="3"/>
        <v>22.808016000000002</v>
      </c>
      <c r="L50" s="101">
        <f t="shared" si="3"/>
        <v>27.143424</v>
      </c>
      <c r="M50" s="101">
        <f t="shared" si="3"/>
        <v>29.452500000000001</v>
      </c>
      <c r="N50" s="101">
        <f t="shared" si="3"/>
        <v>36.945216000000002</v>
      </c>
      <c r="O50" s="102">
        <f t="shared" si="3"/>
        <v>42.4116</v>
      </c>
    </row>
    <row r="51" spans="2:15">
      <c r="B51" s="100">
        <v>7</v>
      </c>
      <c r="C51" s="101">
        <f t="shared" si="3"/>
        <v>1.9792079999999999</v>
      </c>
      <c r="D51" s="101">
        <f t="shared" si="3"/>
        <v>3.5185919999999999</v>
      </c>
      <c r="E51" s="101">
        <f t="shared" si="3"/>
        <v>5.4977999999999998</v>
      </c>
      <c r="F51" s="101">
        <f t="shared" si="3"/>
        <v>7.9168319999999994</v>
      </c>
      <c r="G51" s="101">
        <f t="shared" si="3"/>
        <v>10.775688000000001</v>
      </c>
      <c r="H51" s="101">
        <f t="shared" si="3"/>
        <v>14.074368</v>
      </c>
      <c r="I51" s="101">
        <f t="shared" si="3"/>
        <v>17.812871999999999</v>
      </c>
      <c r="J51" s="101">
        <f t="shared" si="3"/>
        <v>21.991199999999999</v>
      </c>
      <c r="K51" s="101">
        <f t="shared" si="3"/>
        <v>26.609352000000001</v>
      </c>
      <c r="L51" s="101">
        <f t="shared" si="3"/>
        <v>31.667327999999998</v>
      </c>
      <c r="M51" s="101">
        <f t="shared" si="3"/>
        <v>34.361250000000005</v>
      </c>
      <c r="N51" s="101">
        <f t="shared" si="3"/>
        <v>43.102752000000002</v>
      </c>
      <c r="O51" s="102">
        <f t="shared" si="3"/>
        <v>49.480199999999996</v>
      </c>
    </row>
    <row r="52" spans="2:15">
      <c r="B52" s="100">
        <v>8</v>
      </c>
      <c r="C52" s="101">
        <f t="shared" si="3"/>
        <v>2.261952</v>
      </c>
      <c r="D52" s="101">
        <f t="shared" si="3"/>
        <v>4.0212479999999999</v>
      </c>
      <c r="E52" s="101">
        <f t="shared" si="3"/>
        <v>6.2831999999999999</v>
      </c>
      <c r="F52" s="101">
        <f t="shared" si="3"/>
        <v>9.0478079999999999</v>
      </c>
      <c r="G52" s="101">
        <f t="shared" si="3"/>
        <v>12.315072000000001</v>
      </c>
      <c r="H52" s="101">
        <f t="shared" si="3"/>
        <v>16.084992</v>
      </c>
      <c r="I52" s="101">
        <f t="shared" si="3"/>
        <v>20.357568000000001</v>
      </c>
      <c r="J52" s="101">
        <f t="shared" si="3"/>
        <v>25.1328</v>
      </c>
      <c r="K52" s="101">
        <f t="shared" si="3"/>
        <v>30.410688</v>
      </c>
      <c r="L52" s="101">
        <f t="shared" si="3"/>
        <v>36.191231999999999</v>
      </c>
      <c r="M52" s="101">
        <f t="shared" si="3"/>
        <v>39.270000000000003</v>
      </c>
      <c r="N52" s="101">
        <f t="shared" si="3"/>
        <v>49.260288000000003</v>
      </c>
      <c r="O52" s="102">
        <f t="shared" si="3"/>
        <v>56.5488</v>
      </c>
    </row>
    <row r="53" spans="2:15">
      <c r="B53" s="100">
        <v>9</v>
      </c>
      <c r="C53" s="101">
        <f t="shared" si="3"/>
        <v>2.5446960000000001</v>
      </c>
      <c r="D53" s="101">
        <f t="shared" si="3"/>
        <v>4.5239039999999999</v>
      </c>
      <c r="E53" s="101">
        <f t="shared" si="3"/>
        <v>7.0686</v>
      </c>
      <c r="F53" s="101">
        <f t="shared" si="3"/>
        <v>10.178784</v>
      </c>
      <c r="G53" s="101">
        <f t="shared" si="3"/>
        <v>13.854456000000001</v>
      </c>
      <c r="H53" s="101">
        <f t="shared" si="3"/>
        <v>18.095616</v>
      </c>
      <c r="I53" s="101">
        <f t="shared" si="3"/>
        <v>22.902264000000002</v>
      </c>
      <c r="J53" s="101">
        <f t="shared" si="3"/>
        <v>28.2744</v>
      </c>
      <c r="K53" s="101">
        <f t="shared" si="3"/>
        <v>34.212024</v>
      </c>
      <c r="L53" s="101">
        <f t="shared" si="3"/>
        <v>40.715136000000001</v>
      </c>
      <c r="M53" s="101">
        <f t="shared" si="3"/>
        <v>44.178750000000001</v>
      </c>
      <c r="N53" s="101">
        <f t="shared" si="3"/>
        <v>55.417824000000003</v>
      </c>
      <c r="O53" s="102">
        <f t="shared" si="3"/>
        <v>63.617400000000004</v>
      </c>
    </row>
    <row r="54" spans="2:15">
      <c r="B54" s="100">
        <v>10</v>
      </c>
      <c r="C54" s="101">
        <f t="shared" si="3"/>
        <v>2.8274400000000002</v>
      </c>
      <c r="D54" s="101">
        <f t="shared" si="3"/>
        <v>5.0265599999999999</v>
      </c>
      <c r="E54" s="101">
        <f t="shared" si="3"/>
        <v>7.8540000000000001</v>
      </c>
      <c r="F54" s="101">
        <f t="shared" si="3"/>
        <v>11.309760000000001</v>
      </c>
      <c r="G54" s="101">
        <f t="shared" si="3"/>
        <v>15.393840000000001</v>
      </c>
      <c r="H54" s="101">
        <f t="shared" si="3"/>
        <v>20.10624</v>
      </c>
      <c r="I54" s="101">
        <f t="shared" si="3"/>
        <v>25.446960000000001</v>
      </c>
      <c r="J54" s="101">
        <f t="shared" si="3"/>
        <v>31.416</v>
      </c>
      <c r="K54" s="101">
        <f t="shared" si="3"/>
        <v>38.013359999999999</v>
      </c>
      <c r="L54" s="101">
        <f t="shared" si="3"/>
        <v>45.239040000000003</v>
      </c>
      <c r="M54" s="101">
        <f t="shared" si="3"/>
        <v>49.087500000000006</v>
      </c>
      <c r="N54" s="101">
        <f t="shared" si="3"/>
        <v>61.575360000000003</v>
      </c>
      <c r="O54" s="102">
        <f t="shared" si="3"/>
        <v>70.686000000000007</v>
      </c>
    </row>
    <row r="55" spans="2:15">
      <c r="B55" s="100">
        <v>11</v>
      </c>
      <c r="C55" s="101">
        <f t="shared" si="3"/>
        <v>3.1101839999999998</v>
      </c>
      <c r="D55" s="101">
        <f t="shared" si="3"/>
        <v>5.5292159999999999</v>
      </c>
      <c r="E55" s="101">
        <f t="shared" si="3"/>
        <v>8.6394000000000002</v>
      </c>
      <c r="F55" s="101">
        <f t="shared" si="3"/>
        <v>12.440735999999999</v>
      </c>
      <c r="G55" s="101">
        <f t="shared" si="3"/>
        <v>16.933224000000003</v>
      </c>
      <c r="H55" s="101">
        <f t="shared" si="3"/>
        <v>22.116864</v>
      </c>
      <c r="I55" s="101">
        <f t="shared" si="3"/>
        <v>27.991655999999999</v>
      </c>
      <c r="J55" s="101">
        <f t="shared" si="3"/>
        <v>34.557600000000001</v>
      </c>
      <c r="K55" s="101">
        <f t="shared" si="3"/>
        <v>41.814695999999998</v>
      </c>
      <c r="L55" s="101">
        <f t="shared" si="3"/>
        <v>49.762943999999997</v>
      </c>
      <c r="M55" s="101">
        <f t="shared" si="3"/>
        <v>53.996250000000003</v>
      </c>
      <c r="N55" s="101">
        <f t="shared" si="3"/>
        <v>67.732896000000011</v>
      </c>
      <c r="O55" s="102">
        <f t="shared" si="3"/>
        <v>77.754599999999996</v>
      </c>
    </row>
    <row r="56" spans="2:15">
      <c r="B56" s="100">
        <v>12</v>
      </c>
      <c r="C56" s="101">
        <f t="shared" si="3"/>
        <v>3.3929279999999999</v>
      </c>
      <c r="D56" s="101">
        <f t="shared" si="3"/>
        <v>6.0318719999999999</v>
      </c>
      <c r="E56" s="101">
        <f t="shared" si="3"/>
        <v>9.4247999999999994</v>
      </c>
      <c r="F56" s="101">
        <f t="shared" si="3"/>
        <v>13.571712</v>
      </c>
      <c r="G56" s="101">
        <f t="shared" si="3"/>
        <v>18.472608000000001</v>
      </c>
      <c r="H56" s="101">
        <f t="shared" si="3"/>
        <v>24.127488</v>
      </c>
      <c r="I56" s="101">
        <f t="shared" si="3"/>
        <v>30.536352000000001</v>
      </c>
      <c r="J56" s="101">
        <f t="shared" si="3"/>
        <v>37.699199999999998</v>
      </c>
      <c r="K56" s="101">
        <f t="shared" si="3"/>
        <v>45.616032000000004</v>
      </c>
      <c r="L56" s="101">
        <f t="shared" si="3"/>
        <v>54.286847999999999</v>
      </c>
      <c r="M56" s="101">
        <f t="shared" si="3"/>
        <v>58.905000000000001</v>
      </c>
      <c r="N56" s="101">
        <f t="shared" si="3"/>
        <v>73.890432000000004</v>
      </c>
      <c r="O56" s="102">
        <f t="shared" si="3"/>
        <v>84.8232</v>
      </c>
    </row>
    <row r="57" spans="2:15">
      <c r="B57" s="100">
        <v>13</v>
      </c>
      <c r="C57" s="101">
        <f t="shared" si="3"/>
        <v>3.6756720000000001</v>
      </c>
      <c r="D57" s="101">
        <f t="shared" si="3"/>
        <v>6.5345279999999999</v>
      </c>
      <c r="E57" s="101">
        <f t="shared" si="3"/>
        <v>10.2102</v>
      </c>
      <c r="F57" s="101">
        <f t="shared" si="3"/>
        <v>14.702688</v>
      </c>
      <c r="G57" s="101">
        <f t="shared" si="3"/>
        <v>20.011991999999999</v>
      </c>
      <c r="H57" s="101">
        <f t="shared" si="3"/>
        <v>26.138112</v>
      </c>
      <c r="I57" s="101">
        <f t="shared" si="3"/>
        <v>33.081048000000003</v>
      </c>
      <c r="J57" s="101">
        <f t="shared" si="3"/>
        <v>40.840800000000002</v>
      </c>
      <c r="K57" s="101">
        <f t="shared" si="3"/>
        <v>49.417368000000003</v>
      </c>
      <c r="L57" s="101">
        <f t="shared" si="3"/>
        <v>58.810752000000001</v>
      </c>
      <c r="M57" s="101">
        <f t="shared" si="3"/>
        <v>63.813750000000006</v>
      </c>
      <c r="N57" s="101">
        <f t="shared" si="3"/>
        <v>80.047967999999997</v>
      </c>
      <c r="O57" s="102">
        <f t="shared" si="3"/>
        <v>91.891800000000003</v>
      </c>
    </row>
    <row r="58" spans="2:15" ht="16.5" thickBot="1">
      <c r="B58" s="103">
        <v>14</v>
      </c>
      <c r="C58" s="104">
        <f>C$45*$B58</f>
        <v>3.9584159999999997</v>
      </c>
      <c r="D58" s="104">
        <f t="shared" si="3"/>
        <v>7.0371839999999999</v>
      </c>
      <c r="E58" s="104">
        <f t="shared" si="3"/>
        <v>10.9956</v>
      </c>
      <c r="F58" s="104">
        <f t="shared" si="3"/>
        <v>15.833663999999999</v>
      </c>
      <c r="G58" s="104">
        <f t="shared" si="3"/>
        <v>21.551376000000001</v>
      </c>
      <c r="H58" s="104">
        <f t="shared" si="3"/>
        <v>28.148736</v>
      </c>
      <c r="I58" s="104">
        <f t="shared" si="3"/>
        <v>35.625743999999997</v>
      </c>
      <c r="J58" s="104">
        <f t="shared" si="3"/>
        <v>43.982399999999998</v>
      </c>
      <c r="K58" s="104">
        <f t="shared" si="3"/>
        <v>53.218704000000002</v>
      </c>
      <c r="L58" s="104">
        <f t="shared" si="3"/>
        <v>63.334655999999995</v>
      </c>
      <c r="M58" s="104">
        <f t="shared" si="3"/>
        <v>68.722500000000011</v>
      </c>
      <c r="N58" s="104">
        <f t="shared" si="3"/>
        <v>86.205504000000005</v>
      </c>
      <c r="O58" s="105">
        <f t="shared" si="3"/>
        <v>98.960399999999993</v>
      </c>
    </row>
  </sheetData>
  <mergeCells count="26">
    <mergeCell ref="B17:C17"/>
    <mergeCell ref="B18:C18"/>
    <mergeCell ref="B20:C20"/>
    <mergeCell ref="B19:C19"/>
    <mergeCell ref="C1:H2"/>
    <mergeCell ref="C3:H4"/>
    <mergeCell ref="A6:N6"/>
    <mergeCell ref="B8:C9"/>
    <mergeCell ref="B10:C10"/>
    <mergeCell ref="B11:C11"/>
    <mergeCell ref="B12:C12"/>
    <mergeCell ref="D15:O15"/>
    <mergeCell ref="B15:C16"/>
    <mergeCell ref="K40:M40"/>
    <mergeCell ref="K38:M38"/>
    <mergeCell ref="K39:M39"/>
    <mergeCell ref="D8:N8"/>
    <mergeCell ref="K37:M37"/>
    <mergeCell ref="K34:M34"/>
    <mergeCell ref="K35:M35"/>
    <mergeCell ref="K36:M36"/>
    <mergeCell ref="B25:C25"/>
    <mergeCell ref="B26:C26"/>
    <mergeCell ref="B27:C27"/>
    <mergeCell ref="B28:C28"/>
    <mergeCell ref="B23:C24"/>
  </mergeCells>
  <printOptions horizontalCentered="1"/>
  <pageMargins left="0" right="0.01" top="0.75" bottom="0.75" header="0.3" footer="0.3"/>
  <pageSetup scale="98" orientation="landscape" r:id="rId1"/>
  <colBreaks count="1" manualBreakCount="1">
    <brk id="15" max="1048575" man="1"/>
  </colBreaks>
  <drawing r:id="rId2"/>
  <legacyDrawing r:id="rId3"/>
  <oleObjects>
    <mc:AlternateContent xmlns:mc="http://schemas.openxmlformats.org/markup-compatibility/2006">
      <mc:Choice Requires="x14">
        <oleObject progId="CorelDraw.Graphic.17" shapeId="5121" r:id="rId4">
          <objectPr defaultSize="0" autoPict="0" r:id="rId5">
            <anchor moveWithCells="1" sizeWithCells="1">
              <from>
                <xdr:col>0</xdr:col>
                <xdr:colOff>28575</xdr:colOff>
                <xdr:row>0</xdr:row>
                <xdr:rowOff>19050</xdr:rowOff>
              </from>
              <to>
                <xdr:col>1</xdr:col>
                <xdr:colOff>666750</xdr:colOff>
                <xdr:row>4</xdr:row>
                <xdr:rowOff>104775</xdr:rowOff>
              </to>
            </anchor>
          </objectPr>
        </oleObject>
      </mc:Choice>
      <mc:Fallback>
        <oleObject progId="CorelDraw.Graphic.17" shapeId="5121"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79"/>
  <sheetViews>
    <sheetView topLeftCell="A50" workbookViewId="0">
      <selection activeCell="O53" sqref="O53"/>
    </sheetView>
  </sheetViews>
  <sheetFormatPr defaultRowHeight="20.25" customHeight="1"/>
  <cols>
    <col min="1" max="16384" width="9.140625" style="107"/>
  </cols>
  <sheetData>
    <row r="1" spans="1:38" ht="20.25" customHeight="1" thickBot="1">
      <c r="A1" s="106" t="s">
        <v>150</v>
      </c>
      <c r="Q1" s="106" t="s">
        <v>151</v>
      </c>
      <c r="AC1" s="108" t="s">
        <v>152</v>
      </c>
    </row>
    <row r="2" spans="1:38" ht="37.5" thickTop="1">
      <c r="A2" s="550" t="s">
        <v>117</v>
      </c>
      <c r="B2" s="552" t="s">
        <v>118</v>
      </c>
      <c r="C2" s="553"/>
      <c r="D2" s="553"/>
      <c r="E2" s="553"/>
      <c r="F2" s="553"/>
      <c r="G2" s="553"/>
      <c r="H2" s="553"/>
      <c r="I2" s="553"/>
      <c r="J2" s="553"/>
      <c r="K2" s="553"/>
      <c r="L2" s="554"/>
      <c r="M2" s="109"/>
      <c r="N2" s="110">
        <v>0.85</v>
      </c>
      <c r="O2" s="109"/>
      <c r="P2" s="109"/>
      <c r="Q2" s="111" t="s">
        <v>119</v>
      </c>
      <c r="R2" s="555" t="s">
        <v>120</v>
      </c>
      <c r="S2" s="556"/>
      <c r="T2" s="556"/>
      <c r="U2" s="556"/>
      <c r="V2" s="556"/>
      <c r="W2" s="556"/>
      <c r="X2" s="556"/>
      <c r="Y2" s="556"/>
      <c r="Z2" s="557"/>
      <c r="AA2" s="112"/>
      <c r="AB2" s="109"/>
      <c r="AC2" s="561" t="s">
        <v>121</v>
      </c>
      <c r="AD2" s="562"/>
      <c r="AE2" s="562"/>
      <c r="AF2" s="562"/>
      <c r="AG2" s="562"/>
      <c r="AH2" s="562"/>
      <c r="AI2" s="562"/>
      <c r="AJ2" s="562"/>
      <c r="AK2" s="563"/>
    </row>
    <row r="3" spans="1:38" ht="24" thickBot="1">
      <c r="A3" s="551"/>
      <c r="B3" s="113">
        <v>12.5</v>
      </c>
      <c r="C3" s="113">
        <v>15</v>
      </c>
      <c r="D3" s="113">
        <v>20</v>
      </c>
      <c r="E3" s="113">
        <v>25</v>
      </c>
      <c r="F3" s="113">
        <v>30</v>
      </c>
      <c r="G3" s="113">
        <v>35</v>
      </c>
      <c r="H3" s="113">
        <v>40</v>
      </c>
      <c r="I3" s="113">
        <v>45</v>
      </c>
      <c r="J3" s="113">
        <v>50</v>
      </c>
      <c r="K3" s="113">
        <v>55</v>
      </c>
      <c r="L3" s="114">
        <v>60</v>
      </c>
      <c r="M3" s="109"/>
      <c r="N3" s="115">
        <v>0.9</v>
      </c>
      <c r="O3" s="109"/>
      <c r="P3" s="109"/>
      <c r="Q3" s="116" t="s">
        <v>122</v>
      </c>
      <c r="R3" s="558"/>
      <c r="S3" s="559"/>
      <c r="T3" s="559"/>
      <c r="U3" s="559"/>
      <c r="V3" s="559"/>
      <c r="W3" s="559"/>
      <c r="X3" s="559"/>
      <c r="Y3" s="559"/>
      <c r="Z3" s="560"/>
      <c r="AA3" s="117"/>
      <c r="AB3" s="109"/>
      <c r="AC3" s="564" t="s">
        <v>123</v>
      </c>
      <c r="AD3" s="566" t="s">
        <v>124</v>
      </c>
      <c r="AE3" s="567"/>
      <c r="AF3" s="567"/>
      <c r="AG3" s="567"/>
      <c r="AH3" s="567"/>
      <c r="AI3" s="567"/>
      <c r="AJ3" s="567"/>
      <c r="AK3" s="568"/>
    </row>
    <row r="4" spans="1:38">
      <c r="A4" s="118" t="s">
        <v>125</v>
      </c>
      <c r="B4" s="119">
        <v>7.5</v>
      </c>
      <c r="C4" s="119">
        <v>8.5</v>
      </c>
      <c r="D4" s="119">
        <v>11.5</v>
      </c>
      <c r="E4" s="119">
        <v>14.5</v>
      </c>
      <c r="F4" s="119">
        <v>17</v>
      </c>
      <c r="G4" s="119">
        <v>19.5</v>
      </c>
      <c r="H4" s="119">
        <v>22</v>
      </c>
      <c r="I4" s="119">
        <v>25</v>
      </c>
      <c r="J4" s="119">
        <v>27.5</v>
      </c>
      <c r="K4" s="119">
        <v>30</v>
      </c>
      <c r="L4" s="120">
        <v>33</v>
      </c>
      <c r="M4" s="109"/>
      <c r="N4" s="115">
        <v>1</v>
      </c>
      <c r="O4" s="109"/>
      <c r="Q4" s="121"/>
      <c r="R4" s="121">
        <v>1</v>
      </c>
      <c r="S4" s="121">
        <v>2</v>
      </c>
      <c r="T4" s="121">
        <v>3</v>
      </c>
      <c r="U4" s="121">
        <v>4</v>
      </c>
      <c r="V4" s="121">
        <v>5</v>
      </c>
      <c r="W4" s="121">
        <v>6</v>
      </c>
      <c r="X4" s="121">
        <v>7</v>
      </c>
      <c r="Y4" s="121">
        <v>8</v>
      </c>
      <c r="Z4" s="121">
        <v>9</v>
      </c>
      <c r="AA4" s="122"/>
      <c r="AB4" s="109"/>
      <c r="AC4" s="565"/>
      <c r="AD4" s="123">
        <v>6</v>
      </c>
      <c r="AE4" s="123" t="s">
        <v>126</v>
      </c>
      <c r="AF4" s="123">
        <v>8</v>
      </c>
      <c r="AG4" s="123" t="s">
        <v>127</v>
      </c>
      <c r="AH4" s="123">
        <v>10</v>
      </c>
      <c r="AI4" s="123">
        <v>12</v>
      </c>
      <c r="AJ4" s="123">
        <v>14</v>
      </c>
      <c r="AK4" s="124">
        <v>16</v>
      </c>
    </row>
    <row r="5" spans="1:38">
      <c r="A5" s="125" t="s">
        <v>128</v>
      </c>
      <c r="B5" s="126">
        <v>0.66</v>
      </c>
      <c r="C5" s="126">
        <v>0.75</v>
      </c>
      <c r="D5" s="126">
        <v>0.9</v>
      </c>
      <c r="E5" s="126">
        <v>1.05</v>
      </c>
      <c r="F5" s="126">
        <v>1.2</v>
      </c>
      <c r="G5" s="126">
        <v>1.3</v>
      </c>
      <c r="H5" s="126">
        <v>1.4</v>
      </c>
      <c r="I5" s="126">
        <v>1.45</v>
      </c>
      <c r="J5" s="126">
        <v>1.55</v>
      </c>
      <c r="K5" s="126">
        <v>1.6</v>
      </c>
      <c r="L5" s="127">
        <v>1.65</v>
      </c>
      <c r="M5" s="109"/>
      <c r="N5" s="115">
        <v>1.1000000000000001</v>
      </c>
      <c r="O5" s="109"/>
      <c r="Q5" s="128">
        <v>0</v>
      </c>
      <c r="R5" s="129">
        <v>0</v>
      </c>
      <c r="S5" s="129">
        <v>0</v>
      </c>
      <c r="T5" s="129">
        <v>0</v>
      </c>
      <c r="U5" s="129">
        <v>0</v>
      </c>
      <c r="V5" s="129">
        <v>0</v>
      </c>
      <c r="W5" s="129">
        <v>0</v>
      </c>
      <c r="X5" s="129">
        <v>0</v>
      </c>
      <c r="Y5" s="129">
        <v>0</v>
      </c>
      <c r="Z5" s="129">
        <v>0</v>
      </c>
      <c r="AA5" s="219">
        <v>1</v>
      </c>
      <c r="AB5" s="109"/>
      <c r="AC5" s="232">
        <v>70</v>
      </c>
      <c r="AD5" s="233">
        <v>404</v>
      </c>
      <c r="AE5" s="233">
        <v>561</v>
      </c>
      <c r="AF5" s="233">
        <v>719</v>
      </c>
      <c r="AG5" s="233">
        <v>920</v>
      </c>
      <c r="AH5" s="233">
        <v>1121</v>
      </c>
      <c r="AI5" s="233">
        <v>1616</v>
      </c>
      <c r="AJ5" s="233">
        <v>2199</v>
      </c>
      <c r="AK5" s="234">
        <v>2871</v>
      </c>
      <c r="AL5" s="107">
        <v>1</v>
      </c>
    </row>
    <row r="6" spans="1:38" ht="21" thickBot="1">
      <c r="A6" s="130" t="s">
        <v>129</v>
      </c>
      <c r="B6" s="131">
        <v>21000</v>
      </c>
      <c r="C6" s="131">
        <v>23000</v>
      </c>
      <c r="D6" s="131">
        <v>27000</v>
      </c>
      <c r="E6" s="131">
        <v>30000</v>
      </c>
      <c r="F6" s="131">
        <v>32500</v>
      </c>
      <c r="G6" s="131">
        <v>34500</v>
      </c>
      <c r="H6" s="131">
        <v>36000</v>
      </c>
      <c r="I6" s="131">
        <v>37500</v>
      </c>
      <c r="J6" s="131">
        <v>39000</v>
      </c>
      <c r="K6" s="131">
        <v>39500</v>
      </c>
      <c r="L6" s="132">
        <v>40000</v>
      </c>
      <c r="M6" s="109"/>
      <c r="N6" s="109"/>
      <c r="O6" s="109"/>
      <c r="Q6" s="128">
        <v>6</v>
      </c>
      <c r="R6" s="133">
        <v>0.28000000000000003</v>
      </c>
      <c r="S6" s="133">
        <v>0.56999999999999995</v>
      </c>
      <c r="T6" s="133">
        <v>0.85</v>
      </c>
      <c r="U6" s="133">
        <v>1.1299999999999999</v>
      </c>
      <c r="V6" s="133">
        <v>1.42</v>
      </c>
      <c r="W6" s="133">
        <v>1.7</v>
      </c>
      <c r="X6" s="133">
        <v>1.98</v>
      </c>
      <c r="Y6" s="133">
        <v>2.2599999999999998</v>
      </c>
      <c r="Z6" s="133">
        <v>2.5499999999999998</v>
      </c>
      <c r="AA6" s="219">
        <v>2</v>
      </c>
      <c r="AB6" s="134">
        <v>70</v>
      </c>
      <c r="AC6" s="232">
        <v>75</v>
      </c>
      <c r="AD6" s="233">
        <v>377</v>
      </c>
      <c r="AE6" s="233">
        <v>524</v>
      </c>
      <c r="AF6" s="233">
        <v>671</v>
      </c>
      <c r="AG6" s="233">
        <v>859</v>
      </c>
      <c r="AH6" s="233">
        <v>1047</v>
      </c>
      <c r="AI6" s="233">
        <v>1508</v>
      </c>
      <c r="AJ6" s="233">
        <v>2052</v>
      </c>
      <c r="AK6" s="234">
        <v>2680</v>
      </c>
      <c r="AL6" s="107">
        <v>2</v>
      </c>
    </row>
    <row r="7" spans="1:38" ht="21" thickTop="1">
      <c r="A7" s="109"/>
      <c r="B7" s="109"/>
      <c r="C7" s="109"/>
      <c r="D7" s="109"/>
      <c r="E7" s="109"/>
      <c r="F7" s="109"/>
      <c r="G7" s="109"/>
      <c r="H7" s="109"/>
      <c r="I7" s="109"/>
      <c r="J7" s="109"/>
      <c r="K7" s="109"/>
      <c r="L7" s="109"/>
      <c r="M7" s="109"/>
      <c r="N7" s="109"/>
      <c r="O7" s="109"/>
      <c r="Q7" s="128">
        <v>8</v>
      </c>
      <c r="R7" s="133">
        <v>0.5</v>
      </c>
      <c r="S7" s="133">
        <v>1.01</v>
      </c>
      <c r="T7" s="133">
        <v>1.51</v>
      </c>
      <c r="U7" s="133">
        <v>2.0099999999999998</v>
      </c>
      <c r="V7" s="133">
        <v>2.5099999999999998</v>
      </c>
      <c r="W7" s="133">
        <v>3.02</v>
      </c>
      <c r="X7" s="133">
        <v>3.52</v>
      </c>
      <c r="Y7" s="133">
        <v>4.0199999999999996</v>
      </c>
      <c r="Z7" s="133">
        <v>4.53</v>
      </c>
      <c r="AA7" s="219">
        <v>3</v>
      </c>
      <c r="AB7" s="134">
        <v>75</v>
      </c>
      <c r="AC7" s="232">
        <v>80</v>
      </c>
      <c r="AD7" s="233">
        <v>354</v>
      </c>
      <c r="AE7" s="233">
        <v>491</v>
      </c>
      <c r="AF7" s="233">
        <v>629</v>
      </c>
      <c r="AG7" s="233">
        <v>805</v>
      </c>
      <c r="AH7" s="233">
        <v>981</v>
      </c>
      <c r="AI7" s="233">
        <v>1414</v>
      </c>
      <c r="AJ7" s="233">
        <v>1924</v>
      </c>
      <c r="AK7" s="234">
        <v>2513</v>
      </c>
      <c r="AL7" s="107">
        <v>3</v>
      </c>
    </row>
    <row r="8" spans="1:38" ht="21" thickBot="1">
      <c r="A8" s="106" t="s">
        <v>153</v>
      </c>
      <c r="B8" s="109"/>
      <c r="C8" s="109"/>
      <c r="D8" s="109"/>
      <c r="E8" s="109"/>
      <c r="F8" s="109"/>
      <c r="G8" s="109"/>
      <c r="H8" s="109"/>
      <c r="I8" s="109"/>
      <c r="J8" s="109"/>
      <c r="K8" s="109"/>
      <c r="L8" s="109"/>
      <c r="M8" s="109"/>
      <c r="N8" s="109"/>
      <c r="O8" s="109"/>
      <c r="Q8" s="128">
        <v>10</v>
      </c>
      <c r="R8" s="133">
        <v>0.79</v>
      </c>
      <c r="S8" s="133">
        <v>1.57</v>
      </c>
      <c r="T8" s="133">
        <v>2.36</v>
      </c>
      <c r="U8" s="133">
        <v>3.14</v>
      </c>
      <c r="V8" s="133">
        <v>3.92</v>
      </c>
      <c r="W8" s="133">
        <v>4.17</v>
      </c>
      <c r="X8" s="133">
        <v>5.5</v>
      </c>
      <c r="Y8" s="133">
        <v>6.28</v>
      </c>
      <c r="Z8" s="133">
        <v>7.07</v>
      </c>
      <c r="AA8" s="219">
        <v>4</v>
      </c>
      <c r="AB8" s="134">
        <v>80</v>
      </c>
      <c r="AC8" s="232">
        <v>90</v>
      </c>
      <c r="AD8" s="233">
        <v>314</v>
      </c>
      <c r="AE8" s="233">
        <v>437</v>
      </c>
      <c r="AF8" s="233">
        <v>559</v>
      </c>
      <c r="AG8" s="233">
        <v>716</v>
      </c>
      <c r="AH8" s="233">
        <v>872</v>
      </c>
      <c r="AI8" s="233">
        <v>1257</v>
      </c>
      <c r="AJ8" s="233">
        <v>1710</v>
      </c>
      <c r="AK8" s="234">
        <v>2233</v>
      </c>
      <c r="AL8" s="107">
        <v>4</v>
      </c>
    </row>
    <row r="9" spans="1:38" ht="21" thickTop="1">
      <c r="A9" s="534" t="s">
        <v>130</v>
      </c>
      <c r="B9" s="535"/>
      <c r="C9" s="535"/>
      <c r="D9" s="535"/>
      <c r="E9" s="535"/>
      <c r="F9" s="535"/>
      <c r="G9" s="535"/>
      <c r="H9" s="536"/>
      <c r="I9" s="109"/>
      <c r="J9" s="109"/>
      <c r="K9" s="109"/>
      <c r="L9" s="109"/>
      <c r="M9" s="109"/>
      <c r="N9" s="109"/>
      <c r="O9" s="109"/>
      <c r="Q9" s="128">
        <v>12</v>
      </c>
      <c r="R9" s="133">
        <v>1.1299999999999999</v>
      </c>
      <c r="S9" s="133">
        <v>2.2599999999999998</v>
      </c>
      <c r="T9" s="133">
        <v>3.39</v>
      </c>
      <c r="U9" s="133">
        <v>4.5199999999999996</v>
      </c>
      <c r="V9" s="133">
        <v>5.65</v>
      </c>
      <c r="W9" s="133">
        <v>6.79</v>
      </c>
      <c r="X9" s="133">
        <v>7.92</v>
      </c>
      <c r="Y9" s="133">
        <v>9.0500000000000007</v>
      </c>
      <c r="Z9" s="133">
        <v>10.08</v>
      </c>
      <c r="AA9" s="219">
        <v>5</v>
      </c>
      <c r="AB9" s="134">
        <v>90</v>
      </c>
      <c r="AC9" s="232">
        <v>100</v>
      </c>
      <c r="AD9" s="233">
        <v>283</v>
      </c>
      <c r="AE9" s="233">
        <v>393</v>
      </c>
      <c r="AF9" s="233">
        <v>503</v>
      </c>
      <c r="AG9" s="233">
        <v>644</v>
      </c>
      <c r="AH9" s="233">
        <v>785</v>
      </c>
      <c r="AI9" s="233">
        <v>1131</v>
      </c>
      <c r="AJ9" s="233">
        <v>1539</v>
      </c>
      <c r="AK9" s="234">
        <v>2010</v>
      </c>
      <c r="AL9" s="107">
        <v>5</v>
      </c>
    </row>
    <row r="10" spans="1:38">
      <c r="A10" s="537" t="s">
        <v>131</v>
      </c>
      <c r="B10" s="539" t="s">
        <v>132</v>
      </c>
      <c r="C10" s="540"/>
      <c r="D10" s="540"/>
      <c r="E10" s="541"/>
      <c r="F10" s="542" t="s">
        <v>133</v>
      </c>
      <c r="G10" s="543"/>
      <c r="H10" s="546" t="s">
        <v>134</v>
      </c>
      <c r="I10" s="109"/>
      <c r="J10" s="109"/>
      <c r="K10" s="109"/>
      <c r="L10" s="109"/>
      <c r="M10" s="109"/>
      <c r="N10" s="109"/>
      <c r="O10" s="109"/>
      <c r="Q10" s="128">
        <v>14</v>
      </c>
      <c r="R10" s="133">
        <v>1.54</v>
      </c>
      <c r="S10" s="133">
        <v>3.08</v>
      </c>
      <c r="T10" s="133">
        <v>4.62</v>
      </c>
      <c r="U10" s="133">
        <v>6.16</v>
      </c>
      <c r="V10" s="133">
        <v>7.69</v>
      </c>
      <c r="W10" s="133">
        <v>9.23</v>
      </c>
      <c r="X10" s="133">
        <v>10.77</v>
      </c>
      <c r="Y10" s="133">
        <v>12.31</v>
      </c>
      <c r="Z10" s="133">
        <v>13.85</v>
      </c>
      <c r="AA10" s="219">
        <v>6</v>
      </c>
      <c r="AB10" s="134">
        <v>100</v>
      </c>
      <c r="AC10" s="232">
        <v>110</v>
      </c>
      <c r="AD10" s="233">
        <v>257</v>
      </c>
      <c r="AE10" s="233">
        <v>357</v>
      </c>
      <c r="AF10" s="233">
        <v>457</v>
      </c>
      <c r="AG10" s="233">
        <v>585</v>
      </c>
      <c r="AH10" s="233">
        <v>714</v>
      </c>
      <c r="AI10" s="233">
        <v>1028</v>
      </c>
      <c r="AJ10" s="233">
        <v>1399</v>
      </c>
      <c r="AK10" s="234">
        <v>1827</v>
      </c>
      <c r="AL10" s="107">
        <v>6</v>
      </c>
    </row>
    <row r="11" spans="1:38">
      <c r="A11" s="538"/>
      <c r="B11" s="548" t="s">
        <v>135</v>
      </c>
      <c r="C11" s="549"/>
      <c r="D11" s="539" t="s">
        <v>136</v>
      </c>
      <c r="E11" s="541"/>
      <c r="F11" s="544"/>
      <c r="G11" s="545"/>
      <c r="H11" s="547"/>
      <c r="I11" s="109"/>
      <c r="J11" s="109"/>
      <c r="K11" s="109"/>
      <c r="L11" s="109"/>
      <c r="M11" s="109"/>
      <c r="N11" s="109"/>
      <c r="O11" s="109"/>
      <c r="Q11" s="128">
        <v>16</v>
      </c>
      <c r="R11" s="133">
        <v>2.0099999999999998</v>
      </c>
      <c r="S11" s="133">
        <v>4.0199999999999996</v>
      </c>
      <c r="T11" s="133">
        <v>6.03</v>
      </c>
      <c r="U11" s="133">
        <v>8.0399999999999991</v>
      </c>
      <c r="V11" s="133">
        <v>10.050000000000001</v>
      </c>
      <c r="W11" s="133">
        <v>12.06</v>
      </c>
      <c r="X11" s="133">
        <v>14.07</v>
      </c>
      <c r="Y11" s="133">
        <v>16.079999999999998</v>
      </c>
      <c r="Z11" s="133">
        <v>18.100000000000001</v>
      </c>
      <c r="AA11" s="219">
        <v>7</v>
      </c>
      <c r="AB11" s="134">
        <v>110</v>
      </c>
      <c r="AC11" s="232">
        <v>120</v>
      </c>
      <c r="AD11" s="233">
        <v>236</v>
      </c>
      <c r="AE11" s="233">
        <v>328</v>
      </c>
      <c r="AF11" s="233">
        <v>419</v>
      </c>
      <c r="AG11" s="233">
        <v>537</v>
      </c>
      <c r="AH11" s="233">
        <v>654</v>
      </c>
      <c r="AI11" s="233">
        <v>943</v>
      </c>
      <c r="AJ11" s="233">
        <v>1283</v>
      </c>
      <c r="AK11" s="234">
        <v>1675</v>
      </c>
      <c r="AL11" s="107">
        <v>7</v>
      </c>
    </row>
    <row r="12" spans="1:38">
      <c r="A12" s="135">
        <v>1</v>
      </c>
      <c r="B12" s="532">
        <v>225</v>
      </c>
      <c r="C12" s="533"/>
      <c r="D12" s="532">
        <v>175</v>
      </c>
      <c r="E12" s="533"/>
      <c r="F12" s="532">
        <v>225</v>
      </c>
      <c r="G12" s="533"/>
      <c r="H12" s="136">
        <v>210000</v>
      </c>
      <c r="I12" s="109"/>
      <c r="J12" s="109"/>
      <c r="K12" s="109"/>
      <c r="L12" s="109"/>
      <c r="M12" s="109"/>
      <c r="N12" s="109"/>
      <c r="O12" s="109"/>
      <c r="Q12" s="128">
        <v>18</v>
      </c>
      <c r="R12" s="133">
        <v>2.54</v>
      </c>
      <c r="S12" s="133">
        <v>5.09</v>
      </c>
      <c r="T12" s="133">
        <v>7.63</v>
      </c>
      <c r="U12" s="133">
        <v>10.18</v>
      </c>
      <c r="V12" s="133">
        <v>12.72</v>
      </c>
      <c r="W12" s="133">
        <v>15.27</v>
      </c>
      <c r="X12" s="133">
        <v>17.809999999999999</v>
      </c>
      <c r="Y12" s="133">
        <v>20.36</v>
      </c>
      <c r="Z12" s="133">
        <v>22.9</v>
      </c>
      <c r="AA12" s="219">
        <v>8</v>
      </c>
      <c r="AB12" s="134">
        <v>120</v>
      </c>
      <c r="AC12" s="232">
        <v>125</v>
      </c>
      <c r="AD12" s="233">
        <v>226</v>
      </c>
      <c r="AE12" s="233">
        <v>314</v>
      </c>
      <c r="AF12" s="233">
        <v>402</v>
      </c>
      <c r="AG12" s="233">
        <v>515</v>
      </c>
      <c r="AH12" s="233">
        <v>628</v>
      </c>
      <c r="AI12" s="233">
        <v>905</v>
      </c>
      <c r="AJ12" s="233">
        <v>1231</v>
      </c>
      <c r="AK12" s="234">
        <v>1608</v>
      </c>
      <c r="AL12" s="107">
        <v>8</v>
      </c>
    </row>
    <row r="13" spans="1:38">
      <c r="A13" s="135">
        <v>2</v>
      </c>
      <c r="B13" s="532">
        <v>280</v>
      </c>
      <c r="C13" s="533"/>
      <c r="D13" s="532">
        <v>225</v>
      </c>
      <c r="E13" s="533"/>
      <c r="F13" s="532">
        <v>280</v>
      </c>
      <c r="G13" s="533"/>
      <c r="H13" s="136">
        <v>210000</v>
      </c>
      <c r="I13" s="109"/>
      <c r="J13" s="109"/>
      <c r="K13" s="109"/>
      <c r="L13" s="109"/>
      <c r="M13" s="109"/>
      <c r="N13" s="109"/>
      <c r="O13" s="109"/>
      <c r="Q13" s="128">
        <v>20</v>
      </c>
      <c r="R13" s="133">
        <v>3.14</v>
      </c>
      <c r="S13" s="133">
        <v>6.28</v>
      </c>
      <c r="T13" s="133">
        <v>9.42</v>
      </c>
      <c r="U13" s="133">
        <v>12.56</v>
      </c>
      <c r="V13" s="133">
        <v>15.71</v>
      </c>
      <c r="W13" s="133">
        <v>18.850000000000001</v>
      </c>
      <c r="X13" s="133">
        <v>21.99</v>
      </c>
      <c r="Y13" s="133">
        <v>25.14</v>
      </c>
      <c r="Z13" s="133">
        <v>28.27</v>
      </c>
      <c r="AA13" s="219">
        <v>9</v>
      </c>
      <c r="AB13" s="134">
        <v>125</v>
      </c>
      <c r="AC13" s="232">
        <v>130</v>
      </c>
      <c r="AD13" s="233">
        <v>218</v>
      </c>
      <c r="AE13" s="233">
        <v>302</v>
      </c>
      <c r="AF13" s="233">
        <v>387</v>
      </c>
      <c r="AG13" s="233">
        <v>495</v>
      </c>
      <c r="AH13" s="233">
        <v>604</v>
      </c>
      <c r="AI13" s="233">
        <v>970</v>
      </c>
      <c r="AJ13" s="233">
        <v>1184</v>
      </c>
      <c r="AK13" s="234">
        <v>1546</v>
      </c>
      <c r="AL13" s="107">
        <v>9</v>
      </c>
    </row>
    <row r="14" spans="1:38" ht="21" thickBot="1">
      <c r="A14" s="137">
        <v>3</v>
      </c>
      <c r="B14" s="526">
        <v>365</v>
      </c>
      <c r="C14" s="527"/>
      <c r="D14" s="526">
        <v>290</v>
      </c>
      <c r="E14" s="527"/>
      <c r="F14" s="526">
        <v>365</v>
      </c>
      <c r="G14" s="527"/>
      <c r="H14" s="138">
        <v>200000</v>
      </c>
      <c r="I14" s="109"/>
      <c r="J14" s="109"/>
      <c r="K14" s="109"/>
      <c r="L14" s="109"/>
      <c r="M14" s="109"/>
      <c r="N14" s="109"/>
      <c r="O14" s="109"/>
      <c r="Q14" s="128">
        <v>22</v>
      </c>
      <c r="R14" s="133">
        <v>3.8</v>
      </c>
      <c r="S14" s="133">
        <v>7.6</v>
      </c>
      <c r="T14" s="133">
        <v>11.4</v>
      </c>
      <c r="U14" s="133">
        <v>15.2</v>
      </c>
      <c r="V14" s="133">
        <v>19</v>
      </c>
      <c r="W14" s="133">
        <v>22.81</v>
      </c>
      <c r="X14" s="133">
        <v>26.61</v>
      </c>
      <c r="Y14" s="133">
        <v>30.41</v>
      </c>
      <c r="Z14" s="133">
        <v>34.21</v>
      </c>
      <c r="AA14" s="219">
        <v>10</v>
      </c>
      <c r="AB14" s="134">
        <v>130</v>
      </c>
      <c r="AC14" s="232">
        <v>140</v>
      </c>
      <c r="AD14" s="233">
        <v>202</v>
      </c>
      <c r="AE14" s="233">
        <v>281</v>
      </c>
      <c r="AF14" s="233">
        <v>359</v>
      </c>
      <c r="AG14" s="233">
        <v>460</v>
      </c>
      <c r="AH14" s="233">
        <v>561</v>
      </c>
      <c r="AI14" s="233">
        <v>808</v>
      </c>
      <c r="AJ14" s="233">
        <v>1099</v>
      </c>
      <c r="AK14" s="234">
        <v>1436</v>
      </c>
      <c r="AL14" s="107">
        <v>10</v>
      </c>
    </row>
    <row r="15" spans="1:38" ht="21" thickTop="1">
      <c r="A15" s="109"/>
      <c r="B15" s="109"/>
      <c r="C15" s="109"/>
      <c r="D15" s="109"/>
      <c r="E15" s="109"/>
      <c r="F15" s="109"/>
      <c r="G15" s="109"/>
      <c r="H15" s="109"/>
      <c r="I15" s="109"/>
      <c r="J15" s="109"/>
      <c r="K15" s="109"/>
      <c r="L15" s="109"/>
      <c r="M15" s="109"/>
      <c r="N15" s="109"/>
      <c r="O15" s="109"/>
      <c r="Q15" s="128">
        <v>25</v>
      </c>
      <c r="R15" s="133">
        <v>4.91</v>
      </c>
      <c r="S15" s="133">
        <v>9.82</v>
      </c>
      <c r="T15" s="133">
        <v>14.73</v>
      </c>
      <c r="U15" s="133">
        <v>19.63</v>
      </c>
      <c r="V15" s="133">
        <v>24.54</v>
      </c>
      <c r="W15" s="133">
        <v>29.45</v>
      </c>
      <c r="X15" s="133">
        <v>34.36</v>
      </c>
      <c r="Y15" s="133">
        <v>39.270000000000003</v>
      </c>
      <c r="Z15" s="133">
        <v>44.18</v>
      </c>
      <c r="AA15" s="219">
        <v>11</v>
      </c>
      <c r="AB15" s="134">
        <v>140</v>
      </c>
      <c r="AC15" s="232">
        <v>150</v>
      </c>
      <c r="AD15" s="233">
        <v>189</v>
      </c>
      <c r="AE15" s="233">
        <v>262</v>
      </c>
      <c r="AF15" s="233">
        <v>335</v>
      </c>
      <c r="AG15" s="233">
        <v>429</v>
      </c>
      <c r="AH15" s="233">
        <v>523</v>
      </c>
      <c r="AI15" s="233">
        <v>754</v>
      </c>
      <c r="AJ15" s="233">
        <v>1026</v>
      </c>
      <c r="AK15" s="234">
        <v>1340</v>
      </c>
      <c r="AL15" s="107">
        <v>11</v>
      </c>
    </row>
    <row r="16" spans="1:38" ht="21" thickBot="1">
      <c r="A16" s="106" t="s">
        <v>154</v>
      </c>
      <c r="B16" s="109"/>
      <c r="C16" s="109"/>
      <c r="O16" s="109"/>
      <c r="Q16" s="128">
        <v>28</v>
      </c>
      <c r="R16" s="133">
        <v>6.16</v>
      </c>
      <c r="S16" s="133">
        <v>12.32</v>
      </c>
      <c r="T16" s="133">
        <v>18.47</v>
      </c>
      <c r="U16" s="133">
        <v>24.63</v>
      </c>
      <c r="V16" s="133">
        <v>30.79</v>
      </c>
      <c r="W16" s="133">
        <v>36.950000000000003</v>
      </c>
      <c r="X16" s="133">
        <v>43.1</v>
      </c>
      <c r="Y16" s="133">
        <v>49.36</v>
      </c>
      <c r="Z16" s="133">
        <v>55.42</v>
      </c>
      <c r="AA16" s="219">
        <v>12</v>
      </c>
      <c r="AB16" s="134">
        <v>150</v>
      </c>
      <c r="AC16" s="232">
        <v>160</v>
      </c>
      <c r="AD16" s="233">
        <v>177</v>
      </c>
      <c r="AE16" s="233">
        <v>246</v>
      </c>
      <c r="AF16" s="233">
        <v>314</v>
      </c>
      <c r="AG16" s="233">
        <v>403</v>
      </c>
      <c r="AH16" s="233">
        <v>491</v>
      </c>
      <c r="AI16" s="233">
        <v>707</v>
      </c>
      <c r="AJ16" s="233">
        <v>962</v>
      </c>
      <c r="AK16" s="234">
        <v>1256</v>
      </c>
      <c r="AL16" s="107">
        <v>12</v>
      </c>
    </row>
    <row r="17" spans="1:38" ht="32.25" thickTop="1">
      <c r="A17" s="204" t="s">
        <v>58</v>
      </c>
      <c r="B17" s="528" t="s">
        <v>110</v>
      </c>
      <c r="C17" s="528" t="s">
        <v>111</v>
      </c>
      <c r="D17" s="530" t="s">
        <v>112</v>
      </c>
      <c r="E17" s="530"/>
      <c r="F17" s="530"/>
      <c r="G17" s="530"/>
      <c r="H17" s="530"/>
      <c r="I17" s="530"/>
      <c r="J17" s="530"/>
      <c r="K17" s="530"/>
      <c r="L17" s="530"/>
      <c r="M17" s="530"/>
      <c r="N17" s="531"/>
      <c r="O17" s="109"/>
      <c r="Q17" s="128">
        <v>30</v>
      </c>
      <c r="R17" s="133">
        <v>7.07</v>
      </c>
      <c r="S17" s="133">
        <v>14.14</v>
      </c>
      <c r="T17" s="133">
        <v>21.21</v>
      </c>
      <c r="U17" s="133">
        <v>28.28</v>
      </c>
      <c r="V17" s="133">
        <v>35.35</v>
      </c>
      <c r="W17" s="133">
        <v>42.42</v>
      </c>
      <c r="X17" s="133">
        <v>49.49</v>
      </c>
      <c r="Y17" s="133">
        <v>56.56</v>
      </c>
      <c r="Z17" s="133">
        <v>63.63</v>
      </c>
      <c r="AA17" s="219">
        <v>13</v>
      </c>
      <c r="AB17" s="134">
        <v>160</v>
      </c>
      <c r="AC17" s="232">
        <v>170</v>
      </c>
      <c r="AD17" s="233">
        <v>166</v>
      </c>
      <c r="AE17" s="233">
        <v>231</v>
      </c>
      <c r="AF17" s="233">
        <v>296</v>
      </c>
      <c r="AG17" s="233">
        <v>379</v>
      </c>
      <c r="AH17" s="233">
        <v>462</v>
      </c>
      <c r="AI17" s="233">
        <v>665</v>
      </c>
      <c r="AJ17" s="233">
        <v>905</v>
      </c>
      <c r="AK17" s="234">
        <v>1182</v>
      </c>
      <c r="AL17" s="107">
        <v>13</v>
      </c>
    </row>
    <row r="18" spans="1:38" ht="21.75" customHeight="1">
      <c r="A18" s="203"/>
      <c r="B18" s="529"/>
      <c r="C18" s="529"/>
      <c r="D18" s="113">
        <v>12.5</v>
      </c>
      <c r="E18" s="113">
        <v>15</v>
      </c>
      <c r="F18" s="113">
        <v>20</v>
      </c>
      <c r="G18" s="113">
        <v>25</v>
      </c>
      <c r="H18" s="113">
        <v>30</v>
      </c>
      <c r="I18" s="113">
        <v>35</v>
      </c>
      <c r="J18" s="113">
        <v>40</v>
      </c>
      <c r="K18" s="113">
        <v>45</v>
      </c>
      <c r="L18" s="113">
        <v>50</v>
      </c>
      <c r="M18" s="113">
        <v>55</v>
      </c>
      <c r="N18" s="114">
        <v>60</v>
      </c>
      <c r="O18" s="109"/>
      <c r="Q18" s="128">
        <v>32</v>
      </c>
      <c r="R18" s="133">
        <v>8.0399999999999991</v>
      </c>
      <c r="S18" s="133">
        <v>16.079999999999998</v>
      </c>
      <c r="T18" s="133">
        <v>24.13</v>
      </c>
      <c r="U18" s="133">
        <v>32.17</v>
      </c>
      <c r="V18" s="133">
        <v>40.21</v>
      </c>
      <c r="W18" s="133">
        <v>48.25</v>
      </c>
      <c r="X18" s="133">
        <v>56.3</v>
      </c>
      <c r="Y18" s="133">
        <v>64.34</v>
      </c>
      <c r="Z18" s="133">
        <v>72.38</v>
      </c>
      <c r="AA18" s="219">
        <v>14</v>
      </c>
      <c r="AB18" s="134">
        <v>170</v>
      </c>
      <c r="AC18" s="232">
        <v>180</v>
      </c>
      <c r="AD18" s="233">
        <v>157</v>
      </c>
      <c r="AE18" s="233">
        <v>218</v>
      </c>
      <c r="AF18" s="233">
        <v>279</v>
      </c>
      <c r="AG18" s="233">
        <v>358</v>
      </c>
      <c r="AH18" s="233">
        <v>436</v>
      </c>
      <c r="AI18" s="233">
        <v>628</v>
      </c>
      <c r="AJ18" s="233">
        <v>855</v>
      </c>
      <c r="AK18" s="234">
        <v>1117</v>
      </c>
      <c r="AL18" s="107">
        <v>14</v>
      </c>
    </row>
    <row r="19" spans="1:38" ht="17.25" customHeight="1">
      <c r="A19" s="518">
        <v>0.85</v>
      </c>
      <c r="B19" s="141" t="s">
        <v>113</v>
      </c>
      <c r="C19" s="142"/>
      <c r="D19" s="143">
        <v>0.79900000000000004</v>
      </c>
      <c r="E19" s="143">
        <v>0.79220000000000002</v>
      </c>
      <c r="F19" s="143">
        <v>0.77180000000000004</v>
      </c>
      <c r="G19" s="143">
        <v>0.75139999999999996</v>
      </c>
      <c r="H19" s="143">
        <v>0.73440000000000005</v>
      </c>
      <c r="I19" s="143">
        <v>0.71740000000000004</v>
      </c>
      <c r="J19" s="143">
        <v>0.70040000000000002</v>
      </c>
      <c r="K19" s="143">
        <v>0.68</v>
      </c>
      <c r="L19" s="143">
        <v>0.66300000000000003</v>
      </c>
      <c r="M19" s="143">
        <v>0.64600000000000002</v>
      </c>
      <c r="N19" s="144">
        <v>0.62560000000000004</v>
      </c>
      <c r="P19" s="219">
        <v>1</v>
      </c>
      <c r="Q19" s="128">
        <v>36</v>
      </c>
      <c r="R19" s="133">
        <v>10.18</v>
      </c>
      <c r="S19" s="133">
        <v>20.36</v>
      </c>
      <c r="T19" s="133">
        <v>30.54</v>
      </c>
      <c r="U19" s="133">
        <v>40.72</v>
      </c>
      <c r="V19" s="133">
        <v>50.9</v>
      </c>
      <c r="W19" s="133">
        <v>61.08</v>
      </c>
      <c r="X19" s="133">
        <v>71.260000000000005</v>
      </c>
      <c r="Y19" s="133">
        <v>81.44</v>
      </c>
      <c r="Z19" s="133">
        <v>91.62</v>
      </c>
      <c r="AA19" s="219">
        <v>15</v>
      </c>
      <c r="AB19" s="134">
        <v>180</v>
      </c>
      <c r="AC19" s="232">
        <v>190</v>
      </c>
      <c r="AD19" s="233">
        <v>149</v>
      </c>
      <c r="AE19" s="233">
        <v>207</v>
      </c>
      <c r="AF19" s="233">
        <v>265</v>
      </c>
      <c r="AG19" s="233">
        <v>339</v>
      </c>
      <c r="AH19" s="233">
        <v>413</v>
      </c>
      <c r="AI19" s="233">
        <v>595</v>
      </c>
      <c r="AJ19" s="233">
        <v>810</v>
      </c>
      <c r="AK19" s="234">
        <v>1058</v>
      </c>
      <c r="AL19" s="107">
        <v>15</v>
      </c>
    </row>
    <row r="20" spans="1:38" ht="17.25" customHeight="1" thickBot="1">
      <c r="A20" s="518"/>
      <c r="B20" s="516" t="s">
        <v>114</v>
      </c>
      <c r="C20" s="142"/>
      <c r="D20" s="143">
        <v>0.66596999999999995</v>
      </c>
      <c r="E20" s="143">
        <v>0.65782700000000005</v>
      </c>
      <c r="F20" s="143">
        <v>0.63376299999999997</v>
      </c>
      <c r="G20" s="143">
        <v>0.61022799999999999</v>
      </c>
      <c r="H20" s="143">
        <v>0.59100699999999995</v>
      </c>
      <c r="I20" s="143">
        <v>0.57213199999999997</v>
      </c>
      <c r="J20" s="143">
        <v>0.553593</v>
      </c>
      <c r="K20" s="143">
        <v>0.531779</v>
      </c>
      <c r="L20" s="143">
        <v>0.51395000000000002</v>
      </c>
      <c r="M20" s="143">
        <v>0.49642999999999998</v>
      </c>
      <c r="N20" s="144">
        <v>0.47580299999999998</v>
      </c>
      <c r="P20" s="219">
        <v>2</v>
      </c>
      <c r="Q20" s="145">
        <v>40</v>
      </c>
      <c r="R20" s="146">
        <v>12.57</v>
      </c>
      <c r="S20" s="146">
        <v>25.12</v>
      </c>
      <c r="T20" s="146">
        <v>37.700000000000003</v>
      </c>
      <c r="U20" s="146">
        <v>50.24</v>
      </c>
      <c r="V20" s="146">
        <v>62.8</v>
      </c>
      <c r="W20" s="146">
        <v>75.36</v>
      </c>
      <c r="X20" s="146">
        <v>87.92</v>
      </c>
      <c r="Y20" s="146">
        <v>100.4</v>
      </c>
      <c r="Z20" s="146">
        <v>113</v>
      </c>
      <c r="AA20" s="219">
        <v>16</v>
      </c>
      <c r="AB20" s="134">
        <v>190</v>
      </c>
      <c r="AC20" s="235">
        <v>200</v>
      </c>
      <c r="AD20" s="236">
        <v>142</v>
      </c>
      <c r="AE20" s="236">
        <v>197</v>
      </c>
      <c r="AF20" s="236">
        <v>252</v>
      </c>
      <c r="AG20" s="236">
        <v>322</v>
      </c>
      <c r="AH20" s="236">
        <v>393</v>
      </c>
      <c r="AI20" s="236">
        <v>566</v>
      </c>
      <c r="AJ20" s="236">
        <v>770</v>
      </c>
      <c r="AK20" s="237">
        <v>1005</v>
      </c>
      <c r="AL20" s="107">
        <v>16</v>
      </c>
    </row>
    <row r="21" spans="1:38" ht="17.25" customHeight="1">
      <c r="A21" s="518"/>
      <c r="B21" s="517"/>
      <c r="C21" s="142"/>
      <c r="D21" s="143">
        <v>0.444212</v>
      </c>
      <c r="E21" s="143">
        <v>0.44145899999999999</v>
      </c>
      <c r="F21" s="143">
        <v>0.43293500000000001</v>
      </c>
      <c r="G21" s="143">
        <v>0.424039</v>
      </c>
      <c r="H21" s="143">
        <v>0.41636200000000001</v>
      </c>
      <c r="I21" s="143">
        <v>0.40846399999999999</v>
      </c>
      <c r="J21" s="143">
        <v>0.40035999999999999</v>
      </c>
      <c r="K21" s="143">
        <v>0.39038400000000001</v>
      </c>
      <c r="L21" s="143">
        <v>0.381878</v>
      </c>
      <c r="M21" s="143">
        <v>0.37320900000000001</v>
      </c>
      <c r="N21" s="144">
        <v>0.36260900000000001</v>
      </c>
      <c r="O21" s="107">
        <v>3</v>
      </c>
      <c r="P21" s="219">
        <v>3</v>
      </c>
      <c r="Q21" s="109"/>
      <c r="R21" s="109"/>
      <c r="S21" s="109"/>
      <c r="T21" s="109"/>
      <c r="U21" s="109"/>
      <c r="V21" s="109"/>
      <c r="W21" s="109"/>
      <c r="X21" s="109"/>
      <c r="Y21" s="109"/>
      <c r="Z21" s="109"/>
      <c r="AA21" s="109"/>
      <c r="AB21" s="134">
        <v>200</v>
      </c>
      <c r="AC21" s="109"/>
      <c r="AD21" s="219">
        <v>1</v>
      </c>
      <c r="AE21" s="219">
        <v>2</v>
      </c>
      <c r="AF21" s="219">
        <v>3</v>
      </c>
      <c r="AG21" s="219">
        <v>4</v>
      </c>
      <c r="AH21" s="219">
        <v>5</v>
      </c>
      <c r="AI21" s="219">
        <v>6</v>
      </c>
      <c r="AJ21" s="219">
        <v>7</v>
      </c>
      <c r="AK21" s="219">
        <v>8</v>
      </c>
    </row>
    <row r="22" spans="1:38" ht="17.25" customHeight="1" thickBot="1">
      <c r="A22" s="518"/>
      <c r="B22" s="516" t="s">
        <v>115</v>
      </c>
      <c r="C22" s="142"/>
      <c r="D22" s="143">
        <v>0.69283300000000003</v>
      </c>
      <c r="E22" s="143">
        <v>0.68488000000000004</v>
      </c>
      <c r="F22" s="143">
        <v>0.66130699999999998</v>
      </c>
      <c r="G22" s="143">
        <v>0.63814800000000005</v>
      </c>
      <c r="H22" s="143">
        <v>0.61916000000000004</v>
      </c>
      <c r="I22" s="143">
        <v>0.60044600000000004</v>
      </c>
      <c r="J22" s="143">
        <v>0.58200200000000002</v>
      </c>
      <c r="K22" s="143">
        <v>0.56021600000000005</v>
      </c>
      <c r="L22" s="143">
        <v>0.54234300000000002</v>
      </c>
      <c r="M22" s="143">
        <v>0.52472200000000002</v>
      </c>
      <c r="N22" s="144">
        <v>0.50390100000000004</v>
      </c>
      <c r="P22" s="219">
        <v>4</v>
      </c>
      <c r="Q22" s="106" t="s">
        <v>220</v>
      </c>
      <c r="R22" s="177" t="s">
        <v>219</v>
      </c>
      <c r="S22" s="139"/>
      <c r="T22" s="139"/>
      <c r="U22" s="109"/>
      <c r="V22" s="109"/>
      <c r="W22" s="109"/>
      <c r="X22" s="109"/>
      <c r="Y22" s="109"/>
      <c r="Z22" s="109"/>
      <c r="AA22" s="109"/>
      <c r="AB22" s="109"/>
      <c r="AC22" s="109"/>
      <c r="AD22" s="109"/>
      <c r="AE22" s="109"/>
      <c r="AF22" s="109"/>
      <c r="AG22" s="109"/>
      <c r="AH22" s="109"/>
      <c r="AI22" s="109"/>
      <c r="AJ22" s="109"/>
      <c r="AK22" s="109"/>
    </row>
    <row r="23" spans="1:38" ht="17.25" customHeight="1">
      <c r="A23" s="518"/>
      <c r="B23" s="517"/>
      <c r="C23" s="142"/>
      <c r="D23" s="143">
        <v>0.452824</v>
      </c>
      <c r="E23" s="143">
        <v>0.45034999999999997</v>
      </c>
      <c r="F23" s="143">
        <v>0.44264300000000001</v>
      </c>
      <c r="G23" s="143">
        <v>0.43453199999999997</v>
      </c>
      <c r="H23" s="143">
        <v>0.42748000000000003</v>
      </c>
      <c r="I23" s="143">
        <v>0.420178</v>
      </c>
      <c r="J23" s="143">
        <v>0.41263899999999998</v>
      </c>
      <c r="K23" s="143">
        <v>0.40329500000000001</v>
      </c>
      <c r="L23" s="143">
        <v>0.39527499999999999</v>
      </c>
      <c r="M23" s="143">
        <v>0.38705600000000001</v>
      </c>
      <c r="N23" s="144">
        <v>0.37694299999999997</v>
      </c>
      <c r="O23" s="107">
        <v>2</v>
      </c>
      <c r="P23" s="219">
        <v>5</v>
      </c>
      <c r="Q23" s="521"/>
      <c r="R23" s="491" t="s">
        <v>226</v>
      </c>
      <c r="S23" s="491"/>
      <c r="T23" s="491"/>
      <c r="U23" s="491"/>
      <c r="V23" s="491"/>
      <c r="W23" s="491"/>
      <c r="X23" s="491"/>
      <c r="Y23" s="491"/>
      <c r="Z23" s="524" t="s">
        <v>137</v>
      </c>
      <c r="AA23" s="484" t="s">
        <v>149</v>
      </c>
      <c r="AB23" s="109"/>
      <c r="AC23" s="109"/>
      <c r="AD23" s="109"/>
      <c r="AE23" s="109"/>
      <c r="AF23" s="109"/>
      <c r="AG23" s="109"/>
      <c r="AH23" s="109"/>
      <c r="AI23" s="109"/>
      <c r="AJ23" s="109"/>
      <c r="AK23" s="109"/>
    </row>
    <row r="24" spans="1:38" ht="17.25" customHeight="1">
      <c r="A24" s="518"/>
      <c r="B24" s="516" t="s">
        <v>116</v>
      </c>
      <c r="C24" s="142"/>
      <c r="D24" s="143">
        <v>0.71140099999999995</v>
      </c>
      <c r="E24" s="143">
        <v>0.70360400000000001</v>
      </c>
      <c r="F24" s="143">
        <v>0.68044099999999996</v>
      </c>
      <c r="G24" s="143">
        <v>0.65761800000000004</v>
      </c>
      <c r="H24" s="143">
        <v>0.63885099999999995</v>
      </c>
      <c r="I24" s="143">
        <v>0.62031000000000003</v>
      </c>
      <c r="J24" s="143">
        <v>0.60199100000000005</v>
      </c>
      <c r="K24" s="143">
        <v>0.58029500000000001</v>
      </c>
      <c r="L24" s="143">
        <v>0.56244899999999998</v>
      </c>
      <c r="M24" s="143">
        <v>0.54481299999999999</v>
      </c>
      <c r="N24" s="144">
        <v>0.52392099999999997</v>
      </c>
      <c r="P24" s="219">
        <v>6</v>
      </c>
      <c r="Q24" s="522"/>
      <c r="R24" s="358"/>
      <c r="S24" s="358"/>
      <c r="T24" s="358"/>
      <c r="U24" s="358"/>
      <c r="V24" s="358"/>
      <c r="W24" s="358"/>
      <c r="X24" s="358"/>
      <c r="Y24" s="358"/>
      <c r="Z24" s="525"/>
      <c r="AA24" s="485"/>
      <c r="AB24" s="109"/>
      <c r="AC24" s="109"/>
      <c r="AD24" s="109"/>
      <c r="AE24" s="109"/>
      <c r="AF24" s="109"/>
      <c r="AG24" s="109"/>
      <c r="AH24" s="109"/>
      <c r="AI24" s="109"/>
      <c r="AJ24" s="109"/>
      <c r="AK24" s="109"/>
    </row>
    <row r="25" spans="1:38" ht="17.25" customHeight="1">
      <c r="A25" s="518"/>
      <c r="B25" s="517"/>
      <c r="C25" s="142"/>
      <c r="D25" s="143">
        <v>0.45835500000000001</v>
      </c>
      <c r="E25" s="143">
        <v>0.45607500000000001</v>
      </c>
      <c r="F25" s="143">
        <v>0.44894099999999998</v>
      </c>
      <c r="G25" s="143">
        <v>0.44138699999999997</v>
      </c>
      <c r="H25" s="143">
        <v>0.43478600000000001</v>
      </c>
      <c r="I25" s="143">
        <v>0.42791800000000002</v>
      </c>
      <c r="J25" s="143">
        <v>0.420794</v>
      </c>
      <c r="K25" s="143">
        <v>0.41192400000000001</v>
      </c>
      <c r="L25" s="143">
        <v>0.404275</v>
      </c>
      <c r="M25" s="143">
        <v>0.39640300000000001</v>
      </c>
      <c r="N25" s="144">
        <v>0.38667400000000002</v>
      </c>
      <c r="O25" s="107">
        <v>1</v>
      </c>
      <c r="P25" s="219">
        <v>7</v>
      </c>
      <c r="Q25" s="522"/>
      <c r="R25" s="490">
        <v>5</v>
      </c>
      <c r="S25" s="490">
        <v>6</v>
      </c>
      <c r="T25" s="490">
        <v>7</v>
      </c>
      <c r="U25" s="490">
        <v>8</v>
      </c>
      <c r="V25" s="490">
        <v>9</v>
      </c>
      <c r="W25" s="490">
        <v>10</v>
      </c>
      <c r="X25" s="490">
        <v>11</v>
      </c>
      <c r="Y25" s="490">
        <v>12</v>
      </c>
      <c r="Z25" s="525"/>
      <c r="AA25" s="485"/>
      <c r="AB25" s="109"/>
      <c r="AC25" s="109"/>
      <c r="AD25" s="109"/>
      <c r="AE25" s="109"/>
      <c r="AF25" s="109"/>
      <c r="AG25" s="109"/>
      <c r="AH25" s="109"/>
      <c r="AI25" s="109"/>
      <c r="AJ25" s="109"/>
      <c r="AK25" s="109"/>
    </row>
    <row r="26" spans="1:38" ht="17.25" customHeight="1">
      <c r="A26" s="518">
        <v>0.9</v>
      </c>
      <c r="B26" s="141" t="s">
        <v>113</v>
      </c>
      <c r="C26" s="142"/>
      <c r="D26" s="143">
        <v>0.79600000000000004</v>
      </c>
      <c r="E26" s="143">
        <v>0.78879999999999995</v>
      </c>
      <c r="F26" s="143">
        <v>0.76719999999999999</v>
      </c>
      <c r="G26" s="143">
        <v>0.74560000000000004</v>
      </c>
      <c r="H26" s="143">
        <v>0.72760000000000002</v>
      </c>
      <c r="I26" s="143">
        <v>0.70960000000000001</v>
      </c>
      <c r="J26" s="143">
        <v>0.69159999999999999</v>
      </c>
      <c r="K26" s="143">
        <v>0.67</v>
      </c>
      <c r="L26" s="143">
        <v>0.65200000000000002</v>
      </c>
      <c r="M26" s="143">
        <v>0.63400000000000001</v>
      </c>
      <c r="N26" s="144">
        <v>0.61240000000000006</v>
      </c>
      <c r="P26" s="219">
        <v>1</v>
      </c>
      <c r="Q26" s="523"/>
      <c r="R26" s="490"/>
      <c r="S26" s="490"/>
      <c r="T26" s="490"/>
      <c r="U26" s="490"/>
      <c r="V26" s="490"/>
      <c r="W26" s="490"/>
      <c r="X26" s="490"/>
      <c r="Y26" s="490"/>
      <c r="Z26" s="525"/>
      <c r="AA26" s="485"/>
      <c r="AB26" s="109"/>
      <c r="AC26" s="174"/>
      <c r="AD26" s="174"/>
      <c r="AE26" s="174"/>
      <c r="AF26" s="109"/>
      <c r="AG26" s="109"/>
      <c r="AH26" s="109"/>
      <c r="AI26" s="109"/>
      <c r="AJ26" s="109"/>
      <c r="AK26" s="109"/>
    </row>
    <row r="27" spans="1:38" ht="17.25" customHeight="1">
      <c r="A27" s="518"/>
      <c r="B27" s="516" t="s">
        <v>114</v>
      </c>
      <c r="C27" s="142"/>
      <c r="D27" s="143">
        <v>0.66237000000000001</v>
      </c>
      <c r="E27" s="143">
        <v>0.653779</v>
      </c>
      <c r="F27" s="143">
        <v>0.62841000000000002</v>
      </c>
      <c r="G27" s="143">
        <v>0.60363</v>
      </c>
      <c r="H27" s="143">
        <v>0.58341600000000005</v>
      </c>
      <c r="I27" s="143">
        <v>0.56358399999999997</v>
      </c>
      <c r="J27" s="143">
        <v>0.544126</v>
      </c>
      <c r="K27" s="143">
        <v>0.52125299999999997</v>
      </c>
      <c r="L27" s="143">
        <v>0.502579</v>
      </c>
      <c r="M27" s="143">
        <v>0.48424499999999998</v>
      </c>
      <c r="N27" s="144">
        <v>0.46268100000000001</v>
      </c>
      <c r="P27" s="219">
        <v>2</v>
      </c>
      <c r="Q27" s="185">
        <v>0.5</v>
      </c>
      <c r="R27" s="183">
        <v>-7.1499999999999994E-2</v>
      </c>
      <c r="S27" s="183">
        <v>-0.01</v>
      </c>
      <c r="T27" s="183">
        <v>2.1999999999999999E-2</v>
      </c>
      <c r="U27" s="183">
        <v>2.4E-2</v>
      </c>
      <c r="V27" s="183">
        <v>4.0000000000000001E-3</v>
      </c>
      <c r="W27" s="183">
        <v>-6.25E-2</v>
      </c>
      <c r="X27" s="183">
        <v>-3.0000000000000001E-3</v>
      </c>
      <c r="Y27" s="183">
        <v>2.8000000000000001E-2</v>
      </c>
      <c r="Z27" s="184">
        <v>0.16700000000000001</v>
      </c>
      <c r="AA27" s="486" t="s">
        <v>227</v>
      </c>
      <c r="AB27" s="109"/>
      <c r="AC27" s="171"/>
      <c r="AD27" s="171"/>
      <c r="AE27" s="171"/>
      <c r="AF27" s="109"/>
      <c r="AG27" s="109"/>
      <c r="AH27" s="109"/>
      <c r="AI27" s="109"/>
      <c r="AJ27" s="109"/>
      <c r="AK27" s="109"/>
    </row>
    <row r="28" spans="1:38" ht="17.25" customHeight="1">
      <c r="A28" s="518"/>
      <c r="B28" s="517"/>
      <c r="C28" s="142"/>
      <c r="D28" s="143">
        <v>0.44300299999999998</v>
      </c>
      <c r="E28" s="143">
        <v>0.44006600000000001</v>
      </c>
      <c r="F28" s="143">
        <v>0.43096099999999998</v>
      </c>
      <c r="G28" s="143">
        <v>0.42144599999999999</v>
      </c>
      <c r="H28" s="143">
        <v>0.41322900000000001</v>
      </c>
      <c r="I28" s="143">
        <v>0.40477099999999999</v>
      </c>
      <c r="J28" s="143">
        <v>0.39608900000000002</v>
      </c>
      <c r="K28" s="143">
        <v>0.38540099999999999</v>
      </c>
      <c r="L28" s="143">
        <v>0.37628600000000001</v>
      </c>
      <c r="M28" s="143">
        <v>0.36699799999999999</v>
      </c>
      <c r="N28" s="144">
        <v>0.35564400000000002</v>
      </c>
      <c r="O28" s="107">
        <v>3</v>
      </c>
      <c r="P28" s="219">
        <v>3</v>
      </c>
      <c r="Q28" s="185">
        <v>1</v>
      </c>
      <c r="R28" s="183">
        <v>-7.1499999999999994E-2</v>
      </c>
      <c r="S28" s="183">
        <v>-0.02</v>
      </c>
      <c r="T28" s="183">
        <v>1.6E-2</v>
      </c>
      <c r="U28" s="183">
        <v>8.9999999999999993E-3</v>
      </c>
      <c r="V28" s="183">
        <v>-1.4E-2</v>
      </c>
      <c r="W28" s="183">
        <v>-6.25E-2</v>
      </c>
      <c r="X28" s="183">
        <v>-1.2999999999999999E-2</v>
      </c>
      <c r="Y28" s="183">
        <v>1.2999999999999999E-2</v>
      </c>
      <c r="Z28" s="184">
        <v>0.2</v>
      </c>
      <c r="AA28" s="487"/>
      <c r="AB28" s="109"/>
      <c r="AH28" s="109"/>
      <c r="AI28" s="109"/>
      <c r="AJ28" s="109"/>
      <c r="AK28" s="109"/>
    </row>
    <row r="29" spans="1:38" ht="17.25" customHeight="1">
      <c r="A29" s="518"/>
      <c r="B29" s="516" t="s">
        <v>115</v>
      </c>
      <c r="C29" s="142"/>
      <c r="D29" s="143">
        <v>0.68931900000000002</v>
      </c>
      <c r="E29" s="143">
        <v>0.68092200000000003</v>
      </c>
      <c r="F29" s="143">
        <v>0.65604899999999999</v>
      </c>
      <c r="G29" s="143">
        <v>0.63163899999999995</v>
      </c>
      <c r="H29" s="143">
        <v>0.61164200000000002</v>
      </c>
      <c r="I29" s="143">
        <v>0.59194999999999998</v>
      </c>
      <c r="J29" s="143">
        <v>0.57255800000000001</v>
      </c>
      <c r="K29" s="143">
        <v>0.54967200000000005</v>
      </c>
      <c r="L29" s="143">
        <v>0.53091299999999997</v>
      </c>
      <c r="M29" s="143">
        <v>0.512432</v>
      </c>
      <c r="N29" s="144">
        <v>0.49061399999999999</v>
      </c>
      <c r="P29" s="219">
        <v>4</v>
      </c>
      <c r="Q29" s="185">
        <v>1.5</v>
      </c>
      <c r="R29" s="183">
        <v>-7.1499999999999994E-2</v>
      </c>
      <c r="S29" s="183">
        <v>-2.5999999999999999E-2</v>
      </c>
      <c r="T29" s="183">
        <v>-3.0000000000000001E-3</v>
      </c>
      <c r="U29" s="183">
        <v>0</v>
      </c>
      <c r="V29" s="183">
        <v>-0.02</v>
      </c>
      <c r="W29" s="183">
        <v>-6.25E-2</v>
      </c>
      <c r="X29" s="183">
        <v>-1.9E-2</v>
      </c>
      <c r="Y29" s="183">
        <v>4.0000000000000001E-3</v>
      </c>
      <c r="Z29" s="184">
        <v>0.22800000000000001</v>
      </c>
      <c r="AA29" s="487"/>
      <c r="AB29" s="109"/>
      <c r="AH29" s="109"/>
      <c r="AI29" s="109"/>
      <c r="AJ29" s="109"/>
      <c r="AK29" s="109"/>
    </row>
    <row r="30" spans="1:38" ht="17.25" customHeight="1">
      <c r="A30" s="518"/>
      <c r="B30" s="517"/>
      <c r="C30" s="142"/>
      <c r="D30" s="143">
        <v>0.451739</v>
      </c>
      <c r="E30" s="143">
        <v>0.44909500000000002</v>
      </c>
      <c r="F30" s="143">
        <v>0.44084899999999999</v>
      </c>
      <c r="G30" s="143">
        <v>0.43215500000000001</v>
      </c>
      <c r="H30" s="143">
        <v>0.42458899999999999</v>
      </c>
      <c r="I30" s="143">
        <v>0.41674800000000001</v>
      </c>
      <c r="J30" s="143">
        <v>0.40864699999999998</v>
      </c>
      <c r="K30" s="143">
        <v>0.39860200000000001</v>
      </c>
      <c r="L30" s="143">
        <v>0.38997900000000002</v>
      </c>
      <c r="M30" s="143">
        <v>0.38113900000000001</v>
      </c>
      <c r="N30" s="144">
        <v>0.37026300000000001</v>
      </c>
      <c r="O30" s="107">
        <v>2</v>
      </c>
      <c r="P30" s="219">
        <v>5</v>
      </c>
      <c r="Q30" s="185">
        <v>2</v>
      </c>
      <c r="R30" s="183">
        <v>-7.1499999999999994E-2</v>
      </c>
      <c r="S30" s="183">
        <v>-0.03</v>
      </c>
      <c r="T30" s="183">
        <v>-8.9999999999999993E-3</v>
      </c>
      <c r="U30" s="183">
        <v>-6.0000000000000001E-3</v>
      </c>
      <c r="V30" s="183">
        <v>-2.4E-2</v>
      </c>
      <c r="W30" s="183">
        <v>-6.25E-2</v>
      </c>
      <c r="X30" s="183">
        <v>-2.3E-2</v>
      </c>
      <c r="Y30" s="183">
        <v>-3.0000000000000001E-3</v>
      </c>
      <c r="Z30" s="184">
        <v>0.25</v>
      </c>
      <c r="AA30" s="487"/>
      <c r="AB30" s="109"/>
      <c r="AC30" s="171"/>
      <c r="AD30" s="171"/>
      <c r="AE30" s="171"/>
      <c r="AF30" s="109"/>
      <c r="AG30" s="109"/>
      <c r="AH30" s="109"/>
      <c r="AI30" s="109"/>
      <c r="AJ30" s="109"/>
      <c r="AK30" s="109"/>
    </row>
    <row r="31" spans="1:38" ht="17.25" customHeight="1">
      <c r="A31" s="518"/>
      <c r="B31" s="516" t="s">
        <v>116</v>
      </c>
      <c r="C31" s="142"/>
      <c r="D31" s="143">
        <v>0.70795600000000003</v>
      </c>
      <c r="E31" s="143">
        <v>0.69971899999999998</v>
      </c>
      <c r="F31" s="143">
        <v>0.67526600000000003</v>
      </c>
      <c r="G31" s="143">
        <v>0.65118900000000002</v>
      </c>
      <c r="H31" s="143">
        <v>0.63140799999999997</v>
      </c>
      <c r="I31" s="143">
        <v>0.61187800000000003</v>
      </c>
      <c r="J31" s="143">
        <v>0.59259399999999995</v>
      </c>
      <c r="K31" s="143">
        <v>0.56977199999999995</v>
      </c>
      <c r="L31" s="143">
        <v>0.551014</v>
      </c>
      <c r="M31" s="143">
        <v>0.53248799999999996</v>
      </c>
      <c r="N31" s="144">
        <v>0.51055799999999996</v>
      </c>
      <c r="P31" s="219">
        <v>6</v>
      </c>
      <c r="Q31" s="185">
        <v>2.5</v>
      </c>
      <c r="R31" s="183">
        <v>-7.1499999999999994E-2</v>
      </c>
      <c r="S31" s="183">
        <v>-3.3000000000000002E-2</v>
      </c>
      <c r="T31" s="183">
        <v>-1.2E-2</v>
      </c>
      <c r="U31" s="183">
        <v>-8.9999999999999993E-3</v>
      </c>
      <c r="V31" s="183">
        <v>-2.7E-2</v>
      </c>
      <c r="W31" s="183">
        <v>-6.25E-2</v>
      </c>
      <c r="X31" s="183">
        <v>-2.5000000000000001E-2</v>
      </c>
      <c r="Y31" s="183">
        <v>-6.0000000000000001E-3</v>
      </c>
      <c r="Z31" s="184">
        <v>0.27</v>
      </c>
      <c r="AA31" s="487"/>
      <c r="AB31" s="109"/>
      <c r="AG31" s="109"/>
      <c r="AH31" s="109"/>
      <c r="AI31" s="109"/>
      <c r="AJ31" s="109"/>
      <c r="AK31" s="109"/>
    </row>
    <row r="32" spans="1:38" ht="17.25" customHeight="1">
      <c r="A32" s="518"/>
      <c r="B32" s="517"/>
      <c r="C32" s="142"/>
      <c r="D32" s="143">
        <v>0.45735500000000001</v>
      </c>
      <c r="E32" s="143">
        <v>0.45491599999999999</v>
      </c>
      <c r="F32" s="143">
        <v>0.447274</v>
      </c>
      <c r="G32" s="143">
        <v>0.439166</v>
      </c>
      <c r="H32" s="143">
        <v>0.43207000000000001</v>
      </c>
      <c r="I32" s="143">
        <v>0.42468</v>
      </c>
      <c r="J32" s="143">
        <v>0.41700999999999999</v>
      </c>
      <c r="K32" s="143">
        <v>0.40745199999999998</v>
      </c>
      <c r="L32" s="143">
        <v>0.39920600000000001</v>
      </c>
      <c r="M32" s="143">
        <v>0.39071600000000001</v>
      </c>
      <c r="N32" s="144">
        <v>0.38022299999999998</v>
      </c>
      <c r="O32" s="107">
        <v>1</v>
      </c>
      <c r="P32" s="219">
        <v>7</v>
      </c>
      <c r="Q32" s="185">
        <v>3</v>
      </c>
      <c r="R32" s="183">
        <v>-7.1499999999999994E-2</v>
      </c>
      <c r="S32" s="183">
        <v>-3.5000000000000003E-2</v>
      </c>
      <c r="T32" s="183">
        <v>-1.6E-2</v>
      </c>
      <c r="U32" s="183">
        <v>-1.4E-2</v>
      </c>
      <c r="V32" s="183">
        <v>-2.9000000000000001E-2</v>
      </c>
      <c r="W32" s="183">
        <v>-6.25E-2</v>
      </c>
      <c r="X32" s="183">
        <v>-2.8000000000000001E-2</v>
      </c>
      <c r="Y32" s="183">
        <v>-0.01</v>
      </c>
      <c r="Z32" s="184">
        <v>0.28499999999999998</v>
      </c>
      <c r="AA32" s="487"/>
      <c r="AB32" s="109"/>
      <c r="AG32" s="109"/>
      <c r="AH32" s="109"/>
      <c r="AI32" s="109"/>
      <c r="AJ32" s="109"/>
      <c r="AK32" s="109"/>
    </row>
    <row r="33" spans="1:38" ht="17.25" customHeight="1">
      <c r="A33" s="515">
        <v>1</v>
      </c>
      <c r="B33" s="141" t="s">
        <v>113</v>
      </c>
      <c r="C33" s="142"/>
      <c r="D33" s="143">
        <v>0.79</v>
      </c>
      <c r="E33" s="143">
        <v>0.78200000000000003</v>
      </c>
      <c r="F33" s="143">
        <v>0.75800000000000001</v>
      </c>
      <c r="G33" s="143">
        <v>0.73399999999999999</v>
      </c>
      <c r="H33" s="143">
        <v>0.71399999999999997</v>
      </c>
      <c r="I33" s="143">
        <v>0.69399999999999995</v>
      </c>
      <c r="J33" s="143">
        <v>0.67400000000000004</v>
      </c>
      <c r="K33" s="143">
        <v>0.65</v>
      </c>
      <c r="L33" s="143">
        <v>0.63</v>
      </c>
      <c r="M33" s="143">
        <v>0.61</v>
      </c>
      <c r="N33" s="144">
        <v>0.58599999999999997</v>
      </c>
      <c r="P33" s="219">
        <v>1</v>
      </c>
      <c r="Q33" s="185">
        <v>3.5</v>
      </c>
      <c r="R33" s="183">
        <v>-7.1499999999999994E-2</v>
      </c>
      <c r="S33" s="183">
        <v>-3.6999999999999998E-2</v>
      </c>
      <c r="T33" s="183">
        <v>-1.9E-2</v>
      </c>
      <c r="U33" s="183">
        <v>-1.7000000000000001E-2</v>
      </c>
      <c r="V33" s="183">
        <v>-3.1E-2</v>
      </c>
      <c r="W33" s="183">
        <v>-6.25E-2</v>
      </c>
      <c r="X33" s="183">
        <v>-2.9000000000000001E-2</v>
      </c>
      <c r="Y33" s="183">
        <v>-1.2999999999999999E-2</v>
      </c>
      <c r="Z33" s="184">
        <v>0.30399999999999999</v>
      </c>
      <c r="AA33" s="487"/>
      <c r="AB33" s="109"/>
      <c r="AG33" s="109"/>
      <c r="AH33" s="109"/>
      <c r="AI33" s="109"/>
      <c r="AJ33" s="109"/>
      <c r="AK33" s="109"/>
    </row>
    <row r="34" spans="1:38" ht="17.25" customHeight="1">
      <c r="A34" s="515"/>
      <c r="B34" s="516" t="s">
        <v>114</v>
      </c>
      <c r="C34" s="142"/>
      <c r="D34" s="143">
        <v>0.65520599999999996</v>
      </c>
      <c r="E34" s="143">
        <v>0.64572799999999997</v>
      </c>
      <c r="F34" s="143">
        <v>0.61778500000000003</v>
      </c>
      <c r="G34" s="143">
        <v>0.59055899999999995</v>
      </c>
      <c r="H34" s="143">
        <v>0.56839700000000004</v>
      </c>
      <c r="I34" s="143">
        <v>0.54669900000000005</v>
      </c>
      <c r="J34" s="143">
        <v>0.52544999999999997</v>
      </c>
      <c r="K34" s="143">
        <v>0.500525</v>
      </c>
      <c r="L34" s="143">
        <v>0.48021599999999998</v>
      </c>
      <c r="M34" s="143">
        <v>0.460314</v>
      </c>
      <c r="N34" s="144">
        <v>0.43695200000000001</v>
      </c>
      <c r="P34" s="219">
        <v>2</v>
      </c>
      <c r="Q34" s="185">
        <v>4</v>
      </c>
      <c r="R34" s="183">
        <v>-7.1499999999999994E-2</v>
      </c>
      <c r="S34" s="183">
        <v>-3.7999999999999999E-2</v>
      </c>
      <c r="T34" s="183">
        <v>-2.1000000000000001E-2</v>
      </c>
      <c r="U34" s="183">
        <v>-1.7999999999999999E-2</v>
      </c>
      <c r="V34" s="183">
        <v>-3.2000000000000001E-2</v>
      </c>
      <c r="W34" s="183">
        <v>-6.25E-2</v>
      </c>
      <c r="X34" s="183">
        <v>-0.03</v>
      </c>
      <c r="Y34" s="183">
        <v>-1.4999999999999999E-2</v>
      </c>
      <c r="Z34" s="184">
        <v>0.314</v>
      </c>
      <c r="AA34" s="487"/>
      <c r="AB34" s="109"/>
      <c r="AG34" s="109"/>
      <c r="AH34" s="109"/>
      <c r="AI34" s="109"/>
      <c r="AJ34" s="109"/>
      <c r="AK34" s="109"/>
    </row>
    <row r="35" spans="1:38" ht="17.25" customHeight="1">
      <c r="A35" s="515"/>
      <c r="B35" s="517"/>
      <c r="C35" s="142"/>
      <c r="D35" s="143">
        <v>0.44055899999999998</v>
      </c>
      <c r="E35" s="143">
        <v>0.43724600000000002</v>
      </c>
      <c r="F35" s="143">
        <v>0.426956</v>
      </c>
      <c r="G35" s="143">
        <v>0.41617900000000002</v>
      </c>
      <c r="H35" s="143">
        <v>0.40686</v>
      </c>
      <c r="I35" s="143">
        <v>0.39725899999999997</v>
      </c>
      <c r="J35" s="143">
        <v>0.387401</v>
      </c>
      <c r="K35" s="143">
        <v>0.37526199999999998</v>
      </c>
      <c r="L35" s="143">
        <v>0.36491200000000001</v>
      </c>
      <c r="M35" s="143">
        <v>0.35437000000000002</v>
      </c>
      <c r="N35" s="144">
        <v>0.34148800000000001</v>
      </c>
      <c r="O35" s="107">
        <v>3</v>
      </c>
      <c r="P35" s="219">
        <v>3</v>
      </c>
      <c r="Q35" s="185">
        <v>4.5</v>
      </c>
      <c r="R35" s="183">
        <v>-7.1499999999999994E-2</v>
      </c>
      <c r="S35" s="183">
        <v>-3.9E-2</v>
      </c>
      <c r="T35" s="183">
        <v>2.1999999999999999E-2</v>
      </c>
      <c r="U35" s="183">
        <v>-0.02</v>
      </c>
      <c r="V35" s="183">
        <v>-3.3000000000000002E-2</v>
      </c>
      <c r="W35" s="183">
        <v>-6.25E-2</v>
      </c>
      <c r="X35" s="183">
        <v>-3.2000000000000001E-2</v>
      </c>
      <c r="Y35" s="183">
        <v>-1.6E-2</v>
      </c>
      <c r="Z35" s="184">
        <v>0.32400000000000001</v>
      </c>
      <c r="AA35" s="487"/>
      <c r="AB35" s="109"/>
      <c r="AG35" s="109"/>
      <c r="AH35" s="109"/>
      <c r="AI35" s="109"/>
      <c r="AJ35" s="109"/>
      <c r="AK35" s="109"/>
    </row>
    <row r="36" spans="1:38" ht="17.25" customHeight="1" thickBot="1">
      <c r="A36" s="515"/>
      <c r="B36" s="516" t="s">
        <v>115</v>
      </c>
      <c r="C36" s="142"/>
      <c r="D36" s="143">
        <v>0.68231799999999998</v>
      </c>
      <c r="E36" s="143">
        <v>0.673041</v>
      </c>
      <c r="F36" s="143">
        <v>0.64559599999999995</v>
      </c>
      <c r="G36" s="143">
        <v>0.61871600000000004</v>
      </c>
      <c r="H36" s="143">
        <v>0.59673600000000004</v>
      </c>
      <c r="I36" s="143">
        <v>0.57512700000000005</v>
      </c>
      <c r="J36" s="143">
        <v>0.55387900000000001</v>
      </c>
      <c r="K36" s="143">
        <v>0.52884600000000004</v>
      </c>
      <c r="L36" s="143">
        <v>0.50836300000000001</v>
      </c>
      <c r="M36" s="143">
        <v>0.48821300000000001</v>
      </c>
      <c r="N36" s="144">
        <v>0.46446300000000001</v>
      </c>
      <c r="P36" s="219">
        <v>4</v>
      </c>
      <c r="Q36" s="186">
        <v>5</v>
      </c>
      <c r="R36" s="187">
        <v>-7.1499999999999994E-2</v>
      </c>
      <c r="S36" s="187">
        <v>-0.04</v>
      </c>
      <c r="T36" s="187">
        <v>-2.4E-2</v>
      </c>
      <c r="U36" s="187">
        <v>-2.1000000000000001E-2</v>
      </c>
      <c r="V36" s="187">
        <v>-3.4000000000000002E-2</v>
      </c>
      <c r="W36" s="187">
        <v>-6.25E-2</v>
      </c>
      <c r="X36" s="187">
        <v>-3.3000000000000002E-2</v>
      </c>
      <c r="Y36" s="187">
        <v>-1.7999999999999999E-2</v>
      </c>
      <c r="Z36" s="188">
        <v>0.33300000000000002</v>
      </c>
      <c r="AA36" s="488"/>
      <c r="AB36" s="109"/>
    </row>
    <row r="37" spans="1:38" ht="17.25" customHeight="1">
      <c r="A37" s="515"/>
      <c r="B37" s="517"/>
      <c r="C37" s="142"/>
      <c r="D37" s="143">
        <v>0.44953900000000002</v>
      </c>
      <c r="E37" s="143">
        <v>0.44654899999999997</v>
      </c>
      <c r="F37" s="143">
        <v>0.437199</v>
      </c>
      <c r="G37" s="143">
        <v>0.427311</v>
      </c>
      <c r="H37" s="143">
        <v>0.41868899999999998</v>
      </c>
      <c r="I37" s="143">
        <v>0.40974100000000002</v>
      </c>
      <c r="J37" s="143">
        <v>0.40048800000000001</v>
      </c>
      <c r="K37" s="143">
        <v>0.38900699999999999</v>
      </c>
      <c r="L37" s="143">
        <v>0.37914599999999998</v>
      </c>
      <c r="M37" s="143">
        <v>0.369037</v>
      </c>
      <c r="N37" s="144">
        <v>0.35659999999999997</v>
      </c>
      <c r="O37" s="107">
        <v>2</v>
      </c>
      <c r="P37" s="219">
        <v>5</v>
      </c>
      <c r="Q37" s="180">
        <f>IF(AND('Bang Tra'!Q27&lt;'2. D.phụ'!$G$29,'2. D.phụ'!$G$29&lt;'Bang Tra'!Q28),'2. D.phụ'!$G$29,0)</f>
        <v>0</v>
      </c>
      <c r="R37" s="181">
        <f>ROUND(IF(AND($Q27&lt;$Q37,$Q37&lt;$Q28),((($Q37-$Q27)*(R$28-R$27))/($Q28-$Q27))+R$27,0),4)</f>
        <v>0</v>
      </c>
      <c r="S37" s="181">
        <f>ROUND(IF(AND($Q27&lt;$Q37,$Q37&lt;$Q28),((($Q37-$Q27)*(S$28-S$27))/($Q28-$Q27))+S$27,0),4)</f>
        <v>0</v>
      </c>
      <c r="T37" s="181">
        <f t="shared" ref="T37:Z37" si="0">ROUND(IF(AND($Q27&lt;$Q37,$Q37&lt;$Q28),((($Q37-$Q27)*(T$28-T$27))/($Q28-$Q27))+T$27,0),4)</f>
        <v>0</v>
      </c>
      <c r="U37" s="181">
        <f t="shared" si="0"/>
        <v>0</v>
      </c>
      <c r="V37" s="181">
        <f t="shared" si="0"/>
        <v>0</v>
      </c>
      <c r="W37" s="181">
        <f t="shared" si="0"/>
        <v>0</v>
      </c>
      <c r="X37" s="181">
        <f t="shared" si="0"/>
        <v>0</v>
      </c>
      <c r="Y37" s="181">
        <f t="shared" si="0"/>
        <v>0</v>
      </c>
      <c r="Z37" s="181">
        <f t="shared" si="0"/>
        <v>0</v>
      </c>
      <c r="AA37" s="489" t="s">
        <v>228</v>
      </c>
      <c r="AB37" s="109"/>
      <c r="AL37" s="109"/>
    </row>
    <row r="38" spans="1:38" ht="17.25" customHeight="1">
      <c r="A38" s="515"/>
      <c r="B38" s="516" t="s">
        <v>116</v>
      </c>
      <c r="C38" s="142"/>
      <c r="D38" s="143">
        <v>0.70108899999999996</v>
      </c>
      <c r="E38" s="143">
        <v>0.69198000000000004</v>
      </c>
      <c r="F38" s="143">
        <v>0.66496500000000003</v>
      </c>
      <c r="G38" s="143">
        <v>0.63841199999999998</v>
      </c>
      <c r="H38" s="143">
        <v>0.61662899999999998</v>
      </c>
      <c r="I38" s="143">
        <v>0.59515099999999999</v>
      </c>
      <c r="J38" s="143">
        <v>0.57397200000000004</v>
      </c>
      <c r="K38" s="143">
        <v>0.54894399999999999</v>
      </c>
      <c r="L38" s="143">
        <v>0.52840299999999996</v>
      </c>
      <c r="M38" s="143">
        <v>0.50814099999999995</v>
      </c>
      <c r="N38" s="144">
        <v>0.48418800000000001</v>
      </c>
      <c r="P38" s="219">
        <v>6</v>
      </c>
      <c r="Q38" s="189">
        <f>IF(AND('Bang Tra'!Q28&lt;'2. D.phụ'!$G$29,'2. D.phụ'!$G$29&lt;'Bang Tra'!Q29),'2. D.phụ'!$G$29,0)</f>
        <v>0</v>
      </c>
      <c r="R38" s="147">
        <f>ROUND(IF(AND($Q28&lt;$Q38,$Q38&lt;$Q29),((($Q38-$Q28)*(R$29-R$28))/($Q29-$Q28))+R$28,0),4)</f>
        <v>0</v>
      </c>
      <c r="S38" s="147">
        <f>ROUND(IF(AND($Q28&lt;$Q38,$Q38&lt;$Q29),((($Q38-$Q28)*(S$29-S$28))/($Q29-$Q28))+S$28,0),4)</f>
        <v>0</v>
      </c>
      <c r="T38" s="147">
        <f t="shared" ref="T38:Z38" si="1">ROUND(IF(AND($Q28&lt;$Q38,$Q38&lt;$Q29),((($Q38-$Q28)*(T$29-T$28))/($Q29-$Q28))+T$28,0),4)</f>
        <v>0</v>
      </c>
      <c r="U38" s="147">
        <f t="shared" si="1"/>
        <v>0</v>
      </c>
      <c r="V38" s="147">
        <f t="shared" si="1"/>
        <v>0</v>
      </c>
      <c r="W38" s="147">
        <f t="shared" si="1"/>
        <v>0</v>
      </c>
      <c r="X38" s="147">
        <f t="shared" si="1"/>
        <v>0</v>
      </c>
      <c r="Y38" s="147">
        <f t="shared" si="1"/>
        <v>0</v>
      </c>
      <c r="Z38" s="147">
        <f t="shared" si="1"/>
        <v>0</v>
      </c>
      <c r="AA38" s="487"/>
      <c r="AB38" s="109"/>
      <c r="AC38" s="173"/>
      <c r="AD38" s="173"/>
      <c r="AE38" s="173"/>
      <c r="AF38" s="173"/>
      <c r="AG38" s="173"/>
      <c r="AH38" s="173"/>
      <c r="AI38" s="173"/>
      <c r="AJ38" s="173"/>
      <c r="AK38" s="173"/>
      <c r="AL38" s="109"/>
    </row>
    <row r="39" spans="1:38" ht="17.25" customHeight="1">
      <c r="A39" s="515"/>
      <c r="B39" s="517"/>
      <c r="C39" s="142"/>
      <c r="D39" s="143">
        <v>0.45532600000000001</v>
      </c>
      <c r="E39" s="143">
        <v>0.45256200000000002</v>
      </c>
      <c r="F39" s="143">
        <v>0.44387599999999999</v>
      </c>
      <c r="G39" s="143">
        <v>0.43462699999999999</v>
      </c>
      <c r="H39" s="143">
        <v>0.42651299999999998</v>
      </c>
      <c r="I39" s="143">
        <v>0.418049</v>
      </c>
      <c r="J39" s="143">
        <v>0.40925</v>
      </c>
      <c r="K39" s="143">
        <v>0.39827400000000002</v>
      </c>
      <c r="L39" s="143">
        <v>0.38879799999999998</v>
      </c>
      <c r="M39" s="143">
        <v>0.37903700000000001</v>
      </c>
      <c r="N39" s="144">
        <v>0.36696899999999999</v>
      </c>
      <c r="O39" s="107">
        <v>1</v>
      </c>
      <c r="P39" s="219">
        <v>7</v>
      </c>
      <c r="Q39" s="189">
        <f>IF(AND('Bang Tra'!Q29&lt;'2. D.phụ'!$G$29,'2. D.phụ'!$G$29&lt;'Bang Tra'!Q30),'2. D.phụ'!$G$29,0)</f>
        <v>1.97</v>
      </c>
      <c r="R39" s="147">
        <f>ROUND(IF(AND($Q29&lt;$Q39,$Q39&lt;$Q30),((($Q39-$Q29)*(R$30-R$29))/($Q30-$Q29))+R$29,0),4)</f>
        <v>-7.1499999999999994E-2</v>
      </c>
      <c r="S39" s="147">
        <f>ROUND(IF(AND($Q29&lt;$Q39,$Q39&lt;$Q30),((($Q39-$Q29)*(S$30-S$29))/($Q30-$Q29))+S$29,0),4)</f>
        <v>-2.98E-2</v>
      </c>
      <c r="T39" s="147">
        <f t="shared" ref="T39:Z39" si="2">ROUND(IF(AND($Q29&lt;$Q39,$Q39&lt;$Q30),((($Q39-$Q29)*(T$30-T$29))/($Q30-$Q29))+T$29,0),4)</f>
        <v>-8.6E-3</v>
      </c>
      <c r="U39" s="147">
        <f t="shared" si="2"/>
        <v>-5.5999999999999999E-3</v>
      </c>
      <c r="V39" s="147">
        <f t="shared" si="2"/>
        <v>-2.3800000000000002E-2</v>
      </c>
      <c r="W39" s="147">
        <f t="shared" si="2"/>
        <v>-6.25E-2</v>
      </c>
      <c r="X39" s="147">
        <f t="shared" si="2"/>
        <v>-2.2800000000000001E-2</v>
      </c>
      <c r="Y39" s="147">
        <f t="shared" si="2"/>
        <v>-2.5999999999999999E-3</v>
      </c>
      <c r="Z39" s="147">
        <f t="shared" si="2"/>
        <v>0.2487</v>
      </c>
      <c r="AA39" s="487"/>
      <c r="AB39" s="109"/>
      <c r="AL39" s="109"/>
    </row>
    <row r="40" spans="1:38" ht="17.25" customHeight="1">
      <c r="A40" s="518">
        <v>1.1000000000000001</v>
      </c>
      <c r="B40" s="141" t="s">
        <v>113</v>
      </c>
      <c r="C40" s="142"/>
      <c r="D40" s="143">
        <v>0.78400000000000003</v>
      </c>
      <c r="E40" s="143">
        <v>0.7752</v>
      </c>
      <c r="F40" s="143">
        <v>0.74880000000000002</v>
      </c>
      <c r="G40" s="143">
        <v>0.72240000000000004</v>
      </c>
      <c r="H40" s="143">
        <v>0.70040000000000002</v>
      </c>
      <c r="I40" s="143">
        <v>0.6784</v>
      </c>
      <c r="J40" s="143">
        <v>0.65639999999999998</v>
      </c>
      <c r="K40" s="143">
        <v>0.63</v>
      </c>
      <c r="L40" s="143">
        <v>0.60799999999999998</v>
      </c>
      <c r="M40" s="143">
        <v>0.58599999999999997</v>
      </c>
      <c r="N40" s="144">
        <v>0.55959999999999999</v>
      </c>
      <c r="P40" s="219">
        <v>1</v>
      </c>
      <c r="Q40" s="189">
        <f>IF(AND('Bang Tra'!Q30&lt;'2. D.phụ'!$G$29,'2. D.phụ'!$G$29&lt;'Bang Tra'!Q31),'2. D.phụ'!$G$29,0)</f>
        <v>0</v>
      </c>
      <c r="R40" s="147">
        <f>ROUND(IF(AND($Q30&lt;$Q40,$Q40&lt;$Q31),((($Q40-$Q30)*(R$31-R$30))/($Q31-$Q30))+R$30,0),4)</f>
        <v>0</v>
      </c>
      <c r="S40" s="147">
        <f>ROUND(IF(AND($Q30&lt;$Q40,$Q40&lt;$Q31),((($Q40-$Q30)*(S$31-S$30))/($Q31-$Q30))+S$30,0),4)</f>
        <v>0</v>
      </c>
      <c r="T40" s="147">
        <f t="shared" ref="T40:Z40" si="3">ROUND(IF(AND($Q30&lt;$Q40,$Q40&lt;$Q31),((($Q40-$Q30)*(T$31-T$30))/($Q31-$Q30))+T$30,0),4)</f>
        <v>0</v>
      </c>
      <c r="U40" s="147">
        <f t="shared" si="3"/>
        <v>0</v>
      </c>
      <c r="V40" s="147">
        <f t="shared" si="3"/>
        <v>0</v>
      </c>
      <c r="W40" s="147">
        <f t="shared" si="3"/>
        <v>0</v>
      </c>
      <c r="X40" s="147">
        <f t="shared" si="3"/>
        <v>0</v>
      </c>
      <c r="Y40" s="147">
        <f t="shared" si="3"/>
        <v>0</v>
      </c>
      <c r="Z40" s="147">
        <f t="shared" si="3"/>
        <v>0</v>
      </c>
      <c r="AA40" s="487"/>
      <c r="AB40" s="109"/>
      <c r="AL40" s="109"/>
    </row>
    <row r="41" spans="1:38" ht="17.25" customHeight="1">
      <c r="A41" s="518"/>
      <c r="B41" s="516" t="s">
        <v>114</v>
      </c>
      <c r="C41" s="142"/>
      <c r="D41" s="143">
        <v>0.64809000000000005</v>
      </c>
      <c r="E41" s="143">
        <v>0.63773599999999997</v>
      </c>
      <c r="F41" s="143">
        <v>0.60726500000000005</v>
      </c>
      <c r="G41" s="143">
        <v>0.57764800000000005</v>
      </c>
      <c r="H41" s="143">
        <v>0.553593</v>
      </c>
      <c r="I41" s="143">
        <v>0.53008699999999997</v>
      </c>
      <c r="J41" s="143">
        <v>0.50711200000000001</v>
      </c>
      <c r="K41" s="143">
        <v>0.48021599999999998</v>
      </c>
      <c r="L41" s="143">
        <v>0.45834599999999998</v>
      </c>
      <c r="M41" s="143">
        <v>0.43695200000000001</v>
      </c>
      <c r="N41" s="144">
        <v>0.41188599999999997</v>
      </c>
      <c r="P41" s="219">
        <v>2</v>
      </c>
      <c r="Q41" s="189">
        <f>IF(AND('Bang Tra'!Q31&lt;'2. D.phụ'!$G$29,'2. D.phụ'!$G$29&lt;'Bang Tra'!Q32),'2. D.phụ'!$G$29,0)</f>
        <v>0</v>
      </c>
      <c r="R41" s="147">
        <f>ROUND(IF(AND($Q31&lt;$Q41,$Q41&lt;$Q32),((($Q41-$Q31)*(R$32-R$31))/($Q32-$Q31))+R$31,0),4)</f>
        <v>0</v>
      </c>
      <c r="S41" s="147">
        <f>ROUND(IF(AND($Q31&lt;$Q41,$Q41&lt;$Q32),((($Q41-$Q31)*(S$32-S$31))/($Q32-$Q31))+S$31,0),4)</f>
        <v>0</v>
      </c>
      <c r="T41" s="147">
        <f t="shared" ref="T41:Z41" si="4">ROUND(IF(AND($Q31&lt;$Q41,$Q41&lt;$Q32),((($Q41-$Q31)*(T$32-T$31))/($Q32-$Q31))+T$31,0),4)</f>
        <v>0</v>
      </c>
      <c r="U41" s="147">
        <f t="shared" si="4"/>
        <v>0</v>
      </c>
      <c r="V41" s="147">
        <f t="shared" si="4"/>
        <v>0</v>
      </c>
      <c r="W41" s="147">
        <f t="shared" si="4"/>
        <v>0</v>
      </c>
      <c r="X41" s="147">
        <f t="shared" si="4"/>
        <v>0</v>
      </c>
      <c r="Y41" s="147">
        <f t="shared" si="4"/>
        <v>0</v>
      </c>
      <c r="Z41" s="147">
        <f t="shared" si="4"/>
        <v>0</v>
      </c>
      <c r="AA41" s="487"/>
      <c r="AB41" s="109"/>
      <c r="AC41" s="173"/>
      <c r="AD41" s="173"/>
      <c r="AE41" s="173"/>
      <c r="AF41" s="173"/>
      <c r="AG41" s="173"/>
      <c r="AH41" s="173"/>
      <c r="AI41" s="173"/>
      <c r="AJ41" s="173"/>
      <c r="AK41" s="173"/>
      <c r="AL41" s="109"/>
    </row>
    <row r="42" spans="1:38" ht="17.25" customHeight="1">
      <c r="A42" s="518"/>
      <c r="B42" s="517"/>
      <c r="C42" s="142"/>
      <c r="D42" s="143">
        <v>0.43808000000000002</v>
      </c>
      <c r="E42" s="143">
        <v>0.43438300000000002</v>
      </c>
      <c r="F42" s="143">
        <v>0.42287999999999998</v>
      </c>
      <c r="G42" s="143">
        <v>0.41080899999999998</v>
      </c>
      <c r="H42" s="143">
        <v>0.40035999999999999</v>
      </c>
      <c r="I42" s="143">
        <v>0.38959100000000002</v>
      </c>
      <c r="J42" s="143">
        <v>0.37853100000000001</v>
      </c>
      <c r="K42" s="143">
        <v>0.36491200000000001</v>
      </c>
      <c r="L42" s="143">
        <v>0.35330499999999998</v>
      </c>
      <c r="M42" s="143">
        <v>0.34148800000000001</v>
      </c>
      <c r="N42" s="144">
        <v>0.32706099999999999</v>
      </c>
      <c r="O42" s="107">
        <v>3</v>
      </c>
      <c r="P42" s="219">
        <v>3</v>
      </c>
      <c r="Q42" s="189">
        <f>IF(AND('Bang Tra'!Q32&lt;'2. D.phụ'!$G$29,'2. D.phụ'!$G$29&lt;'Bang Tra'!Q33),'2. D.phụ'!$G$29,0)</f>
        <v>0</v>
      </c>
      <c r="R42" s="147">
        <f>ROUND(IF(AND($Q32&lt;$Q42,$Q42&lt;$Q33),((($Q42-$Q32)*(R$33-R$32))/($Q33-$Q32))+R$32,0),4)</f>
        <v>0</v>
      </c>
      <c r="S42" s="147">
        <f>ROUND(IF(AND($Q32&lt;$Q42,$Q42&lt;$Q33),((($Q42-$Q32)*(S$33-S$32))/($Q33-$Q32))+S$32,0),4)</f>
        <v>0</v>
      </c>
      <c r="T42" s="147">
        <f t="shared" ref="T42:Z42" si="5">ROUND(IF(AND($Q32&lt;$Q42,$Q42&lt;$Q33),((($Q42-$Q32)*(T$33-T$32))/($Q33-$Q32))+T$32,0),4)</f>
        <v>0</v>
      </c>
      <c r="U42" s="147">
        <f t="shared" si="5"/>
        <v>0</v>
      </c>
      <c r="V42" s="147">
        <f t="shared" si="5"/>
        <v>0</v>
      </c>
      <c r="W42" s="147">
        <f t="shared" si="5"/>
        <v>0</v>
      </c>
      <c r="X42" s="147">
        <f t="shared" si="5"/>
        <v>0</v>
      </c>
      <c r="Y42" s="147">
        <f t="shared" si="5"/>
        <v>0</v>
      </c>
      <c r="Z42" s="147">
        <f t="shared" si="5"/>
        <v>0</v>
      </c>
      <c r="AA42" s="487"/>
      <c r="AB42" s="174"/>
      <c r="AL42" s="109"/>
    </row>
    <row r="43" spans="1:38" ht="17.25" customHeight="1">
      <c r="A43" s="518"/>
      <c r="B43" s="516" t="s">
        <v>115</v>
      </c>
      <c r="C43" s="142"/>
      <c r="D43" s="143">
        <v>0.67535400000000001</v>
      </c>
      <c r="E43" s="143">
        <v>0.66520599999999996</v>
      </c>
      <c r="F43" s="143">
        <v>0.63522599999999996</v>
      </c>
      <c r="G43" s="143">
        <v>0.60592199999999996</v>
      </c>
      <c r="H43" s="143">
        <v>0.58200200000000002</v>
      </c>
      <c r="I43" s="143">
        <v>0.55852299999999999</v>
      </c>
      <c r="J43" s="143">
        <v>0.53547299999999998</v>
      </c>
      <c r="K43" s="143">
        <v>0.50836300000000001</v>
      </c>
      <c r="L43" s="143">
        <v>0.48621599999999998</v>
      </c>
      <c r="M43" s="143">
        <v>0.46446300000000001</v>
      </c>
      <c r="N43" s="144">
        <v>0.438863</v>
      </c>
      <c r="P43" s="219">
        <v>4</v>
      </c>
      <c r="Q43" s="189">
        <f>IF(AND('Bang Tra'!Q33&lt;'2. D.phụ'!$G$29,'2. D.phụ'!$G$29&lt;'Bang Tra'!Q34),'2. D.phụ'!$G$29,0)</f>
        <v>0</v>
      </c>
      <c r="R43" s="147">
        <f>ROUND(IF(AND($Q33&lt;$Q43,$Q43&lt;$Q34),((($Q43-$Q33)*(R$34-R$33))/($Q34-$Q33))+R$33,0),4)</f>
        <v>0</v>
      </c>
      <c r="S43" s="147">
        <f>ROUND(IF(AND($Q33&lt;$Q43,$Q43&lt;$Q34),((($Q43-$Q33)*(S$34-S$33))/($Q34-$Q33))+S$33,0),4)</f>
        <v>0</v>
      </c>
      <c r="T43" s="147">
        <f t="shared" ref="T43:Z43" si="6">ROUND(IF(AND($Q33&lt;$Q43,$Q43&lt;$Q34),((($Q43-$Q33)*(T$34-T$33))/($Q34-$Q33))+T$33,0),4)</f>
        <v>0</v>
      </c>
      <c r="U43" s="147">
        <f t="shared" si="6"/>
        <v>0</v>
      </c>
      <c r="V43" s="147">
        <f t="shared" si="6"/>
        <v>0</v>
      </c>
      <c r="W43" s="147">
        <f t="shared" si="6"/>
        <v>0</v>
      </c>
      <c r="X43" s="147">
        <f t="shared" si="6"/>
        <v>0</v>
      </c>
      <c r="Y43" s="147">
        <f t="shared" si="6"/>
        <v>0</v>
      </c>
      <c r="Z43" s="147">
        <f t="shared" si="6"/>
        <v>0</v>
      </c>
      <c r="AA43" s="487"/>
      <c r="AB43" s="171"/>
      <c r="AL43" s="109"/>
    </row>
    <row r="44" spans="1:38" ht="17.25" customHeight="1">
      <c r="A44" s="518"/>
      <c r="B44" s="517"/>
      <c r="C44" s="142"/>
      <c r="D44" s="143">
        <v>0.44730199999999998</v>
      </c>
      <c r="E44" s="143">
        <v>0.44395699999999999</v>
      </c>
      <c r="F44" s="143">
        <v>0.43347000000000002</v>
      </c>
      <c r="G44" s="143">
        <v>0.42235099999999998</v>
      </c>
      <c r="H44" s="143">
        <v>0.41263899999999998</v>
      </c>
      <c r="I44" s="143">
        <v>0.40254899999999999</v>
      </c>
      <c r="J44" s="143">
        <v>0.39210699999999998</v>
      </c>
      <c r="K44" s="143">
        <v>0.37914599999999998</v>
      </c>
      <c r="L44" s="143">
        <v>0.36801299999999998</v>
      </c>
      <c r="M44" s="143">
        <v>0.35659999999999997</v>
      </c>
      <c r="N44" s="144">
        <v>0.34256300000000001</v>
      </c>
      <c r="O44" s="107">
        <v>2</v>
      </c>
      <c r="P44" s="219">
        <v>5</v>
      </c>
      <c r="Q44" s="189">
        <f>IF(AND('Bang Tra'!Q34&lt;'2. D.phụ'!$G$29,'2. D.phụ'!$G$29&lt;'Bang Tra'!Q35),'2. D.phụ'!$G$29,0)</f>
        <v>0</v>
      </c>
      <c r="R44" s="147">
        <f>ROUND(IF(AND($Q34&lt;$Q44,$Q44&lt;$Q35),((($Q44-$Q34)*(R$35-R$34))/($Q35-$Q34))+R$34,0),4)</f>
        <v>0</v>
      </c>
      <c r="S44" s="147">
        <f>ROUND(IF(AND($Q34&lt;$Q44,$Q44&lt;$Q35),((($Q44-$Q34)*(S$35-S$34))/($Q35-$Q34))+S$34,0),4)</f>
        <v>0</v>
      </c>
      <c r="T44" s="147">
        <f t="shared" ref="T44:Z44" si="7">ROUND(IF(AND($Q34&lt;$Q44,$Q44&lt;$Q35),((($Q44-$Q34)*(T$35-T$34))/($Q35-$Q34))+T$34,0),4)</f>
        <v>0</v>
      </c>
      <c r="U44" s="147">
        <f t="shared" si="7"/>
        <v>0</v>
      </c>
      <c r="V44" s="147">
        <f t="shared" si="7"/>
        <v>0</v>
      </c>
      <c r="W44" s="147">
        <f t="shared" si="7"/>
        <v>0</v>
      </c>
      <c r="X44" s="147">
        <f t="shared" si="7"/>
        <v>0</v>
      </c>
      <c r="Y44" s="147">
        <f t="shared" si="7"/>
        <v>0</v>
      </c>
      <c r="Z44" s="147">
        <f t="shared" si="7"/>
        <v>0</v>
      </c>
      <c r="AA44" s="487"/>
      <c r="AL44" s="109"/>
    </row>
    <row r="45" spans="1:38" ht="17.25" customHeight="1" thickBot="1">
      <c r="A45" s="518"/>
      <c r="B45" s="516" t="s">
        <v>116</v>
      </c>
      <c r="C45" s="142"/>
      <c r="D45" s="143">
        <v>0.69425199999999998</v>
      </c>
      <c r="E45" s="143">
        <v>0.68427800000000005</v>
      </c>
      <c r="F45" s="143">
        <v>0.65473300000000001</v>
      </c>
      <c r="G45" s="143">
        <v>0.62573999999999996</v>
      </c>
      <c r="H45" s="143">
        <v>0.60199100000000005</v>
      </c>
      <c r="I45" s="143">
        <v>0.57860599999999995</v>
      </c>
      <c r="J45" s="143">
        <v>0.55557800000000002</v>
      </c>
      <c r="K45" s="143">
        <v>0.52840299999999996</v>
      </c>
      <c r="L45" s="143">
        <v>0.50612999999999997</v>
      </c>
      <c r="M45" s="143">
        <v>0.48418800000000001</v>
      </c>
      <c r="N45" s="144">
        <v>0.45828600000000003</v>
      </c>
      <c r="P45" s="219">
        <v>6</v>
      </c>
      <c r="Q45" s="190">
        <f>IF(AND('Bang Tra'!Q35&lt;'2. D.phụ'!$G$29,'2. D.phụ'!$G$29&lt;'Bang Tra'!Q36),'2. D.phụ'!$G$29,0)</f>
        <v>0</v>
      </c>
      <c r="R45" s="182">
        <f>ROUND(IF(AND($Q35&lt;$Q45,$Q45&lt;$Q36),((($Q45-$Q35)*(R$36-R$35))/($Q36-$Q35))+R$35,0),4)</f>
        <v>0</v>
      </c>
      <c r="S45" s="182">
        <f>ROUND(IF(AND($Q35&lt;$Q45,$Q45&lt;$Q36),((($Q45-$Q35)*(S$36-S$35))/($Q36-$Q35))+S$35,0),4)</f>
        <v>0</v>
      </c>
      <c r="T45" s="182">
        <f t="shared" ref="T45:Z45" si="8">ROUND(IF(AND($Q35&lt;$Q45,$Q45&lt;$Q36),((($Q45-$Q35)*(T$36-T$35))/($Q36-$Q35))+T$35,0),4)</f>
        <v>0</v>
      </c>
      <c r="U45" s="182">
        <f t="shared" si="8"/>
        <v>0</v>
      </c>
      <c r="V45" s="182">
        <f t="shared" si="8"/>
        <v>0</v>
      </c>
      <c r="W45" s="182">
        <f t="shared" si="8"/>
        <v>0</v>
      </c>
      <c r="X45" s="182">
        <f t="shared" si="8"/>
        <v>0</v>
      </c>
      <c r="Y45" s="182">
        <f t="shared" si="8"/>
        <v>0</v>
      </c>
      <c r="Z45" s="182">
        <f t="shared" si="8"/>
        <v>0</v>
      </c>
      <c r="AA45" s="488"/>
      <c r="AL45" s="109"/>
    </row>
    <row r="46" spans="1:38" ht="17.25" customHeight="1" thickBot="1">
      <c r="A46" s="519"/>
      <c r="B46" s="520"/>
      <c r="C46" s="149"/>
      <c r="D46" s="150">
        <v>0.45325900000000002</v>
      </c>
      <c r="E46" s="150">
        <v>0.45016</v>
      </c>
      <c r="F46" s="150">
        <v>0.44039499999999998</v>
      </c>
      <c r="G46" s="150">
        <v>0.42996499999999999</v>
      </c>
      <c r="H46" s="150">
        <v>0.420794</v>
      </c>
      <c r="I46" s="150">
        <v>0.41121400000000002</v>
      </c>
      <c r="J46" s="150">
        <v>0.40124399999999999</v>
      </c>
      <c r="K46" s="150">
        <v>0.38879799999999998</v>
      </c>
      <c r="L46" s="150">
        <v>0.37804599999999999</v>
      </c>
      <c r="M46" s="150">
        <v>0.36696899999999999</v>
      </c>
      <c r="N46" s="151">
        <v>0.353273</v>
      </c>
      <c r="O46" s="107">
        <v>1</v>
      </c>
      <c r="P46" s="219">
        <v>7</v>
      </c>
      <c r="Q46" s="178" t="s">
        <v>221</v>
      </c>
      <c r="R46" s="179" t="s">
        <v>218</v>
      </c>
      <c r="S46" s="171"/>
      <c r="T46" s="171"/>
      <c r="U46" s="171"/>
      <c r="V46" s="171"/>
      <c r="W46" s="171"/>
      <c r="Z46" s="148"/>
      <c r="AA46" s="482"/>
      <c r="AB46" s="192"/>
      <c r="AL46" s="109"/>
    </row>
    <row r="47" spans="1:38" ht="17.25" customHeight="1" thickTop="1">
      <c r="A47" s="152"/>
      <c r="B47" s="152"/>
      <c r="C47" s="152"/>
      <c r="D47" s="219">
        <v>1</v>
      </c>
      <c r="E47" s="219">
        <v>2</v>
      </c>
      <c r="F47" s="219">
        <v>3</v>
      </c>
      <c r="G47" s="219">
        <v>4</v>
      </c>
      <c r="H47" s="219">
        <v>5</v>
      </c>
      <c r="I47" s="219">
        <v>6</v>
      </c>
      <c r="J47" s="219">
        <v>7</v>
      </c>
      <c r="K47" s="219">
        <v>8</v>
      </c>
      <c r="L47" s="219">
        <v>9</v>
      </c>
      <c r="M47" s="219">
        <v>10</v>
      </c>
      <c r="N47" s="219">
        <v>11</v>
      </c>
      <c r="O47" s="140"/>
      <c r="Q47" s="175" t="s">
        <v>233</v>
      </c>
      <c r="R47" s="176">
        <v>1</v>
      </c>
      <c r="S47" s="176">
        <v>2</v>
      </c>
      <c r="T47" s="176" t="s">
        <v>215</v>
      </c>
      <c r="U47" s="176">
        <v>3</v>
      </c>
      <c r="V47" s="176">
        <v>4</v>
      </c>
      <c r="W47" s="176">
        <v>5</v>
      </c>
      <c r="X47" s="176">
        <v>6</v>
      </c>
      <c r="Y47" s="176">
        <v>7</v>
      </c>
      <c r="Z47" s="148"/>
      <c r="AA47" s="483"/>
      <c r="AB47" s="148"/>
      <c r="AC47" s="173"/>
      <c r="AD47" s="173"/>
      <c r="AE47" s="173"/>
      <c r="AF47" s="173"/>
      <c r="AG47" s="173"/>
      <c r="AH47" s="173"/>
      <c r="AI47" s="173"/>
      <c r="AJ47" s="173"/>
      <c r="AK47" s="173"/>
      <c r="AL47" s="109"/>
    </row>
    <row r="48" spans="1:38" ht="20.25" customHeight="1">
      <c r="A48" s="148"/>
      <c r="B48" s="153"/>
      <c r="C48" s="139"/>
      <c r="D48" s="139"/>
      <c r="E48" s="109"/>
      <c r="F48" s="109"/>
      <c r="G48" s="109"/>
      <c r="H48" s="109"/>
      <c r="I48" s="109"/>
      <c r="J48" s="109"/>
      <c r="K48" s="109"/>
      <c r="L48" s="109"/>
      <c r="M48" s="109"/>
      <c r="N48" s="109"/>
      <c r="O48" s="109"/>
      <c r="P48" s="139"/>
      <c r="Q48" s="175" t="s">
        <v>214</v>
      </c>
      <c r="R48" s="176">
        <v>6.5000000000000002E-2</v>
      </c>
      <c r="S48" s="176">
        <v>0.09</v>
      </c>
      <c r="T48" s="176">
        <v>9.0999999999999998E-2</v>
      </c>
      <c r="U48" s="176">
        <v>7.4999999999999997E-2</v>
      </c>
      <c r="V48" s="176">
        <v>0.02</v>
      </c>
      <c r="W48" s="176">
        <v>0</v>
      </c>
      <c r="X48" s="176">
        <v>1.7999999999999999E-2</v>
      </c>
      <c r="Y48" s="176">
        <v>5.8000000000000003E-2</v>
      </c>
      <c r="Z48" s="148"/>
      <c r="AA48" s="483"/>
      <c r="AB48" s="148"/>
      <c r="AL48" s="109"/>
    </row>
    <row r="49" spans="1:38" ht="20.25" customHeight="1">
      <c r="B49" s="109"/>
      <c r="C49" s="109"/>
      <c r="D49" s="109"/>
      <c r="E49" s="109"/>
      <c r="F49" s="109"/>
      <c r="G49" s="109"/>
      <c r="H49" s="109"/>
      <c r="I49" s="109"/>
      <c r="J49" s="109"/>
      <c r="K49" s="109"/>
      <c r="L49" s="109"/>
      <c r="M49" s="109"/>
      <c r="N49" s="109"/>
      <c r="O49" s="109"/>
      <c r="P49" s="139"/>
      <c r="Q49" s="175" t="s">
        <v>233</v>
      </c>
      <c r="R49" s="176" t="s">
        <v>216</v>
      </c>
      <c r="S49" s="176">
        <v>8</v>
      </c>
      <c r="T49" s="176">
        <v>9</v>
      </c>
      <c r="U49" s="176">
        <v>10</v>
      </c>
      <c r="V49" s="176">
        <v>11</v>
      </c>
      <c r="W49" s="176">
        <v>12</v>
      </c>
      <c r="X49" s="176" t="s">
        <v>217</v>
      </c>
      <c r="Y49" s="176">
        <v>13</v>
      </c>
      <c r="Z49" s="148"/>
      <c r="AA49" s="191"/>
      <c r="AB49" s="148"/>
      <c r="AL49" s="109"/>
    </row>
    <row r="50" spans="1:38" ht="20.25" customHeight="1">
      <c r="A50" s="106" t="s">
        <v>155</v>
      </c>
      <c r="B50" s="109"/>
      <c r="C50" s="109"/>
      <c r="D50" s="109"/>
      <c r="E50" s="109"/>
      <c r="F50" s="109"/>
      <c r="G50" s="109"/>
      <c r="H50" s="109"/>
      <c r="I50" s="109"/>
      <c r="J50" s="109"/>
      <c r="K50" s="109"/>
      <c r="L50" s="109"/>
      <c r="M50" s="109"/>
      <c r="N50" s="109"/>
      <c r="O50" s="109"/>
      <c r="P50" s="139"/>
      <c r="Q50" s="175" t="s">
        <v>214</v>
      </c>
      <c r="R50" s="176">
        <v>6.25E-2</v>
      </c>
      <c r="S50" s="176">
        <v>5.8000000000000003E-2</v>
      </c>
      <c r="T50" s="176">
        <v>1.7999999999999999E-2</v>
      </c>
      <c r="U50" s="176">
        <v>0</v>
      </c>
      <c r="V50" s="176">
        <f>X48</f>
        <v>1.7999999999999999E-2</v>
      </c>
      <c r="W50" s="176">
        <f>Y48</f>
        <v>5.8000000000000003E-2</v>
      </c>
      <c r="X50" s="176">
        <f>R50</f>
        <v>6.25E-2</v>
      </c>
      <c r="Y50" s="176">
        <f>S50</f>
        <v>5.8000000000000003E-2</v>
      </c>
      <c r="Z50" s="148"/>
      <c r="AA50" s="191"/>
      <c r="AL50" s="109"/>
    </row>
    <row r="51" spans="1:38" ht="20.25" customHeight="1" thickBot="1">
      <c r="A51" s="106"/>
      <c r="B51" s="109"/>
      <c r="C51" s="109"/>
      <c r="D51" s="109"/>
      <c r="E51" s="109"/>
      <c r="F51" s="109"/>
      <c r="G51" s="109"/>
      <c r="H51" s="109"/>
      <c r="I51" s="109"/>
      <c r="J51" s="109"/>
      <c r="K51" s="109"/>
      <c r="L51" s="109"/>
      <c r="M51" s="109"/>
      <c r="N51" s="109"/>
      <c r="O51" s="109"/>
      <c r="P51" s="139"/>
      <c r="Q51" s="193"/>
      <c r="R51" s="191"/>
      <c r="S51" s="191"/>
      <c r="T51" s="191"/>
      <c r="U51" s="191"/>
      <c r="V51" s="191"/>
      <c r="W51" s="191"/>
      <c r="X51" s="191"/>
      <c r="Y51" s="191"/>
      <c r="Z51" s="148"/>
      <c r="AA51" s="191"/>
      <c r="AL51" s="109"/>
    </row>
    <row r="52" spans="1:38" ht="20.25" customHeight="1" thickTop="1">
      <c r="A52" s="504" t="s">
        <v>138</v>
      </c>
      <c r="B52" s="505"/>
      <c r="C52" s="505"/>
      <c r="D52" s="508" t="s">
        <v>139</v>
      </c>
      <c r="E52" s="509" t="s">
        <v>212</v>
      </c>
      <c r="F52" s="509"/>
      <c r="G52" s="509"/>
      <c r="H52" s="509"/>
      <c r="I52" s="509"/>
      <c r="J52" s="509"/>
      <c r="K52" s="509"/>
      <c r="L52" s="509"/>
      <c r="M52" s="510"/>
      <c r="N52" s="511" t="s">
        <v>213</v>
      </c>
      <c r="O52" s="509"/>
      <c r="P52" s="509"/>
      <c r="Q52" s="509"/>
      <c r="R52" s="512"/>
    </row>
    <row r="53" spans="1:38" ht="20.25" customHeight="1" thickBot="1">
      <c r="A53" s="506"/>
      <c r="B53" s="507"/>
      <c r="C53" s="507"/>
      <c r="D53" s="507"/>
      <c r="E53" s="154">
        <v>1</v>
      </c>
      <c r="F53" s="154">
        <v>2</v>
      </c>
      <c r="G53" s="154" t="s">
        <v>140</v>
      </c>
      <c r="H53" s="154">
        <v>3</v>
      </c>
      <c r="I53" s="154">
        <v>4</v>
      </c>
      <c r="J53" s="154" t="s">
        <v>141</v>
      </c>
      <c r="K53" s="154">
        <v>5</v>
      </c>
      <c r="L53" s="154">
        <v>6</v>
      </c>
      <c r="M53" s="155" t="s">
        <v>142</v>
      </c>
      <c r="N53" s="156" t="s">
        <v>143</v>
      </c>
      <c r="O53" s="154" t="s">
        <v>144</v>
      </c>
      <c r="P53" s="154" t="s">
        <v>145</v>
      </c>
      <c r="Q53" s="154" t="s">
        <v>146</v>
      </c>
      <c r="R53" s="157" t="s">
        <v>147</v>
      </c>
    </row>
    <row r="54" spans="1:38" s="173" customFormat="1" ht="17.25" thickTop="1" thickBot="1">
      <c r="A54" s="498" t="s">
        <v>148</v>
      </c>
      <c r="B54" s="499"/>
      <c r="C54" s="499"/>
      <c r="D54" s="513">
        <v>2</v>
      </c>
      <c r="E54" s="513"/>
      <c r="F54" s="513"/>
      <c r="G54" s="513"/>
      <c r="H54" s="513"/>
      <c r="I54" s="513"/>
      <c r="J54" s="513"/>
      <c r="K54" s="513"/>
      <c r="L54" s="513"/>
      <c r="M54" s="513"/>
      <c r="N54" s="513"/>
      <c r="O54" s="513"/>
      <c r="P54" s="513"/>
      <c r="Q54" s="513"/>
      <c r="R54" s="514"/>
      <c r="AC54" s="107"/>
      <c r="AD54" s="107"/>
      <c r="AE54" s="107"/>
      <c r="AF54" s="107"/>
      <c r="AG54" s="107"/>
      <c r="AH54" s="107"/>
      <c r="AI54" s="107"/>
      <c r="AJ54" s="107"/>
      <c r="AK54" s="107"/>
    </row>
    <row r="55" spans="1:38" ht="16.5" thickTop="1">
      <c r="A55" s="501"/>
      <c r="B55" s="502"/>
      <c r="C55" s="503"/>
      <c r="D55" s="158">
        <v>1</v>
      </c>
      <c r="E55" s="158">
        <v>0.222</v>
      </c>
      <c r="F55" s="158">
        <v>0.111</v>
      </c>
      <c r="G55" s="158">
        <v>-0.33300000000000002</v>
      </c>
      <c r="H55" s="158">
        <v>0.111</v>
      </c>
      <c r="I55" s="158">
        <v>0.222</v>
      </c>
      <c r="J55" s="158"/>
      <c r="K55" s="158"/>
      <c r="L55" s="158"/>
      <c r="M55" s="159"/>
      <c r="N55" s="160">
        <v>0.66700000000000004</v>
      </c>
      <c r="O55" s="158">
        <v>-1.333</v>
      </c>
      <c r="P55" s="158">
        <v>1.333</v>
      </c>
      <c r="Q55" s="158">
        <v>-0.66700000000000004</v>
      </c>
      <c r="R55" s="161"/>
      <c r="AC55" s="173"/>
      <c r="AD55" s="173"/>
      <c r="AE55" s="173"/>
      <c r="AF55" s="173"/>
      <c r="AG55" s="173"/>
      <c r="AH55" s="173"/>
      <c r="AI55" s="173"/>
      <c r="AJ55" s="173"/>
      <c r="AK55" s="173"/>
    </row>
    <row r="56" spans="1:38" ht="16.5" thickBot="1">
      <c r="A56" s="495"/>
      <c r="B56" s="496"/>
      <c r="C56" s="497"/>
      <c r="D56" s="154">
        <v>2</v>
      </c>
      <c r="E56" s="154">
        <v>0.27800000000000002</v>
      </c>
      <c r="F56" s="154">
        <v>0.222</v>
      </c>
      <c r="G56" s="154">
        <v>-0.16700000000000001</v>
      </c>
      <c r="H56" s="154">
        <v>-0.111</v>
      </c>
      <c r="I56" s="154">
        <v>-5.6000000000000001E-2</v>
      </c>
      <c r="J56" s="154"/>
      <c r="K56" s="154"/>
      <c r="L56" s="154"/>
      <c r="M56" s="155"/>
      <c r="N56" s="156">
        <v>0.83299999999999996</v>
      </c>
      <c r="O56" s="154">
        <v>-1.167</v>
      </c>
      <c r="P56" s="154">
        <v>0.16700000000000001</v>
      </c>
      <c r="Q56" s="154">
        <v>0.16700000000000001</v>
      </c>
      <c r="R56" s="157"/>
    </row>
    <row r="57" spans="1:38" s="173" customFormat="1" ht="17.25" thickTop="1" thickBot="1">
      <c r="A57" s="498" t="s">
        <v>148</v>
      </c>
      <c r="B57" s="499"/>
      <c r="C57" s="499"/>
      <c r="D57" s="499">
        <v>3</v>
      </c>
      <c r="E57" s="499"/>
      <c r="F57" s="499"/>
      <c r="G57" s="499"/>
      <c r="H57" s="499"/>
      <c r="I57" s="499"/>
      <c r="J57" s="499"/>
      <c r="K57" s="499"/>
      <c r="L57" s="499"/>
      <c r="M57" s="499"/>
      <c r="N57" s="499"/>
      <c r="O57" s="499"/>
      <c r="P57" s="499"/>
      <c r="Q57" s="499"/>
      <c r="R57" s="500"/>
      <c r="AC57" s="107"/>
      <c r="AD57" s="107"/>
      <c r="AE57" s="107"/>
      <c r="AF57" s="107"/>
      <c r="AG57" s="107"/>
      <c r="AH57" s="107"/>
      <c r="AI57" s="107"/>
      <c r="AJ57" s="107"/>
      <c r="AK57" s="107"/>
    </row>
    <row r="58" spans="1:38" ht="16.5" thickTop="1">
      <c r="A58" s="501"/>
      <c r="B58" s="502"/>
      <c r="C58" s="503"/>
      <c r="D58" s="158">
        <v>1</v>
      </c>
      <c r="E58" s="158">
        <v>0.24399999999999999</v>
      </c>
      <c r="F58" s="158">
        <v>0.156</v>
      </c>
      <c r="G58" s="158">
        <v>-0.26700000000000002</v>
      </c>
      <c r="H58" s="158">
        <v>6.7000000000000004E-2</v>
      </c>
      <c r="I58" s="158">
        <v>6.7000000000000004E-2</v>
      </c>
      <c r="J58" s="158">
        <v>-0.26700000000000002</v>
      </c>
      <c r="K58" s="158"/>
      <c r="L58" s="158"/>
      <c r="M58" s="159"/>
      <c r="N58" s="160">
        <v>0.73299999999999998</v>
      </c>
      <c r="O58" s="158">
        <v>-1.2669999999999999</v>
      </c>
      <c r="P58" s="158">
        <v>1</v>
      </c>
      <c r="Q58" s="158"/>
      <c r="R58" s="161"/>
    </row>
    <row r="59" spans="1:38" ht="15.75">
      <c r="A59" s="492"/>
      <c r="B59" s="493"/>
      <c r="C59" s="494"/>
      <c r="D59" s="162">
        <v>2</v>
      </c>
      <c r="E59" s="162">
        <v>0.28899999999999998</v>
      </c>
      <c r="F59" s="162">
        <v>0.24399999999999999</v>
      </c>
      <c r="G59" s="162">
        <v>-0.13300000000000001</v>
      </c>
      <c r="H59" s="162">
        <v>-0.13300000000000001</v>
      </c>
      <c r="I59" s="162"/>
      <c r="J59" s="162"/>
      <c r="K59" s="162"/>
      <c r="L59" s="162"/>
      <c r="M59" s="163"/>
      <c r="N59" s="164">
        <v>0.86699999999999999</v>
      </c>
      <c r="O59" s="162">
        <v>-1.133</v>
      </c>
      <c r="P59" s="162"/>
      <c r="Q59" s="162"/>
      <c r="R59" s="165"/>
    </row>
    <row r="60" spans="1:38" ht="15.75">
      <c r="A60" s="492"/>
      <c r="B60" s="493"/>
      <c r="C60" s="494"/>
      <c r="D60" s="162">
        <v>3</v>
      </c>
      <c r="E60" s="162">
        <v>-4.3999999999999997E-2</v>
      </c>
      <c r="F60" s="162">
        <v>-8.8999999999999996E-2</v>
      </c>
      <c r="G60" s="162">
        <v>-0.13300000000000001</v>
      </c>
      <c r="H60" s="162">
        <v>0.2</v>
      </c>
      <c r="I60" s="162">
        <v>0.2</v>
      </c>
      <c r="J60" s="162"/>
      <c r="K60" s="162"/>
      <c r="L60" s="162"/>
      <c r="M60" s="163"/>
      <c r="N60" s="164">
        <v>-0.13300000000000001</v>
      </c>
      <c r="O60" s="162">
        <v>-0.13300000000000001</v>
      </c>
      <c r="P60" s="162">
        <v>1</v>
      </c>
      <c r="Q60" s="162"/>
      <c r="R60" s="165"/>
    </row>
    <row r="61" spans="1:38" ht="15.75">
      <c r="A61" s="492"/>
      <c r="B61" s="493"/>
      <c r="C61" s="494"/>
      <c r="D61" s="162">
        <v>4</v>
      </c>
      <c r="E61" s="162"/>
      <c r="F61" s="162"/>
      <c r="G61" s="162">
        <v>-0.311</v>
      </c>
      <c r="H61" s="162"/>
      <c r="I61" s="162"/>
      <c r="J61" s="162">
        <v>-8.8999999999999996E-2</v>
      </c>
      <c r="K61" s="162"/>
      <c r="L61" s="162"/>
      <c r="M61" s="163"/>
      <c r="N61" s="164">
        <v>0.68899999999999995</v>
      </c>
      <c r="O61" s="162">
        <v>-1.3109999999999999</v>
      </c>
      <c r="P61" s="162">
        <v>1.222</v>
      </c>
      <c r="Q61" s="162">
        <v>-0.77800000000000002</v>
      </c>
      <c r="R61" s="165"/>
    </row>
    <row r="62" spans="1:38" ht="16.5" thickBot="1">
      <c r="A62" s="495"/>
      <c r="B62" s="496"/>
      <c r="C62" s="497"/>
      <c r="D62" s="154">
        <v>5</v>
      </c>
      <c r="E62" s="154"/>
      <c r="F62" s="154"/>
      <c r="G62" s="154">
        <v>4.3999999999999997E-2</v>
      </c>
      <c r="H62" s="154"/>
      <c r="I62" s="154"/>
      <c r="J62" s="154">
        <v>-0.17799999999999999</v>
      </c>
      <c r="K62" s="154"/>
      <c r="L62" s="154"/>
      <c r="M62" s="155"/>
      <c r="N62" s="156"/>
      <c r="O62" s="154">
        <v>4.3999999999999997E-2</v>
      </c>
      <c r="P62" s="154">
        <v>-0.222</v>
      </c>
      <c r="Q62" s="154"/>
      <c r="R62" s="157"/>
    </row>
    <row r="63" spans="1:38" s="173" customFormat="1" ht="17.25" thickTop="1" thickBot="1">
      <c r="A63" s="498" t="s">
        <v>148</v>
      </c>
      <c r="B63" s="499"/>
      <c r="C63" s="499"/>
      <c r="D63" s="499">
        <v>4</v>
      </c>
      <c r="E63" s="499"/>
      <c r="F63" s="499"/>
      <c r="G63" s="499"/>
      <c r="H63" s="499"/>
      <c r="I63" s="499"/>
      <c r="J63" s="499"/>
      <c r="K63" s="499"/>
      <c r="L63" s="499"/>
      <c r="M63" s="499"/>
      <c r="N63" s="499"/>
      <c r="O63" s="499"/>
      <c r="P63" s="499"/>
      <c r="Q63" s="499"/>
      <c r="R63" s="500"/>
      <c r="AC63" s="107"/>
      <c r="AD63" s="107"/>
      <c r="AE63" s="107"/>
      <c r="AF63" s="107"/>
      <c r="AG63" s="107"/>
      <c r="AH63" s="107"/>
      <c r="AI63" s="107"/>
      <c r="AJ63" s="107"/>
      <c r="AK63" s="107"/>
    </row>
    <row r="64" spans="1:38" ht="16.5" thickTop="1">
      <c r="A64" s="501"/>
      <c r="B64" s="502"/>
      <c r="C64" s="503"/>
      <c r="D64" s="158">
        <v>1</v>
      </c>
      <c r="E64" s="158">
        <v>0.23799999999999999</v>
      </c>
      <c r="F64" s="158">
        <v>0.14299999999999999</v>
      </c>
      <c r="G64" s="158">
        <v>-0.28599999999999998</v>
      </c>
      <c r="H64" s="158">
        <v>7.9000000000000001E-2</v>
      </c>
      <c r="I64" s="158">
        <v>0.111</v>
      </c>
      <c r="J64" s="158">
        <v>-0.19</v>
      </c>
      <c r="K64" s="158"/>
      <c r="L64" s="158"/>
      <c r="M64" s="159"/>
      <c r="N64" s="160">
        <v>0.71399999999999997</v>
      </c>
      <c r="O64" s="158">
        <v>-1.268</v>
      </c>
      <c r="P64" s="158">
        <v>1.095</v>
      </c>
      <c r="Q64" s="158">
        <v>-0.90500000000000003</v>
      </c>
      <c r="R64" s="161"/>
    </row>
    <row r="65" spans="1:37" ht="15.75">
      <c r="A65" s="492"/>
      <c r="B65" s="493"/>
      <c r="C65" s="494"/>
      <c r="D65" s="162">
        <v>2</v>
      </c>
      <c r="E65" s="162">
        <v>0.28599999999999998</v>
      </c>
      <c r="F65" s="162">
        <v>0.23799999999999999</v>
      </c>
      <c r="G65" s="162">
        <v>-0.14299999999999999</v>
      </c>
      <c r="H65" s="162">
        <v>-0.127</v>
      </c>
      <c r="I65" s="162">
        <v>-0.111</v>
      </c>
      <c r="J65" s="162">
        <v>-9.5000000000000001E-2</v>
      </c>
      <c r="K65" s="162"/>
      <c r="L65" s="162"/>
      <c r="M65" s="163"/>
      <c r="N65" s="164">
        <v>0.85699999999999998</v>
      </c>
      <c r="O65" s="162">
        <v>-1.143</v>
      </c>
      <c r="P65" s="162">
        <v>4.8000000000000001E-2</v>
      </c>
      <c r="Q65" s="162"/>
      <c r="R65" s="165"/>
    </row>
    <row r="66" spans="1:37" ht="15.75">
      <c r="A66" s="492"/>
      <c r="B66" s="493"/>
      <c r="C66" s="494"/>
      <c r="D66" s="162">
        <v>3</v>
      </c>
      <c r="E66" s="162">
        <v>-4.8000000000000001E-2</v>
      </c>
      <c r="F66" s="162">
        <v>-9.5000000000000001E-2</v>
      </c>
      <c r="G66" s="162">
        <v>-0.14299999999999999</v>
      </c>
      <c r="H66" s="162">
        <v>0.20599999999999999</v>
      </c>
      <c r="I66" s="162">
        <v>0.222</v>
      </c>
      <c r="J66" s="162">
        <v>-9.5000000000000001E-2</v>
      </c>
      <c r="K66" s="162"/>
      <c r="L66" s="162"/>
      <c r="M66" s="163"/>
      <c r="N66" s="164">
        <v>-0.14299999999999999</v>
      </c>
      <c r="O66" s="162">
        <v>-0.14299999999999999</v>
      </c>
      <c r="P66" s="162">
        <v>1.048</v>
      </c>
      <c r="Q66" s="162">
        <v>-0.95199999999999996</v>
      </c>
      <c r="R66" s="165"/>
    </row>
    <row r="67" spans="1:37" ht="15.75">
      <c r="A67" s="492"/>
      <c r="B67" s="493"/>
      <c r="C67" s="494"/>
      <c r="D67" s="162">
        <v>4</v>
      </c>
      <c r="E67" s="162"/>
      <c r="F67" s="162"/>
      <c r="G67" s="162">
        <v>-0.32100000000000001</v>
      </c>
      <c r="H67" s="162"/>
      <c r="I67" s="162"/>
      <c r="J67" s="162">
        <v>-4.8000000000000001E-2</v>
      </c>
      <c r="K67" s="162"/>
      <c r="L67" s="162"/>
      <c r="M67" s="163"/>
      <c r="N67" s="164">
        <v>0.67900000000000005</v>
      </c>
      <c r="O67" s="162">
        <v>-1.321</v>
      </c>
      <c r="P67" s="162">
        <v>1.274</v>
      </c>
      <c r="Q67" s="162">
        <v>-0.72599999999999998</v>
      </c>
      <c r="R67" s="165"/>
    </row>
    <row r="68" spans="1:37" ht="15.75">
      <c r="A68" s="492"/>
      <c r="B68" s="493"/>
      <c r="C68" s="494"/>
      <c r="D68" s="162">
        <v>5</v>
      </c>
      <c r="E68" s="162">
        <v>-3.1E-2</v>
      </c>
      <c r="F68" s="162">
        <v>-6.3E-2</v>
      </c>
      <c r="G68" s="162">
        <v>-9.5000000000000001E-2</v>
      </c>
      <c r="H68" s="162"/>
      <c r="I68" s="162"/>
      <c r="J68" s="162">
        <v>-0.28599999999999998</v>
      </c>
      <c r="K68" s="162"/>
      <c r="L68" s="162"/>
      <c r="M68" s="163"/>
      <c r="N68" s="164">
        <v>-9.5000000000000001E-2</v>
      </c>
      <c r="O68" s="162">
        <v>-9.5000000000000001E-2</v>
      </c>
      <c r="P68" s="162">
        <v>0.81</v>
      </c>
      <c r="Q68" s="162">
        <v>-1.19</v>
      </c>
      <c r="R68" s="165"/>
    </row>
    <row r="69" spans="1:37" ht="15.75">
      <c r="A69" s="492"/>
      <c r="B69" s="493"/>
      <c r="C69" s="494"/>
      <c r="D69" s="162">
        <v>6</v>
      </c>
      <c r="E69" s="162"/>
      <c r="F69" s="162"/>
      <c r="G69" s="162">
        <v>3.5999999999999997E-2</v>
      </c>
      <c r="H69" s="162"/>
      <c r="I69" s="162"/>
      <c r="J69" s="162">
        <v>-0.14299999999999999</v>
      </c>
      <c r="K69" s="162"/>
      <c r="L69" s="162"/>
      <c r="M69" s="163"/>
      <c r="N69" s="164"/>
      <c r="O69" s="162">
        <v>3.5999999999999997E-2</v>
      </c>
      <c r="P69" s="162">
        <v>-0.17799999999999999</v>
      </c>
      <c r="Q69" s="162"/>
      <c r="R69" s="165"/>
    </row>
    <row r="70" spans="1:37" ht="16.5" thickBot="1">
      <c r="A70" s="495"/>
      <c r="B70" s="496"/>
      <c r="C70" s="497"/>
      <c r="D70" s="154">
        <v>7</v>
      </c>
      <c r="E70" s="154"/>
      <c r="F70" s="154"/>
      <c r="G70" s="154">
        <v>-0.19</v>
      </c>
      <c r="H70" s="154"/>
      <c r="I70" s="154"/>
      <c r="J70" s="154">
        <v>9.5000000000000001E-2</v>
      </c>
      <c r="K70" s="154"/>
      <c r="L70" s="154"/>
      <c r="M70" s="155"/>
      <c r="N70" s="156">
        <v>0.81</v>
      </c>
      <c r="O70" s="154">
        <v>-1.19</v>
      </c>
      <c r="P70" s="154">
        <v>0.28599999999999998</v>
      </c>
      <c r="Q70" s="154">
        <v>0.28599999999999998</v>
      </c>
      <c r="R70" s="157"/>
    </row>
    <row r="71" spans="1:37" s="173" customFormat="1" ht="17.25" thickTop="1" thickBot="1">
      <c r="A71" s="498" t="s">
        <v>148</v>
      </c>
      <c r="B71" s="499"/>
      <c r="C71" s="499"/>
      <c r="D71" s="499">
        <v>5</v>
      </c>
      <c r="E71" s="499"/>
      <c r="F71" s="499"/>
      <c r="G71" s="499"/>
      <c r="H71" s="499"/>
      <c r="I71" s="499"/>
      <c r="J71" s="499"/>
      <c r="K71" s="499"/>
      <c r="L71" s="499"/>
      <c r="M71" s="499"/>
      <c r="N71" s="499"/>
      <c r="O71" s="499"/>
      <c r="P71" s="499"/>
      <c r="Q71" s="499"/>
      <c r="R71" s="500"/>
      <c r="AC71" s="107"/>
      <c r="AD71" s="107"/>
      <c r="AE71" s="107"/>
      <c r="AF71" s="107"/>
      <c r="AG71" s="107"/>
      <c r="AH71" s="107"/>
      <c r="AI71" s="107"/>
      <c r="AJ71" s="107"/>
      <c r="AK71" s="107"/>
    </row>
    <row r="72" spans="1:37" ht="16.5" thickTop="1">
      <c r="A72" s="501"/>
      <c r="B72" s="502"/>
      <c r="C72" s="503"/>
      <c r="D72" s="158">
        <v>1</v>
      </c>
      <c r="E72" s="158">
        <v>0.24</v>
      </c>
      <c r="F72" s="158">
        <v>0.14599999999999999</v>
      </c>
      <c r="G72" s="158">
        <v>-0.28100000000000003</v>
      </c>
      <c r="H72" s="158">
        <v>7.5999999999999998E-2</v>
      </c>
      <c r="I72" s="158">
        <v>9.9000000000000005E-2</v>
      </c>
      <c r="J72" s="158">
        <v>-0.21099999999999999</v>
      </c>
      <c r="K72" s="158">
        <v>0.123</v>
      </c>
      <c r="L72" s="158">
        <v>0.123</v>
      </c>
      <c r="M72" s="159">
        <v>-0.21099999999999999</v>
      </c>
      <c r="N72" s="160">
        <v>0.71899999999999997</v>
      </c>
      <c r="O72" s="158">
        <v>-1.2809999999999999</v>
      </c>
      <c r="P72" s="158">
        <v>1.07</v>
      </c>
      <c r="Q72" s="158">
        <v>-0.93</v>
      </c>
      <c r="R72" s="161">
        <v>1</v>
      </c>
    </row>
    <row r="73" spans="1:37" ht="15.75">
      <c r="A73" s="492"/>
      <c r="B73" s="493"/>
      <c r="C73" s="494"/>
      <c r="D73" s="162">
        <v>2</v>
      </c>
      <c r="E73" s="162">
        <v>0.28699999999999998</v>
      </c>
      <c r="F73" s="162">
        <v>0.24</v>
      </c>
      <c r="G73" s="162">
        <v>-0.14000000000000001</v>
      </c>
      <c r="H73" s="162">
        <v>-0.129</v>
      </c>
      <c r="I73" s="162">
        <v>-0.11700000000000001</v>
      </c>
      <c r="J73" s="162">
        <v>-0.105</v>
      </c>
      <c r="K73" s="162">
        <v>0.22800000000000001</v>
      </c>
      <c r="L73" s="162">
        <v>0.22800000000000001</v>
      </c>
      <c r="M73" s="163">
        <v>-0.105</v>
      </c>
      <c r="N73" s="164">
        <v>0.86</v>
      </c>
      <c r="O73" s="162"/>
      <c r="P73" s="162"/>
      <c r="Q73" s="162"/>
      <c r="R73" s="165"/>
    </row>
    <row r="74" spans="1:37" ht="15.75">
      <c r="A74" s="492"/>
      <c r="B74" s="493"/>
      <c r="C74" s="494"/>
      <c r="D74" s="162">
        <v>3</v>
      </c>
      <c r="E74" s="162">
        <v>-4.7E-2</v>
      </c>
      <c r="F74" s="162">
        <v>-9.4E-2</v>
      </c>
      <c r="G74" s="162">
        <v>-0.14000000000000001</v>
      </c>
      <c r="H74" s="162">
        <v>0.20499999999999999</v>
      </c>
      <c r="I74" s="162">
        <v>0.216</v>
      </c>
      <c r="J74" s="162">
        <v>-0.105</v>
      </c>
      <c r="K74" s="162">
        <v>-0.105</v>
      </c>
      <c r="L74" s="162">
        <v>-0.105</v>
      </c>
      <c r="M74" s="163">
        <v>-0.105</v>
      </c>
      <c r="N74" s="164">
        <v>0.14000000000000001</v>
      </c>
      <c r="O74" s="162"/>
      <c r="P74" s="162"/>
      <c r="Q74" s="162"/>
      <c r="R74" s="165"/>
    </row>
    <row r="75" spans="1:37" ht="15.75">
      <c r="A75" s="492"/>
      <c r="B75" s="493"/>
      <c r="C75" s="494"/>
      <c r="D75" s="162">
        <v>4</v>
      </c>
      <c r="E75" s="162"/>
      <c r="F75" s="162"/>
      <c r="G75" s="162">
        <v>-0.31900000000000001</v>
      </c>
      <c r="H75" s="162"/>
      <c r="I75" s="162"/>
      <c r="J75" s="162">
        <v>-5.7000000000000002E-2</v>
      </c>
      <c r="K75" s="162"/>
      <c r="L75" s="162"/>
      <c r="M75" s="163">
        <v>-0.18</v>
      </c>
      <c r="N75" s="164"/>
      <c r="O75" s="162">
        <v>1.319</v>
      </c>
      <c r="P75" s="162">
        <v>1.262</v>
      </c>
      <c r="Q75" s="162"/>
      <c r="R75" s="165"/>
    </row>
    <row r="76" spans="1:37" ht="15.75">
      <c r="A76" s="492"/>
      <c r="B76" s="493"/>
      <c r="C76" s="494"/>
      <c r="D76" s="162">
        <v>5</v>
      </c>
      <c r="E76" s="162"/>
      <c r="F76" s="162"/>
      <c r="G76" s="162">
        <v>-9.2999999999999999E-2</v>
      </c>
      <c r="H76" s="162"/>
      <c r="I76" s="162"/>
      <c r="J76" s="162">
        <v>-0.29699999999999999</v>
      </c>
      <c r="K76" s="162"/>
      <c r="L76" s="162"/>
      <c r="M76" s="163">
        <v>-5.3999999999999999E-2</v>
      </c>
      <c r="N76" s="164"/>
      <c r="O76" s="162"/>
      <c r="P76" s="162"/>
      <c r="Q76" s="162">
        <v>-1.204</v>
      </c>
      <c r="R76" s="165">
        <v>1.242</v>
      </c>
    </row>
    <row r="77" spans="1:37" ht="15.75">
      <c r="A77" s="492"/>
      <c r="B77" s="493"/>
      <c r="C77" s="494"/>
      <c r="D77" s="162">
        <v>6</v>
      </c>
      <c r="E77" s="162"/>
      <c r="F77" s="162"/>
      <c r="G77" s="162">
        <v>3.7999999999999999E-2</v>
      </c>
      <c r="H77" s="162"/>
      <c r="I77" s="162"/>
      <c r="J77" s="162">
        <v>-0.153</v>
      </c>
      <c r="K77" s="162"/>
      <c r="L77" s="162"/>
      <c r="M77" s="163">
        <v>-9.2999999999999999E-2</v>
      </c>
      <c r="N77" s="164"/>
      <c r="O77" s="162">
        <v>3.7999999999999999E-2</v>
      </c>
      <c r="P77" s="162">
        <v>-0.191</v>
      </c>
      <c r="Q77" s="162"/>
      <c r="R77" s="165"/>
    </row>
    <row r="78" spans="1:37" ht="16.5" thickBot="1">
      <c r="A78" s="495"/>
      <c r="B78" s="496"/>
      <c r="C78" s="497"/>
      <c r="D78" s="154">
        <v>7</v>
      </c>
      <c r="E78" s="154"/>
      <c r="F78" s="154"/>
      <c r="G78" s="154">
        <v>-0.188</v>
      </c>
      <c r="H78" s="154"/>
      <c r="I78" s="154"/>
      <c r="J78" s="154">
        <v>8.5000000000000006E-2</v>
      </c>
      <c r="K78" s="154"/>
      <c r="L78" s="154"/>
      <c r="M78" s="155">
        <v>-0.156</v>
      </c>
      <c r="N78" s="156"/>
      <c r="O78" s="154"/>
      <c r="P78" s="154"/>
      <c r="Q78" s="154">
        <v>0.27400000000000002</v>
      </c>
      <c r="R78" s="157">
        <v>1</v>
      </c>
    </row>
    <row r="79" spans="1:37" ht="15.75" thickTop="1">
      <c r="B79" s="166">
        <v>2</v>
      </c>
      <c r="C79" s="166">
        <v>3</v>
      </c>
      <c r="D79" s="166">
        <v>4</v>
      </c>
      <c r="E79" s="166">
        <v>5</v>
      </c>
    </row>
  </sheetData>
  <mergeCells count="89">
    <mergeCell ref="A2:A3"/>
    <mergeCell ref="B2:L2"/>
    <mergeCell ref="R2:Z3"/>
    <mergeCell ref="AC2:AK2"/>
    <mergeCell ref="AC3:AC4"/>
    <mergeCell ref="AD3:AK3"/>
    <mergeCell ref="A9:H9"/>
    <mergeCell ref="A10:A11"/>
    <mergeCell ref="B10:E10"/>
    <mergeCell ref="F10:G11"/>
    <mergeCell ref="H10:H11"/>
    <mergeCell ref="B11:C11"/>
    <mergeCell ref="D11:E11"/>
    <mergeCell ref="B12:C12"/>
    <mergeCell ref="D12:E12"/>
    <mergeCell ref="F12:G12"/>
    <mergeCell ref="B13:C13"/>
    <mergeCell ref="D13:E13"/>
    <mergeCell ref="F13:G13"/>
    <mergeCell ref="B14:C14"/>
    <mergeCell ref="D14:E14"/>
    <mergeCell ref="F14:G14"/>
    <mergeCell ref="B17:B18"/>
    <mergeCell ref="C17:C18"/>
    <mergeCell ref="D17:N17"/>
    <mergeCell ref="A19:A25"/>
    <mergeCell ref="B20:B21"/>
    <mergeCell ref="B22:B23"/>
    <mergeCell ref="Q23:Q26"/>
    <mergeCell ref="Z23:Z26"/>
    <mergeCell ref="B24:B25"/>
    <mergeCell ref="A26:A32"/>
    <mergeCell ref="B27:B28"/>
    <mergeCell ref="B29:B30"/>
    <mergeCell ref="B31:B32"/>
    <mergeCell ref="A33:A39"/>
    <mergeCell ref="B34:B35"/>
    <mergeCell ref="B36:B37"/>
    <mergeCell ref="B38:B39"/>
    <mergeCell ref="A40:A46"/>
    <mergeCell ref="B41:B42"/>
    <mergeCell ref="B43:B44"/>
    <mergeCell ref="B45:B46"/>
    <mergeCell ref="A52:C53"/>
    <mergeCell ref="D52:D53"/>
    <mergeCell ref="E52:M52"/>
    <mergeCell ref="N52:R52"/>
    <mergeCell ref="A54:C54"/>
    <mergeCell ref="D54:R54"/>
    <mergeCell ref="D63:R63"/>
    <mergeCell ref="A64:C64"/>
    <mergeCell ref="A55:C55"/>
    <mergeCell ref="A56:C56"/>
    <mergeCell ref="A57:C57"/>
    <mergeCell ref="D57:R57"/>
    <mergeCell ref="A58:C58"/>
    <mergeCell ref="A59:C59"/>
    <mergeCell ref="A70:C70"/>
    <mergeCell ref="A60:C60"/>
    <mergeCell ref="A61:C61"/>
    <mergeCell ref="A62:C62"/>
    <mergeCell ref="A63:C63"/>
    <mergeCell ref="A65:C65"/>
    <mergeCell ref="A66:C66"/>
    <mergeCell ref="A67:C67"/>
    <mergeCell ref="A68:C68"/>
    <mergeCell ref="A69:C69"/>
    <mergeCell ref="A76:C76"/>
    <mergeCell ref="A77:C77"/>
    <mergeCell ref="A78:C78"/>
    <mergeCell ref="A71:C71"/>
    <mergeCell ref="D71:R71"/>
    <mergeCell ref="A72:C72"/>
    <mergeCell ref="A73:C73"/>
    <mergeCell ref="A74:C74"/>
    <mergeCell ref="A75:C75"/>
    <mergeCell ref="AA46:AA48"/>
    <mergeCell ref="AA23:AA26"/>
    <mergeCell ref="AA27:AA36"/>
    <mergeCell ref="AA37:AA45"/>
    <mergeCell ref="R25:R26"/>
    <mergeCell ref="S25:S26"/>
    <mergeCell ref="T25:T26"/>
    <mergeCell ref="U25:U26"/>
    <mergeCell ref="V25:V26"/>
    <mergeCell ref="W25:W26"/>
    <mergeCell ref="X25:X26"/>
    <mergeCell ref="Y25:Y26"/>
    <mergeCell ref="R23:Y24"/>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from>
                <xdr:col>2</xdr:col>
                <xdr:colOff>238125</xdr:colOff>
                <xdr:row>25</xdr:row>
                <xdr:rowOff>76200</xdr:rowOff>
              </from>
              <to>
                <xdr:col>2</xdr:col>
                <xdr:colOff>419100</xdr:colOff>
                <xdr:row>25</xdr:row>
                <xdr:rowOff>190500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from>
                <xdr:col>2</xdr:col>
                <xdr:colOff>247650</xdr:colOff>
                <xdr:row>25</xdr:row>
                <xdr:rowOff>209550</xdr:rowOff>
              </from>
              <to>
                <xdr:col>2</xdr:col>
                <xdr:colOff>438150</xdr:colOff>
                <xdr:row>26</xdr:row>
                <xdr:rowOff>180975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from>
                <xdr:col>2</xdr:col>
                <xdr:colOff>228600</xdr:colOff>
                <xdr:row>27</xdr:row>
                <xdr:rowOff>0</xdr:rowOff>
              </from>
              <to>
                <xdr:col>2</xdr:col>
                <xdr:colOff>447675</xdr:colOff>
                <xdr:row>27</xdr:row>
                <xdr:rowOff>190500</xdr:rowOff>
              </to>
            </anchor>
          </objectPr>
        </oleObject>
      </mc:Choice>
      <mc:Fallback>
        <oleObject progId="Equation.DSMT4" shapeId="4099" r:id="rId8"/>
      </mc:Fallback>
    </mc:AlternateContent>
    <mc:AlternateContent xmlns:mc="http://schemas.openxmlformats.org/markup-compatibility/2006">
      <mc:Choice Requires="x14">
        <oleObject progId="Equation.DSMT4" shapeId="4100" r:id="rId10">
          <objectPr defaultSize="0" autoPict="0" r:id="rId7">
            <anchor moveWithCells="1">
              <from>
                <xdr:col>2</xdr:col>
                <xdr:colOff>247650</xdr:colOff>
                <xdr:row>27</xdr:row>
                <xdr:rowOff>209550</xdr:rowOff>
              </from>
              <to>
                <xdr:col>2</xdr:col>
                <xdr:colOff>438150</xdr:colOff>
                <xdr:row>28</xdr:row>
                <xdr:rowOff>180975</xdr:rowOff>
              </to>
            </anchor>
          </objectPr>
        </oleObject>
      </mc:Choice>
      <mc:Fallback>
        <oleObject progId="Equation.DSMT4" shapeId="4100" r:id="rId10"/>
      </mc:Fallback>
    </mc:AlternateContent>
    <mc:AlternateContent xmlns:mc="http://schemas.openxmlformats.org/markup-compatibility/2006">
      <mc:Choice Requires="x14">
        <oleObject progId="Equation.DSMT4" shapeId="4101" r:id="rId11">
          <objectPr defaultSize="0" autoPict="0" r:id="rId9">
            <anchor moveWithCells="1">
              <from>
                <xdr:col>2</xdr:col>
                <xdr:colOff>228600</xdr:colOff>
                <xdr:row>29</xdr:row>
                <xdr:rowOff>0</xdr:rowOff>
              </from>
              <to>
                <xdr:col>2</xdr:col>
                <xdr:colOff>447675</xdr:colOff>
                <xdr:row>29</xdr:row>
                <xdr:rowOff>190500</xdr:rowOff>
              </to>
            </anchor>
          </objectPr>
        </oleObject>
      </mc:Choice>
      <mc:Fallback>
        <oleObject progId="Equation.DSMT4" shapeId="4101" r:id="rId11"/>
      </mc:Fallback>
    </mc:AlternateContent>
    <mc:AlternateContent xmlns:mc="http://schemas.openxmlformats.org/markup-compatibility/2006">
      <mc:Choice Requires="x14">
        <oleObject progId="Equation.DSMT4" shapeId="4102" r:id="rId12">
          <objectPr defaultSize="0" autoPict="0" r:id="rId7">
            <anchor moveWithCells="1">
              <from>
                <xdr:col>2</xdr:col>
                <xdr:colOff>247650</xdr:colOff>
                <xdr:row>29</xdr:row>
                <xdr:rowOff>209550</xdr:rowOff>
              </from>
              <to>
                <xdr:col>2</xdr:col>
                <xdr:colOff>438150</xdr:colOff>
                <xdr:row>30</xdr:row>
                <xdr:rowOff>180975</xdr:rowOff>
              </to>
            </anchor>
          </objectPr>
        </oleObject>
      </mc:Choice>
      <mc:Fallback>
        <oleObject progId="Equation.DSMT4" shapeId="4102" r:id="rId12"/>
      </mc:Fallback>
    </mc:AlternateContent>
    <mc:AlternateContent xmlns:mc="http://schemas.openxmlformats.org/markup-compatibility/2006">
      <mc:Choice Requires="x14">
        <oleObject progId="Equation.DSMT4" shapeId="4103" r:id="rId13">
          <objectPr defaultSize="0" autoPict="0" r:id="rId9">
            <anchor moveWithCells="1">
              <from>
                <xdr:col>2</xdr:col>
                <xdr:colOff>228600</xdr:colOff>
                <xdr:row>31</xdr:row>
                <xdr:rowOff>0</xdr:rowOff>
              </from>
              <to>
                <xdr:col>2</xdr:col>
                <xdr:colOff>447675</xdr:colOff>
                <xdr:row>31</xdr:row>
                <xdr:rowOff>190500</xdr:rowOff>
              </to>
            </anchor>
          </objectPr>
        </oleObject>
      </mc:Choice>
      <mc:Fallback>
        <oleObject progId="Equation.DSMT4" shapeId="4103" r:id="rId13"/>
      </mc:Fallback>
    </mc:AlternateContent>
    <mc:AlternateContent xmlns:mc="http://schemas.openxmlformats.org/markup-compatibility/2006">
      <mc:Choice Requires="x14">
        <oleObject progId="Equation.DSMT4" shapeId="4104" r:id="rId14">
          <objectPr defaultSize="0" autoPict="0" r:id="rId5">
            <anchor moveWithCells="1">
              <from>
                <xdr:col>2</xdr:col>
                <xdr:colOff>238125</xdr:colOff>
                <xdr:row>32</xdr:row>
                <xdr:rowOff>76200</xdr:rowOff>
              </from>
              <to>
                <xdr:col>2</xdr:col>
                <xdr:colOff>419100</xdr:colOff>
                <xdr:row>32</xdr:row>
                <xdr:rowOff>190500</xdr:rowOff>
              </to>
            </anchor>
          </objectPr>
        </oleObject>
      </mc:Choice>
      <mc:Fallback>
        <oleObject progId="Equation.DSMT4" shapeId="4104" r:id="rId14"/>
      </mc:Fallback>
    </mc:AlternateContent>
    <mc:AlternateContent xmlns:mc="http://schemas.openxmlformats.org/markup-compatibility/2006">
      <mc:Choice Requires="x14">
        <oleObject progId="Equation.DSMT4" shapeId="4105" r:id="rId15">
          <objectPr defaultSize="0" autoPict="0" r:id="rId7">
            <anchor moveWithCells="1">
              <from>
                <xdr:col>2</xdr:col>
                <xdr:colOff>247650</xdr:colOff>
                <xdr:row>32</xdr:row>
                <xdr:rowOff>209550</xdr:rowOff>
              </from>
              <to>
                <xdr:col>2</xdr:col>
                <xdr:colOff>438150</xdr:colOff>
                <xdr:row>33</xdr:row>
                <xdr:rowOff>180975</xdr:rowOff>
              </to>
            </anchor>
          </objectPr>
        </oleObject>
      </mc:Choice>
      <mc:Fallback>
        <oleObject progId="Equation.DSMT4" shapeId="4105" r:id="rId15"/>
      </mc:Fallback>
    </mc:AlternateContent>
    <mc:AlternateContent xmlns:mc="http://schemas.openxmlformats.org/markup-compatibility/2006">
      <mc:Choice Requires="x14">
        <oleObject progId="Equation.DSMT4" shapeId="4106" r:id="rId16">
          <objectPr defaultSize="0" autoPict="0" r:id="rId9">
            <anchor moveWithCells="1">
              <from>
                <xdr:col>2</xdr:col>
                <xdr:colOff>228600</xdr:colOff>
                <xdr:row>34</xdr:row>
                <xdr:rowOff>0</xdr:rowOff>
              </from>
              <to>
                <xdr:col>2</xdr:col>
                <xdr:colOff>447675</xdr:colOff>
                <xdr:row>34</xdr:row>
                <xdr:rowOff>190500</xdr:rowOff>
              </to>
            </anchor>
          </objectPr>
        </oleObject>
      </mc:Choice>
      <mc:Fallback>
        <oleObject progId="Equation.DSMT4" shapeId="4106" r:id="rId16"/>
      </mc:Fallback>
    </mc:AlternateContent>
    <mc:AlternateContent xmlns:mc="http://schemas.openxmlformats.org/markup-compatibility/2006">
      <mc:Choice Requires="x14">
        <oleObject progId="Equation.DSMT4" shapeId="4107" r:id="rId17">
          <objectPr defaultSize="0" autoPict="0" r:id="rId5">
            <anchor moveWithCells="1">
              <from>
                <xdr:col>2</xdr:col>
                <xdr:colOff>238125</xdr:colOff>
                <xdr:row>39</xdr:row>
                <xdr:rowOff>76200</xdr:rowOff>
              </from>
              <to>
                <xdr:col>2</xdr:col>
                <xdr:colOff>419100</xdr:colOff>
                <xdr:row>39</xdr:row>
                <xdr:rowOff>190500</xdr:rowOff>
              </to>
            </anchor>
          </objectPr>
        </oleObject>
      </mc:Choice>
      <mc:Fallback>
        <oleObject progId="Equation.DSMT4" shapeId="4107" r:id="rId17"/>
      </mc:Fallback>
    </mc:AlternateContent>
    <mc:AlternateContent xmlns:mc="http://schemas.openxmlformats.org/markup-compatibility/2006">
      <mc:Choice Requires="x14">
        <oleObject progId="Equation.DSMT4" shapeId="4108" r:id="rId18">
          <objectPr defaultSize="0" autoPict="0" r:id="rId7">
            <anchor moveWithCells="1">
              <from>
                <xdr:col>2</xdr:col>
                <xdr:colOff>247650</xdr:colOff>
                <xdr:row>39</xdr:row>
                <xdr:rowOff>209550</xdr:rowOff>
              </from>
              <to>
                <xdr:col>2</xdr:col>
                <xdr:colOff>438150</xdr:colOff>
                <xdr:row>40</xdr:row>
                <xdr:rowOff>180975</xdr:rowOff>
              </to>
            </anchor>
          </objectPr>
        </oleObject>
      </mc:Choice>
      <mc:Fallback>
        <oleObject progId="Equation.DSMT4" shapeId="4108" r:id="rId18"/>
      </mc:Fallback>
    </mc:AlternateContent>
    <mc:AlternateContent xmlns:mc="http://schemas.openxmlformats.org/markup-compatibility/2006">
      <mc:Choice Requires="x14">
        <oleObject progId="Equation.DSMT4" shapeId="4109" r:id="rId19">
          <objectPr defaultSize="0" autoPict="0" r:id="rId9">
            <anchor moveWithCells="1">
              <from>
                <xdr:col>2</xdr:col>
                <xdr:colOff>228600</xdr:colOff>
                <xdr:row>41</xdr:row>
                <xdr:rowOff>0</xdr:rowOff>
              </from>
              <to>
                <xdr:col>2</xdr:col>
                <xdr:colOff>447675</xdr:colOff>
                <xdr:row>41</xdr:row>
                <xdr:rowOff>190500</xdr:rowOff>
              </to>
            </anchor>
          </objectPr>
        </oleObject>
      </mc:Choice>
      <mc:Fallback>
        <oleObject progId="Equation.DSMT4" shapeId="4109" r:id="rId19"/>
      </mc:Fallback>
    </mc:AlternateContent>
    <mc:AlternateContent xmlns:mc="http://schemas.openxmlformats.org/markup-compatibility/2006">
      <mc:Choice Requires="x14">
        <oleObject progId="Equation.DSMT4" shapeId="4110" r:id="rId20">
          <objectPr defaultSize="0" autoPict="0" r:id="rId7">
            <anchor moveWithCells="1">
              <from>
                <xdr:col>2</xdr:col>
                <xdr:colOff>247650</xdr:colOff>
                <xdr:row>34</xdr:row>
                <xdr:rowOff>209550</xdr:rowOff>
              </from>
              <to>
                <xdr:col>2</xdr:col>
                <xdr:colOff>438150</xdr:colOff>
                <xdr:row>35</xdr:row>
                <xdr:rowOff>180975</xdr:rowOff>
              </to>
            </anchor>
          </objectPr>
        </oleObject>
      </mc:Choice>
      <mc:Fallback>
        <oleObject progId="Equation.DSMT4" shapeId="4110" r:id="rId20"/>
      </mc:Fallback>
    </mc:AlternateContent>
    <mc:AlternateContent xmlns:mc="http://schemas.openxmlformats.org/markup-compatibility/2006">
      <mc:Choice Requires="x14">
        <oleObject progId="Equation.DSMT4" shapeId="4111" r:id="rId21">
          <objectPr defaultSize="0" autoPict="0" r:id="rId9">
            <anchor moveWithCells="1">
              <from>
                <xdr:col>2</xdr:col>
                <xdr:colOff>228600</xdr:colOff>
                <xdr:row>36</xdr:row>
                <xdr:rowOff>0</xdr:rowOff>
              </from>
              <to>
                <xdr:col>2</xdr:col>
                <xdr:colOff>447675</xdr:colOff>
                <xdr:row>36</xdr:row>
                <xdr:rowOff>190500</xdr:rowOff>
              </to>
            </anchor>
          </objectPr>
        </oleObject>
      </mc:Choice>
      <mc:Fallback>
        <oleObject progId="Equation.DSMT4" shapeId="4111" r:id="rId21"/>
      </mc:Fallback>
    </mc:AlternateContent>
    <mc:AlternateContent xmlns:mc="http://schemas.openxmlformats.org/markup-compatibility/2006">
      <mc:Choice Requires="x14">
        <oleObject progId="Equation.DSMT4" shapeId="4112" r:id="rId22">
          <objectPr defaultSize="0" autoPict="0" r:id="rId7">
            <anchor moveWithCells="1">
              <from>
                <xdr:col>2</xdr:col>
                <xdr:colOff>247650</xdr:colOff>
                <xdr:row>36</xdr:row>
                <xdr:rowOff>209550</xdr:rowOff>
              </from>
              <to>
                <xdr:col>2</xdr:col>
                <xdr:colOff>438150</xdr:colOff>
                <xdr:row>37</xdr:row>
                <xdr:rowOff>180975</xdr:rowOff>
              </to>
            </anchor>
          </objectPr>
        </oleObject>
      </mc:Choice>
      <mc:Fallback>
        <oleObject progId="Equation.DSMT4" shapeId="4112" r:id="rId22"/>
      </mc:Fallback>
    </mc:AlternateContent>
    <mc:AlternateContent xmlns:mc="http://schemas.openxmlformats.org/markup-compatibility/2006">
      <mc:Choice Requires="x14">
        <oleObject progId="Equation.DSMT4" shapeId="4113" r:id="rId23">
          <objectPr defaultSize="0" autoPict="0" r:id="rId9">
            <anchor moveWithCells="1">
              <from>
                <xdr:col>2</xdr:col>
                <xdr:colOff>228600</xdr:colOff>
                <xdr:row>38</xdr:row>
                <xdr:rowOff>0</xdr:rowOff>
              </from>
              <to>
                <xdr:col>2</xdr:col>
                <xdr:colOff>447675</xdr:colOff>
                <xdr:row>38</xdr:row>
                <xdr:rowOff>190500</xdr:rowOff>
              </to>
            </anchor>
          </objectPr>
        </oleObject>
      </mc:Choice>
      <mc:Fallback>
        <oleObject progId="Equation.DSMT4" shapeId="4113" r:id="rId23"/>
      </mc:Fallback>
    </mc:AlternateContent>
    <mc:AlternateContent xmlns:mc="http://schemas.openxmlformats.org/markup-compatibility/2006">
      <mc:Choice Requires="x14">
        <oleObject progId="Equation.DSMT4" shapeId="4114" r:id="rId24">
          <objectPr defaultSize="0" autoPict="0" r:id="rId7">
            <anchor moveWithCells="1">
              <from>
                <xdr:col>2</xdr:col>
                <xdr:colOff>247650</xdr:colOff>
                <xdr:row>41</xdr:row>
                <xdr:rowOff>209550</xdr:rowOff>
              </from>
              <to>
                <xdr:col>2</xdr:col>
                <xdr:colOff>438150</xdr:colOff>
                <xdr:row>42</xdr:row>
                <xdr:rowOff>180975</xdr:rowOff>
              </to>
            </anchor>
          </objectPr>
        </oleObject>
      </mc:Choice>
      <mc:Fallback>
        <oleObject progId="Equation.DSMT4" shapeId="4114" r:id="rId24"/>
      </mc:Fallback>
    </mc:AlternateContent>
    <mc:AlternateContent xmlns:mc="http://schemas.openxmlformats.org/markup-compatibility/2006">
      <mc:Choice Requires="x14">
        <oleObject progId="Equation.DSMT4" shapeId="4115" r:id="rId25">
          <objectPr defaultSize="0" autoPict="0" r:id="rId9">
            <anchor moveWithCells="1">
              <from>
                <xdr:col>2</xdr:col>
                <xdr:colOff>238125</xdr:colOff>
                <xdr:row>43</xdr:row>
                <xdr:rowOff>0</xdr:rowOff>
              </from>
              <to>
                <xdr:col>2</xdr:col>
                <xdr:colOff>457200</xdr:colOff>
                <xdr:row>43</xdr:row>
                <xdr:rowOff>190500</xdr:rowOff>
              </to>
            </anchor>
          </objectPr>
        </oleObject>
      </mc:Choice>
      <mc:Fallback>
        <oleObject progId="Equation.DSMT4" shapeId="4115" r:id="rId25"/>
      </mc:Fallback>
    </mc:AlternateContent>
    <mc:AlternateContent xmlns:mc="http://schemas.openxmlformats.org/markup-compatibility/2006">
      <mc:Choice Requires="x14">
        <oleObject progId="Equation.DSMT4" shapeId="4116" r:id="rId26">
          <objectPr defaultSize="0" autoPict="0" r:id="rId7">
            <anchor moveWithCells="1">
              <from>
                <xdr:col>2</xdr:col>
                <xdr:colOff>247650</xdr:colOff>
                <xdr:row>43</xdr:row>
                <xdr:rowOff>209550</xdr:rowOff>
              </from>
              <to>
                <xdr:col>2</xdr:col>
                <xdr:colOff>438150</xdr:colOff>
                <xdr:row>44</xdr:row>
                <xdr:rowOff>180975</xdr:rowOff>
              </to>
            </anchor>
          </objectPr>
        </oleObject>
      </mc:Choice>
      <mc:Fallback>
        <oleObject progId="Equation.DSMT4" shapeId="4116" r:id="rId26"/>
      </mc:Fallback>
    </mc:AlternateContent>
    <mc:AlternateContent xmlns:mc="http://schemas.openxmlformats.org/markup-compatibility/2006">
      <mc:Choice Requires="x14">
        <oleObject progId="Equation.DSMT4" shapeId="4117" r:id="rId27">
          <objectPr defaultSize="0" autoPict="0" r:id="rId9">
            <anchor moveWithCells="1">
              <from>
                <xdr:col>2</xdr:col>
                <xdr:colOff>228600</xdr:colOff>
                <xdr:row>45</xdr:row>
                <xdr:rowOff>0</xdr:rowOff>
              </from>
              <to>
                <xdr:col>2</xdr:col>
                <xdr:colOff>447675</xdr:colOff>
                <xdr:row>45</xdr:row>
                <xdr:rowOff>190500</xdr:rowOff>
              </to>
            </anchor>
          </objectPr>
        </oleObject>
      </mc:Choice>
      <mc:Fallback>
        <oleObject progId="Equation.DSMT4" shapeId="4117" r:id="rId27"/>
      </mc:Fallback>
    </mc:AlternateContent>
    <mc:AlternateContent xmlns:mc="http://schemas.openxmlformats.org/markup-compatibility/2006">
      <mc:Choice Requires="x14">
        <oleObject progId="Equation.DSMT4" shapeId="4118" r:id="rId28">
          <objectPr defaultSize="0" autoPict="0" r:id="rId5">
            <anchor moveWithCells="1">
              <from>
                <xdr:col>2</xdr:col>
                <xdr:colOff>238125</xdr:colOff>
                <xdr:row>18</xdr:row>
                <xdr:rowOff>0</xdr:rowOff>
              </from>
              <to>
                <xdr:col>2</xdr:col>
                <xdr:colOff>419100</xdr:colOff>
                <xdr:row>18</xdr:row>
                <xdr:rowOff>171450</xdr:rowOff>
              </to>
            </anchor>
          </objectPr>
        </oleObject>
      </mc:Choice>
      <mc:Fallback>
        <oleObject progId="Equation.DSMT4" shapeId="4118" r:id="rId28"/>
      </mc:Fallback>
    </mc:AlternateContent>
    <mc:AlternateContent xmlns:mc="http://schemas.openxmlformats.org/markup-compatibility/2006">
      <mc:Choice Requires="x14">
        <oleObject progId="Equation.DSMT4" shapeId="4119" r:id="rId29">
          <objectPr defaultSize="0" autoPict="0" r:id="rId7">
            <anchor moveWithCells="1">
              <from>
                <xdr:col>2</xdr:col>
                <xdr:colOff>247650</xdr:colOff>
                <xdr:row>18</xdr:row>
                <xdr:rowOff>209550</xdr:rowOff>
              </from>
              <to>
                <xdr:col>2</xdr:col>
                <xdr:colOff>438150</xdr:colOff>
                <xdr:row>19</xdr:row>
                <xdr:rowOff>180975</xdr:rowOff>
              </to>
            </anchor>
          </objectPr>
        </oleObject>
      </mc:Choice>
      <mc:Fallback>
        <oleObject progId="Equation.DSMT4" shapeId="4119" r:id="rId29"/>
      </mc:Fallback>
    </mc:AlternateContent>
    <mc:AlternateContent xmlns:mc="http://schemas.openxmlformats.org/markup-compatibility/2006">
      <mc:Choice Requires="x14">
        <oleObject progId="Equation.DSMT4" shapeId="4120" r:id="rId30">
          <objectPr defaultSize="0" autoPict="0" r:id="rId9">
            <anchor moveWithCells="1">
              <from>
                <xdr:col>2</xdr:col>
                <xdr:colOff>228600</xdr:colOff>
                <xdr:row>20</xdr:row>
                <xdr:rowOff>0</xdr:rowOff>
              </from>
              <to>
                <xdr:col>2</xdr:col>
                <xdr:colOff>447675</xdr:colOff>
                <xdr:row>20</xdr:row>
                <xdr:rowOff>190500</xdr:rowOff>
              </to>
            </anchor>
          </objectPr>
        </oleObject>
      </mc:Choice>
      <mc:Fallback>
        <oleObject progId="Equation.DSMT4" shapeId="4120" r:id="rId30"/>
      </mc:Fallback>
    </mc:AlternateContent>
    <mc:AlternateContent xmlns:mc="http://schemas.openxmlformats.org/markup-compatibility/2006">
      <mc:Choice Requires="x14">
        <oleObject progId="Equation.DSMT4" shapeId="4121" r:id="rId31">
          <objectPr defaultSize="0" autoPict="0" r:id="rId7">
            <anchor moveWithCells="1">
              <from>
                <xdr:col>2</xdr:col>
                <xdr:colOff>247650</xdr:colOff>
                <xdr:row>20</xdr:row>
                <xdr:rowOff>209550</xdr:rowOff>
              </from>
              <to>
                <xdr:col>2</xdr:col>
                <xdr:colOff>438150</xdr:colOff>
                <xdr:row>21</xdr:row>
                <xdr:rowOff>180975</xdr:rowOff>
              </to>
            </anchor>
          </objectPr>
        </oleObject>
      </mc:Choice>
      <mc:Fallback>
        <oleObject progId="Equation.DSMT4" shapeId="4121" r:id="rId31"/>
      </mc:Fallback>
    </mc:AlternateContent>
    <mc:AlternateContent xmlns:mc="http://schemas.openxmlformats.org/markup-compatibility/2006">
      <mc:Choice Requires="x14">
        <oleObject progId="Equation.DSMT4" shapeId="4122" r:id="rId32">
          <objectPr defaultSize="0" autoPict="0" r:id="rId9">
            <anchor moveWithCells="1">
              <from>
                <xdr:col>2</xdr:col>
                <xdr:colOff>228600</xdr:colOff>
                <xdr:row>22</xdr:row>
                <xdr:rowOff>0</xdr:rowOff>
              </from>
              <to>
                <xdr:col>2</xdr:col>
                <xdr:colOff>447675</xdr:colOff>
                <xdr:row>22</xdr:row>
                <xdr:rowOff>190500</xdr:rowOff>
              </to>
            </anchor>
          </objectPr>
        </oleObject>
      </mc:Choice>
      <mc:Fallback>
        <oleObject progId="Equation.DSMT4" shapeId="4122" r:id="rId32"/>
      </mc:Fallback>
    </mc:AlternateContent>
    <mc:AlternateContent xmlns:mc="http://schemas.openxmlformats.org/markup-compatibility/2006">
      <mc:Choice Requires="x14">
        <oleObject progId="Equation.DSMT4" shapeId="4123" r:id="rId33">
          <objectPr defaultSize="0" autoPict="0" r:id="rId9">
            <anchor moveWithCells="1">
              <from>
                <xdr:col>15</xdr:col>
                <xdr:colOff>228600</xdr:colOff>
                <xdr:row>24</xdr:row>
                <xdr:rowOff>0</xdr:rowOff>
              </from>
              <to>
                <xdr:col>15</xdr:col>
                <xdr:colOff>447675</xdr:colOff>
                <xdr:row>24</xdr:row>
                <xdr:rowOff>0</xdr:rowOff>
              </to>
            </anchor>
          </objectPr>
        </oleObject>
      </mc:Choice>
      <mc:Fallback>
        <oleObject progId="Equation.DSMT4" shapeId="4123" r:id="rId33"/>
      </mc:Fallback>
    </mc:AlternateContent>
    <mc:AlternateContent xmlns:mc="http://schemas.openxmlformats.org/markup-compatibility/2006">
      <mc:Choice Requires="x14">
        <oleObject progId="Equation.DSMT4" shapeId="4124" r:id="rId34">
          <objectPr defaultSize="0" autoPict="0" r:id="rId7">
            <anchor moveWithCells="1">
              <from>
                <xdr:col>2</xdr:col>
                <xdr:colOff>247650</xdr:colOff>
                <xdr:row>22</xdr:row>
                <xdr:rowOff>209550</xdr:rowOff>
              </from>
              <to>
                <xdr:col>2</xdr:col>
                <xdr:colOff>438150</xdr:colOff>
                <xdr:row>23</xdr:row>
                <xdr:rowOff>180975</xdr:rowOff>
              </to>
            </anchor>
          </objectPr>
        </oleObject>
      </mc:Choice>
      <mc:Fallback>
        <oleObject progId="Equation.DSMT4" shapeId="4124" r:id="rId34"/>
      </mc:Fallback>
    </mc:AlternateContent>
    <mc:AlternateContent xmlns:mc="http://schemas.openxmlformats.org/markup-compatibility/2006">
      <mc:Choice Requires="x14">
        <oleObject progId="Equation.DSMT4" shapeId="4125" r:id="rId35">
          <objectPr defaultSize="0" autoPict="0" r:id="rId9">
            <anchor moveWithCells="1">
              <from>
                <xdr:col>2</xdr:col>
                <xdr:colOff>228600</xdr:colOff>
                <xdr:row>24</xdr:row>
                <xdr:rowOff>0</xdr:rowOff>
              </from>
              <to>
                <xdr:col>2</xdr:col>
                <xdr:colOff>447675</xdr:colOff>
                <xdr:row>24</xdr:row>
                <xdr:rowOff>190500</xdr:rowOff>
              </to>
            </anchor>
          </objectPr>
        </oleObject>
      </mc:Choice>
      <mc:Fallback>
        <oleObject progId="Equation.DSMT4" shapeId="4125" r:id="rId35"/>
      </mc:Fallback>
    </mc:AlternateContent>
    <mc:AlternateContent xmlns:mc="http://schemas.openxmlformats.org/markup-compatibility/2006">
      <mc:Choice Requires="x14">
        <oleObject progId="Equation.DSMT4" shapeId="4126" r:id="rId36">
          <objectPr defaultSize="0" autoPict="0" r:id="rId37">
            <anchor moveWithCells="1">
              <from>
                <xdr:col>16</xdr:col>
                <xdr:colOff>66675</xdr:colOff>
                <xdr:row>22</xdr:row>
                <xdr:rowOff>76200</xdr:rowOff>
              </from>
              <to>
                <xdr:col>16</xdr:col>
                <xdr:colOff>533400</xdr:colOff>
                <xdr:row>25</xdr:row>
                <xdr:rowOff>123825</xdr:rowOff>
              </to>
            </anchor>
          </objectPr>
        </oleObject>
      </mc:Choice>
      <mc:Fallback>
        <oleObject progId="Equation.DSMT4" shapeId="4126" r:id="rId36"/>
      </mc:Fallback>
    </mc:AlternateContent>
    <mc:AlternateContent xmlns:mc="http://schemas.openxmlformats.org/markup-compatibility/2006">
      <mc:Choice Requires="x14">
        <oleObject progId="AutoCAD.Drawing.17" shapeId="4127" r:id="rId38">
          <objectPr defaultSize="0" autoPict="0" r:id="rId39">
            <anchor moveWithCells="1">
              <from>
                <xdr:col>0</xdr:col>
                <xdr:colOff>9525</xdr:colOff>
                <xdr:row>54</xdr:row>
                <xdr:rowOff>28575</xdr:rowOff>
              </from>
              <to>
                <xdr:col>2</xdr:col>
                <xdr:colOff>561975</xdr:colOff>
                <xdr:row>54</xdr:row>
                <xdr:rowOff>190500</xdr:rowOff>
              </to>
            </anchor>
          </objectPr>
        </oleObject>
      </mc:Choice>
      <mc:Fallback>
        <oleObject progId="AutoCAD.Drawing.17" shapeId="4127" r:id="rId38"/>
      </mc:Fallback>
    </mc:AlternateContent>
    <mc:AlternateContent xmlns:mc="http://schemas.openxmlformats.org/markup-compatibility/2006">
      <mc:Choice Requires="x14">
        <oleObject progId="AutoCAD.Drawing.17" shapeId="4128" r:id="rId40">
          <objectPr defaultSize="0" autoPict="0" r:id="rId41">
            <anchor moveWithCells="1">
              <from>
                <xdr:col>0</xdr:col>
                <xdr:colOff>9525</xdr:colOff>
                <xdr:row>55</xdr:row>
                <xdr:rowOff>28575</xdr:rowOff>
              </from>
              <to>
                <xdr:col>2</xdr:col>
                <xdr:colOff>561975</xdr:colOff>
                <xdr:row>55</xdr:row>
                <xdr:rowOff>190500</xdr:rowOff>
              </to>
            </anchor>
          </objectPr>
        </oleObject>
      </mc:Choice>
      <mc:Fallback>
        <oleObject progId="AutoCAD.Drawing.17" shapeId="4128" r:id="rId40"/>
      </mc:Fallback>
    </mc:AlternateContent>
    <mc:AlternateContent xmlns:mc="http://schemas.openxmlformats.org/markup-compatibility/2006">
      <mc:Choice Requires="x14">
        <oleObject progId="AutoCAD.Drawing.17" shapeId="4129" r:id="rId42">
          <objectPr defaultSize="0" autoPict="0" r:id="rId43">
            <anchor moveWithCells="1">
              <from>
                <xdr:col>0</xdr:col>
                <xdr:colOff>28575</xdr:colOff>
                <xdr:row>57</xdr:row>
                <xdr:rowOff>28575</xdr:rowOff>
              </from>
              <to>
                <xdr:col>2</xdr:col>
                <xdr:colOff>581025</xdr:colOff>
                <xdr:row>57</xdr:row>
                <xdr:rowOff>190500</xdr:rowOff>
              </to>
            </anchor>
          </objectPr>
        </oleObject>
      </mc:Choice>
      <mc:Fallback>
        <oleObject progId="AutoCAD.Drawing.17" shapeId="4129" r:id="rId42"/>
      </mc:Fallback>
    </mc:AlternateContent>
    <mc:AlternateContent xmlns:mc="http://schemas.openxmlformats.org/markup-compatibility/2006">
      <mc:Choice Requires="x14">
        <oleObject progId="AutoCAD.Drawing.17" shapeId="4130" r:id="rId44">
          <objectPr defaultSize="0" autoPict="0" r:id="rId45">
            <anchor moveWithCells="1">
              <from>
                <xdr:col>0</xdr:col>
                <xdr:colOff>28575</xdr:colOff>
                <xdr:row>58</xdr:row>
                <xdr:rowOff>28575</xdr:rowOff>
              </from>
              <to>
                <xdr:col>2</xdr:col>
                <xdr:colOff>581025</xdr:colOff>
                <xdr:row>58</xdr:row>
                <xdr:rowOff>190500</xdr:rowOff>
              </to>
            </anchor>
          </objectPr>
        </oleObject>
      </mc:Choice>
      <mc:Fallback>
        <oleObject progId="AutoCAD.Drawing.17" shapeId="4130" r:id="rId44"/>
      </mc:Fallback>
    </mc:AlternateContent>
    <mc:AlternateContent xmlns:mc="http://schemas.openxmlformats.org/markup-compatibility/2006">
      <mc:Choice Requires="x14">
        <oleObject progId="AutoCAD.Drawing.17" shapeId="4131" r:id="rId46">
          <objectPr defaultSize="0" autoPict="0" r:id="rId47">
            <anchor moveWithCells="1">
              <from>
                <xdr:col>0</xdr:col>
                <xdr:colOff>28575</xdr:colOff>
                <xdr:row>59</xdr:row>
                <xdr:rowOff>28575</xdr:rowOff>
              </from>
              <to>
                <xdr:col>2</xdr:col>
                <xdr:colOff>581025</xdr:colOff>
                <xdr:row>59</xdr:row>
                <xdr:rowOff>190500</xdr:rowOff>
              </to>
            </anchor>
          </objectPr>
        </oleObject>
      </mc:Choice>
      <mc:Fallback>
        <oleObject progId="AutoCAD.Drawing.17" shapeId="4131" r:id="rId46"/>
      </mc:Fallback>
    </mc:AlternateContent>
    <mc:AlternateContent xmlns:mc="http://schemas.openxmlformats.org/markup-compatibility/2006">
      <mc:Choice Requires="x14">
        <oleObject progId="AutoCAD.Drawing.17" shapeId="4132" r:id="rId48">
          <objectPr defaultSize="0" autoPict="0" r:id="rId49">
            <anchor moveWithCells="1">
              <from>
                <xdr:col>0</xdr:col>
                <xdr:colOff>28575</xdr:colOff>
                <xdr:row>60</xdr:row>
                <xdr:rowOff>28575</xdr:rowOff>
              </from>
              <to>
                <xdr:col>2</xdr:col>
                <xdr:colOff>581025</xdr:colOff>
                <xdr:row>60</xdr:row>
                <xdr:rowOff>190500</xdr:rowOff>
              </to>
            </anchor>
          </objectPr>
        </oleObject>
      </mc:Choice>
      <mc:Fallback>
        <oleObject progId="AutoCAD.Drawing.17" shapeId="4132" r:id="rId48"/>
      </mc:Fallback>
    </mc:AlternateContent>
    <mc:AlternateContent xmlns:mc="http://schemas.openxmlformats.org/markup-compatibility/2006">
      <mc:Choice Requires="x14">
        <oleObject progId="AutoCAD.Drawing.17" shapeId="4133" r:id="rId50">
          <objectPr defaultSize="0" autoPict="0" r:id="rId51">
            <anchor moveWithCells="1">
              <from>
                <xdr:col>0</xdr:col>
                <xdr:colOff>28575</xdr:colOff>
                <xdr:row>61</xdr:row>
                <xdr:rowOff>28575</xdr:rowOff>
              </from>
              <to>
                <xdr:col>2</xdr:col>
                <xdr:colOff>581025</xdr:colOff>
                <xdr:row>61</xdr:row>
                <xdr:rowOff>190500</xdr:rowOff>
              </to>
            </anchor>
          </objectPr>
        </oleObject>
      </mc:Choice>
      <mc:Fallback>
        <oleObject progId="AutoCAD.Drawing.17" shapeId="4133" r:id="rId50"/>
      </mc:Fallback>
    </mc:AlternateContent>
    <mc:AlternateContent xmlns:mc="http://schemas.openxmlformats.org/markup-compatibility/2006">
      <mc:Choice Requires="x14">
        <oleObject progId="AutoCAD.Drawing.17" shapeId="4134" r:id="rId52">
          <objectPr defaultSize="0" autoPict="0" r:id="rId53">
            <anchor moveWithCells="1">
              <from>
                <xdr:col>0</xdr:col>
                <xdr:colOff>28575</xdr:colOff>
                <xdr:row>63</xdr:row>
                <xdr:rowOff>28575</xdr:rowOff>
              </from>
              <to>
                <xdr:col>2</xdr:col>
                <xdr:colOff>581025</xdr:colOff>
                <xdr:row>63</xdr:row>
                <xdr:rowOff>190500</xdr:rowOff>
              </to>
            </anchor>
          </objectPr>
        </oleObject>
      </mc:Choice>
      <mc:Fallback>
        <oleObject progId="AutoCAD.Drawing.17" shapeId="4134" r:id="rId52"/>
      </mc:Fallback>
    </mc:AlternateContent>
    <mc:AlternateContent xmlns:mc="http://schemas.openxmlformats.org/markup-compatibility/2006">
      <mc:Choice Requires="x14">
        <oleObject progId="AutoCAD.Drawing.17" shapeId="4135" r:id="rId54">
          <objectPr defaultSize="0" autoPict="0" r:id="rId55">
            <anchor moveWithCells="1">
              <from>
                <xdr:col>0</xdr:col>
                <xdr:colOff>28575</xdr:colOff>
                <xdr:row>64</xdr:row>
                <xdr:rowOff>28575</xdr:rowOff>
              </from>
              <to>
                <xdr:col>2</xdr:col>
                <xdr:colOff>581025</xdr:colOff>
                <xdr:row>64</xdr:row>
                <xdr:rowOff>190500</xdr:rowOff>
              </to>
            </anchor>
          </objectPr>
        </oleObject>
      </mc:Choice>
      <mc:Fallback>
        <oleObject progId="AutoCAD.Drawing.17" shapeId="4135" r:id="rId54"/>
      </mc:Fallback>
    </mc:AlternateContent>
    <mc:AlternateContent xmlns:mc="http://schemas.openxmlformats.org/markup-compatibility/2006">
      <mc:Choice Requires="x14">
        <oleObject progId="AutoCAD.Drawing.17" shapeId="4136" r:id="rId56">
          <objectPr defaultSize="0" autoPict="0" r:id="rId57">
            <anchor moveWithCells="1">
              <from>
                <xdr:col>0</xdr:col>
                <xdr:colOff>28575</xdr:colOff>
                <xdr:row>65</xdr:row>
                <xdr:rowOff>28575</xdr:rowOff>
              </from>
              <to>
                <xdr:col>2</xdr:col>
                <xdr:colOff>581025</xdr:colOff>
                <xdr:row>65</xdr:row>
                <xdr:rowOff>190500</xdr:rowOff>
              </to>
            </anchor>
          </objectPr>
        </oleObject>
      </mc:Choice>
      <mc:Fallback>
        <oleObject progId="AutoCAD.Drawing.17" shapeId="4136" r:id="rId56"/>
      </mc:Fallback>
    </mc:AlternateContent>
    <mc:AlternateContent xmlns:mc="http://schemas.openxmlformats.org/markup-compatibility/2006">
      <mc:Choice Requires="x14">
        <oleObject progId="AutoCAD.Drawing.17" shapeId="4137" r:id="rId58">
          <objectPr defaultSize="0" autoPict="0" r:id="rId59">
            <anchor moveWithCells="1">
              <from>
                <xdr:col>0</xdr:col>
                <xdr:colOff>28575</xdr:colOff>
                <xdr:row>66</xdr:row>
                <xdr:rowOff>28575</xdr:rowOff>
              </from>
              <to>
                <xdr:col>2</xdr:col>
                <xdr:colOff>581025</xdr:colOff>
                <xdr:row>66</xdr:row>
                <xdr:rowOff>190500</xdr:rowOff>
              </to>
            </anchor>
          </objectPr>
        </oleObject>
      </mc:Choice>
      <mc:Fallback>
        <oleObject progId="AutoCAD.Drawing.17" shapeId="4137" r:id="rId58"/>
      </mc:Fallback>
    </mc:AlternateContent>
    <mc:AlternateContent xmlns:mc="http://schemas.openxmlformats.org/markup-compatibility/2006">
      <mc:Choice Requires="x14">
        <oleObject progId="AutoCAD.Drawing.17" shapeId="4138" r:id="rId60">
          <objectPr defaultSize="0" autoPict="0" r:id="rId61">
            <anchor moveWithCells="1">
              <from>
                <xdr:col>0</xdr:col>
                <xdr:colOff>28575</xdr:colOff>
                <xdr:row>67</xdr:row>
                <xdr:rowOff>28575</xdr:rowOff>
              </from>
              <to>
                <xdr:col>2</xdr:col>
                <xdr:colOff>581025</xdr:colOff>
                <xdr:row>67</xdr:row>
                <xdr:rowOff>190500</xdr:rowOff>
              </to>
            </anchor>
          </objectPr>
        </oleObject>
      </mc:Choice>
      <mc:Fallback>
        <oleObject progId="AutoCAD.Drawing.17" shapeId="4138" r:id="rId60"/>
      </mc:Fallback>
    </mc:AlternateContent>
    <mc:AlternateContent xmlns:mc="http://schemas.openxmlformats.org/markup-compatibility/2006">
      <mc:Choice Requires="x14">
        <oleObject progId="AutoCAD.Drawing.17" shapeId="4139" r:id="rId62">
          <objectPr defaultSize="0" autoPict="0" r:id="rId63">
            <anchor moveWithCells="1">
              <from>
                <xdr:col>0</xdr:col>
                <xdr:colOff>38100</xdr:colOff>
                <xdr:row>68</xdr:row>
                <xdr:rowOff>28575</xdr:rowOff>
              </from>
              <to>
                <xdr:col>2</xdr:col>
                <xdr:colOff>590550</xdr:colOff>
                <xdr:row>68</xdr:row>
                <xdr:rowOff>190500</xdr:rowOff>
              </to>
            </anchor>
          </objectPr>
        </oleObject>
      </mc:Choice>
      <mc:Fallback>
        <oleObject progId="AutoCAD.Drawing.17" shapeId="4139" r:id="rId62"/>
      </mc:Fallback>
    </mc:AlternateContent>
    <mc:AlternateContent xmlns:mc="http://schemas.openxmlformats.org/markup-compatibility/2006">
      <mc:Choice Requires="x14">
        <oleObject progId="AutoCAD.Drawing.17" shapeId="4140" r:id="rId64">
          <objectPr defaultSize="0" autoPict="0" r:id="rId65">
            <anchor moveWithCells="1">
              <from>
                <xdr:col>0</xdr:col>
                <xdr:colOff>28575</xdr:colOff>
                <xdr:row>69</xdr:row>
                <xdr:rowOff>28575</xdr:rowOff>
              </from>
              <to>
                <xdr:col>2</xdr:col>
                <xdr:colOff>581025</xdr:colOff>
                <xdr:row>69</xdr:row>
                <xdr:rowOff>190500</xdr:rowOff>
              </to>
            </anchor>
          </objectPr>
        </oleObject>
      </mc:Choice>
      <mc:Fallback>
        <oleObject progId="AutoCAD.Drawing.17" shapeId="4140" r:id="rId64"/>
      </mc:Fallback>
    </mc:AlternateContent>
    <mc:AlternateContent xmlns:mc="http://schemas.openxmlformats.org/markup-compatibility/2006">
      <mc:Choice Requires="x14">
        <oleObject progId="AutoCAD.Drawing.17" shapeId="4141" r:id="rId66">
          <objectPr defaultSize="0" autoPict="0" r:id="rId67">
            <anchor moveWithCells="1">
              <from>
                <xdr:col>0</xdr:col>
                <xdr:colOff>28575</xdr:colOff>
                <xdr:row>71</xdr:row>
                <xdr:rowOff>28575</xdr:rowOff>
              </from>
              <to>
                <xdr:col>2</xdr:col>
                <xdr:colOff>581025</xdr:colOff>
                <xdr:row>71</xdr:row>
                <xdr:rowOff>190500</xdr:rowOff>
              </to>
            </anchor>
          </objectPr>
        </oleObject>
      </mc:Choice>
      <mc:Fallback>
        <oleObject progId="AutoCAD.Drawing.17" shapeId="4141" r:id="rId66"/>
      </mc:Fallback>
    </mc:AlternateContent>
    <mc:AlternateContent xmlns:mc="http://schemas.openxmlformats.org/markup-compatibility/2006">
      <mc:Choice Requires="x14">
        <oleObject progId="AutoCAD.Drawing.17" shapeId="4142" r:id="rId68">
          <objectPr defaultSize="0" autoPict="0" r:id="rId69">
            <anchor moveWithCells="1">
              <from>
                <xdr:col>0</xdr:col>
                <xdr:colOff>19050</xdr:colOff>
                <xdr:row>72</xdr:row>
                <xdr:rowOff>19050</xdr:rowOff>
              </from>
              <to>
                <xdr:col>2</xdr:col>
                <xdr:colOff>571500</xdr:colOff>
                <xdr:row>72</xdr:row>
                <xdr:rowOff>190500</xdr:rowOff>
              </to>
            </anchor>
          </objectPr>
        </oleObject>
      </mc:Choice>
      <mc:Fallback>
        <oleObject progId="AutoCAD.Drawing.17" shapeId="4142" r:id="rId68"/>
      </mc:Fallback>
    </mc:AlternateContent>
    <mc:AlternateContent xmlns:mc="http://schemas.openxmlformats.org/markup-compatibility/2006">
      <mc:Choice Requires="x14">
        <oleObject progId="AutoCAD.Drawing.17" shapeId="4143" r:id="rId70">
          <objectPr defaultSize="0" autoPict="0" r:id="rId71">
            <anchor moveWithCells="1">
              <from>
                <xdr:col>0</xdr:col>
                <xdr:colOff>28575</xdr:colOff>
                <xdr:row>73</xdr:row>
                <xdr:rowOff>28575</xdr:rowOff>
              </from>
              <to>
                <xdr:col>2</xdr:col>
                <xdr:colOff>581025</xdr:colOff>
                <xdr:row>73</xdr:row>
                <xdr:rowOff>190500</xdr:rowOff>
              </to>
            </anchor>
          </objectPr>
        </oleObject>
      </mc:Choice>
      <mc:Fallback>
        <oleObject progId="AutoCAD.Drawing.17" shapeId="4143" r:id="rId70"/>
      </mc:Fallback>
    </mc:AlternateContent>
    <mc:AlternateContent xmlns:mc="http://schemas.openxmlformats.org/markup-compatibility/2006">
      <mc:Choice Requires="x14">
        <oleObject progId="AutoCAD.Drawing.17" shapeId="4144" r:id="rId72">
          <objectPr defaultSize="0" autoPict="0" r:id="rId73">
            <anchor moveWithCells="1">
              <from>
                <xdr:col>0</xdr:col>
                <xdr:colOff>28575</xdr:colOff>
                <xdr:row>74</xdr:row>
                <xdr:rowOff>28575</xdr:rowOff>
              </from>
              <to>
                <xdr:col>2</xdr:col>
                <xdr:colOff>581025</xdr:colOff>
                <xdr:row>74</xdr:row>
                <xdr:rowOff>190500</xdr:rowOff>
              </to>
            </anchor>
          </objectPr>
        </oleObject>
      </mc:Choice>
      <mc:Fallback>
        <oleObject progId="AutoCAD.Drawing.17" shapeId="4144" r:id="rId72"/>
      </mc:Fallback>
    </mc:AlternateContent>
    <mc:AlternateContent xmlns:mc="http://schemas.openxmlformats.org/markup-compatibility/2006">
      <mc:Choice Requires="x14">
        <oleObject progId="AutoCAD.Drawing.17" shapeId="4145" r:id="rId74">
          <objectPr defaultSize="0" autoPict="0" r:id="rId75">
            <anchor moveWithCells="1">
              <from>
                <xdr:col>0</xdr:col>
                <xdr:colOff>28575</xdr:colOff>
                <xdr:row>75</xdr:row>
                <xdr:rowOff>28575</xdr:rowOff>
              </from>
              <to>
                <xdr:col>2</xdr:col>
                <xdr:colOff>581025</xdr:colOff>
                <xdr:row>75</xdr:row>
                <xdr:rowOff>190500</xdr:rowOff>
              </to>
            </anchor>
          </objectPr>
        </oleObject>
      </mc:Choice>
      <mc:Fallback>
        <oleObject progId="AutoCAD.Drawing.17" shapeId="4145" r:id="rId74"/>
      </mc:Fallback>
    </mc:AlternateContent>
    <mc:AlternateContent xmlns:mc="http://schemas.openxmlformats.org/markup-compatibility/2006">
      <mc:Choice Requires="x14">
        <oleObject progId="AutoCAD.Drawing.17" shapeId="4146" r:id="rId76">
          <objectPr defaultSize="0" autoPict="0" r:id="rId77">
            <anchor moveWithCells="1">
              <from>
                <xdr:col>0</xdr:col>
                <xdr:colOff>28575</xdr:colOff>
                <xdr:row>76</xdr:row>
                <xdr:rowOff>28575</xdr:rowOff>
              </from>
              <to>
                <xdr:col>2</xdr:col>
                <xdr:colOff>581025</xdr:colOff>
                <xdr:row>76</xdr:row>
                <xdr:rowOff>190500</xdr:rowOff>
              </to>
            </anchor>
          </objectPr>
        </oleObject>
      </mc:Choice>
      <mc:Fallback>
        <oleObject progId="AutoCAD.Drawing.17" shapeId="4146" r:id="rId76"/>
      </mc:Fallback>
    </mc:AlternateContent>
    <mc:AlternateContent xmlns:mc="http://schemas.openxmlformats.org/markup-compatibility/2006">
      <mc:Choice Requires="x14">
        <oleObject progId="AutoCAD.Drawing.17" shapeId="4147" r:id="rId78">
          <objectPr defaultSize="0" autoPict="0" r:id="rId79">
            <anchor moveWithCells="1">
              <from>
                <xdr:col>0</xdr:col>
                <xdr:colOff>28575</xdr:colOff>
                <xdr:row>77</xdr:row>
                <xdr:rowOff>28575</xdr:rowOff>
              </from>
              <to>
                <xdr:col>2</xdr:col>
                <xdr:colOff>581025</xdr:colOff>
                <xdr:row>77</xdr:row>
                <xdr:rowOff>190500</xdr:rowOff>
              </to>
            </anchor>
          </objectPr>
        </oleObject>
      </mc:Choice>
      <mc:Fallback>
        <oleObject progId="AutoCAD.Drawing.17" shapeId="4147" r:id="rId78"/>
      </mc:Fallback>
    </mc:AlternateContent>
    <mc:AlternateContent xmlns:mc="http://schemas.openxmlformats.org/markup-compatibility/2006">
      <mc:Choice Requires="x14">
        <oleObject progId="Equation.DSMT4" shapeId="4148" r:id="rId80">
          <objectPr defaultSize="0" autoPict="0" r:id="rId81">
            <anchor moveWithCells="1" sizeWithCells="1">
              <from>
                <xdr:col>0</xdr:col>
                <xdr:colOff>114300</xdr:colOff>
                <xdr:row>17</xdr:row>
                <xdr:rowOff>0</xdr:rowOff>
              </from>
              <to>
                <xdr:col>0</xdr:col>
                <xdr:colOff>485775</xdr:colOff>
                <xdr:row>18</xdr:row>
                <xdr:rowOff>9525</xdr:rowOff>
              </to>
            </anchor>
          </objectPr>
        </oleObject>
      </mc:Choice>
      <mc:Fallback>
        <oleObject progId="Equation.DSMT4" shapeId="4148" r:id="rId8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1. Sàn</vt:lpstr>
      <vt:lpstr>2. D.phụ</vt:lpstr>
      <vt:lpstr>3.1. D.chính 4 nhịp</vt:lpstr>
      <vt:lpstr>CĐ Thep-BT</vt:lpstr>
      <vt:lpstr>Bang Tra</vt:lpstr>
      <vt:lpstr>'1. Sàn'!Print_Area</vt:lpstr>
      <vt:lpstr>'2. D.phụ'!Print_Area</vt:lpstr>
      <vt:lpstr>'3.1. D.chính 4 nhịp'!Print_Area</vt:lpstr>
      <vt:lpstr>'CĐ Thep-BT'!Print_Area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2017-05-31T04:18:40Z</dcterms:modified>
</cp:coreProperties>
</file>