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VTN\Excel\"/>
    </mc:Choice>
  </mc:AlternateContent>
  <xr:revisionPtr revIDLastSave="0" documentId="13_ncr:1_{EC581955-B4EE-4E70-938C-A233C442DBCE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DaTa" sheetId="1" r:id="rId1"/>
    <sheet name="TinhNhanhChiuCat" sheetId="4" r:id="rId2"/>
    <sheet name="TinhToan" sheetId="2" r:id="rId3"/>
  </sheets>
  <definedNames>
    <definedName name="_xlnm.Print_Area" localSheetId="2">TinhToan!$A$1:$T$67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3" i="2" l="1"/>
  <c r="H32" i="2"/>
  <c r="I32" i="2" s="1"/>
  <c r="G32" i="2"/>
  <c r="M29" i="2"/>
  <c r="H28" i="2"/>
  <c r="J28" i="2" s="1"/>
  <c r="G28" i="2"/>
  <c r="G20" i="2"/>
  <c r="K28" i="2" l="1"/>
  <c r="T28" i="2" s="1"/>
  <c r="M31" i="2"/>
  <c r="S29" i="2" s="1"/>
  <c r="S31" i="2" s="1"/>
  <c r="J32" i="2"/>
  <c r="I28" i="2"/>
  <c r="J15" i="1"/>
  <c r="J12" i="1"/>
  <c r="J11" i="1"/>
  <c r="J10" i="1"/>
  <c r="J9" i="1"/>
  <c r="J8" i="1"/>
  <c r="J7" i="1"/>
  <c r="M35" i="2" l="1"/>
  <c r="S33" i="2" s="1"/>
  <c r="S35" i="2" s="1"/>
  <c r="K32" i="2"/>
  <c r="T32" i="2" s="1"/>
  <c r="A1" i="2"/>
  <c r="T16" i="2"/>
  <c r="A11" i="2"/>
  <c r="A7" i="2"/>
  <c r="J17" i="2"/>
  <c r="M45" i="2" l="1"/>
  <c r="G44" i="2"/>
  <c r="M41" i="2"/>
  <c r="G40" i="2"/>
  <c r="V44" i="2" l="1"/>
  <c r="V40" i="2"/>
  <c r="V28" i="2"/>
  <c r="T3" i="2"/>
  <c r="F13" i="4" l="1"/>
  <c r="F14" i="4" s="1"/>
  <c r="F8" i="4"/>
  <c r="F17" i="4" s="1"/>
  <c r="B4" i="4"/>
  <c r="J26" i="1"/>
  <c r="J25" i="1"/>
  <c r="J24" i="1"/>
  <c r="F4" i="4" s="1"/>
  <c r="J23" i="1"/>
  <c r="J22" i="1"/>
  <c r="B2" i="4"/>
  <c r="M65" i="2" l="1"/>
  <c r="G64" i="2"/>
  <c r="M61" i="2"/>
  <c r="G60" i="2"/>
  <c r="M57" i="2"/>
  <c r="G56" i="2"/>
  <c r="M53" i="2"/>
  <c r="G52" i="2"/>
  <c r="M49" i="2"/>
  <c r="G48" i="2"/>
  <c r="M37" i="2"/>
  <c r="G36" i="2"/>
  <c r="D10" i="2"/>
  <c r="F3" i="4"/>
  <c r="F2" i="4"/>
  <c r="F11" i="4" s="1"/>
  <c r="M25" i="2"/>
  <c r="G24" i="2"/>
  <c r="V64" i="2" l="1"/>
  <c r="V60" i="2"/>
  <c r="V56" i="2"/>
  <c r="V52" i="2"/>
  <c r="V48" i="2"/>
  <c r="V36" i="2"/>
  <c r="V32" i="2"/>
  <c r="V24" i="2"/>
  <c r="F16" i="4"/>
  <c r="F10" i="4"/>
  <c r="B12" i="4" s="1"/>
  <c r="F15" i="4"/>
  <c r="J16" i="2"/>
  <c r="L17" i="2"/>
  <c r="M21" i="2"/>
  <c r="H16" i="2"/>
  <c r="C16" i="2"/>
  <c r="E16" i="2"/>
  <c r="D16" i="2"/>
  <c r="B16" i="2"/>
  <c r="A16" i="2"/>
  <c r="F19" i="4" l="1"/>
  <c r="V20" i="2"/>
  <c r="A6" i="2"/>
  <c r="A5" i="2"/>
  <c r="A4" i="2"/>
  <c r="A3" i="2"/>
  <c r="G8" i="2"/>
  <c r="A8" i="2"/>
  <c r="B11" i="2"/>
  <c r="B8" i="2"/>
  <c r="J19" i="1"/>
  <c r="D13" i="2" s="1"/>
  <c r="J18" i="1"/>
  <c r="J17" i="1"/>
  <c r="J16" i="1"/>
  <c r="D12" i="2" s="1"/>
  <c r="D11" i="2"/>
  <c r="D14" i="2" s="1"/>
  <c r="D9" i="2"/>
  <c r="D8" i="2"/>
  <c r="H24" i="2" l="1"/>
  <c r="I24" i="2" s="1"/>
  <c r="H56" i="2"/>
  <c r="I56" i="2" s="1"/>
  <c r="H40" i="2"/>
  <c r="I40" i="2" s="1"/>
  <c r="H60" i="2"/>
  <c r="I60" i="2" s="1"/>
  <c r="H64" i="2"/>
  <c r="I64" i="2" s="1"/>
  <c r="H36" i="2"/>
  <c r="I36" i="2" s="1"/>
  <c r="H20" i="2"/>
  <c r="I20" i="2" s="1"/>
  <c r="H44" i="2"/>
  <c r="I44" i="2" s="1"/>
  <c r="H48" i="2"/>
  <c r="I48" i="2" s="1"/>
  <c r="H52" i="2"/>
  <c r="I52" i="2" s="1"/>
  <c r="I12" i="2"/>
  <c r="M8" i="2" l="1"/>
  <c r="M9" i="2" s="1"/>
  <c r="J44" i="2" l="1"/>
  <c r="K44" i="2" s="1"/>
  <c r="J40" i="2"/>
  <c r="K40" i="2" s="1"/>
  <c r="J64" i="2"/>
  <c r="J56" i="2"/>
  <c r="K56" i="2" s="1"/>
  <c r="J60" i="2"/>
  <c r="J52" i="2"/>
  <c r="K52" i="2" s="1"/>
  <c r="J48" i="2"/>
  <c r="K48" i="2" s="1"/>
  <c r="J36" i="2"/>
  <c r="K36" i="2" s="1"/>
  <c r="J24" i="2"/>
  <c r="J20" i="2"/>
  <c r="M23" i="2" l="1"/>
  <c r="K20" i="2"/>
  <c r="M27" i="2"/>
  <c r="M43" i="2"/>
  <c r="S41" i="2" s="1"/>
  <c r="M47" i="2"/>
  <c r="S45" i="2" s="1"/>
  <c r="M63" i="2"/>
  <c r="S61" i="2" s="1"/>
  <c r="M59" i="2"/>
  <c r="S57" i="2" s="1"/>
  <c r="M67" i="2"/>
  <c r="S65" i="2" s="1"/>
  <c r="M39" i="2"/>
  <c r="S37" i="2" s="1"/>
  <c r="M51" i="2"/>
  <c r="S49" i="2" s="1"/>
  <c r="M55" i="2"/>
  <c r="S53" i="2" s="1"/>
  <c r="S21" i="2" l="1"/>
  <c r="U21" i="2" s="1"/>
  <c r="S23" i="2" s="1"/>
  <c r="T20" i="2" s="1"/>
  <c r="S25" i="2"/>
  <c r="U25" i="2" s="1"/>
  <c r="S27" i="2" s="1"/>
  <c r="K24" i="2" s="1"/>
  <c r="U30" i="2"/>
  <c r="U29" i="2"/>
  <c r="U46" i="2"/>
  <c r="T44" i="2"/>
  <c r="U45" i="2"/>
  <c r="S47" i="2"/>
  <c r="S43" i="2"/>
  <c r="U41" i="2"/>
  <c r="T40" i="2"/>
  <c r="U42" i="2"/>
  <c r="S59" i="2"/>
  <c r="U57" i="2"/>
  <c r="T56" i="2"/>
  <c r="U58" i="2"/>
  <c r="U65" i="2"/>
  <c r="S67" i="2"/>
  <c r="K64" i="2" s="1"/>
  <c r="U66" i="2" s="1"/>
  <c r="S63" i="2"/>
  <c r="K60" i="2" s="1"/>
  <c r="T60" i="2" s="1"/>
  <c r="U61" i="2"/>
  <c r="T48" i="2"/>
  <c r="U50" i="2"/>
  <c r="T52" i="2"/>
  <c r="U54" i="2"/>
  <c r="T36" i="2"/>
  <c r="U38" i="2"/>
  <c r="S55" i="2"/>
  <c r="U53" i="2"/>
  <c r="S51" i="2"/>
  <c r="U49" i="2"/>
  <c r="U33" i="2"/>
  <c r="U37" i="2"/>
  <c r="S39" i="2"/>
  <c r="U34" i="2" l="1"/>
  <c r="U22" i="2"/>
  <c r="T64" i="2"/>
  <c r="U62" i="2"/>
  <c r="T24" i="2"/>
  <c r="U2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APC</author>
    <author>Windows User</author>
  </authors>
  <commentList>
    <comment ref="H9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MinTu:</t>
        </r>
        <r>
          <rPr>
            <sz val="9"/>
            <color indexed="81"/>
            <rFont val="Tahoma"/>
            <family val="2"/>
          </rPr>
          <t xml:space="preserve">
-BT nặng : 0.85
-BT hạt nhỏ, nhóm A : 0.8
                nhóm B,C : 0.75
-BT nhẹ, tổ ong, rỗng : 0.8</t>
        </r>
      </text>
    </comment>
    <comment ref="I11" authorId="1" shapeId="0" xr:uid="{00000000-0006-0000-0200-00000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- 5000: tải thường xuyên, tải tạm thời dài hạn và ngắn hạn
- 4000: tải tác dụng ngắn hạn và tải trọng đặc biệt</t>
        </r>
      </text>
    </comment>
  </commentList>
</comments>
</file>

<file path=xl/sharedStrings.xml><?xml version="1.0" encoding="utf-8"?>
<sst xmlns="http://schemas.openxmlformats.org/spreadsheetml/2006/main" count="301" uniqueCount="169">
  <si>
    <t>CONCRETE</t>
  </si>
  <si>
    <t>NAME</t>
  </si>
  <si>
    <r>
      <t>(daN/cm</t>
    </r>
    <r>
      <rPr>
        <i/>
        <vertAlign val="superscript"/>
        <sz val="10"/>
        <color theme="1"/>
        <rFont val="Arial"/>
        <family val="2"/>
      </rPr>
      <t>2</t>
    </r>
    <r>
      <rPr>
        <i/>
        <sz val="10"/>
        <color theme="1"/>
        <rFont val="Arial"/>
        <family val="2"/>
      </rPr>
      <t>)</t>
    </r>
  </si>
  <si>
    <t>Concrete</t>
  </si>
  <si>
    <r>
      <t>R</t>
    </r>
    <r>
      <rPr>
        <b/>
        <vertAlign val="subscript"/>
        <sz val="10"/>
        <color theme="1"/>
        <rFont val="Arial"/>
        <family val="2"/>
      </rPr>
      <t>b</t>
    </r>
    <r>
      <rPr>
        <b/>
        <sz val="10"/>
        <color theme="1"/>
        <rFont val="Arial"/>
        <family val="2"/>
      </rPr>
      <t xml:space="preserve"> = </t>
    </r>
  </si>
  <si>
    <t>B5</t>
  </si>
  <si>
    <r>
      <t>R</t>
    </r>
    <r>
      <rPr>
        <b/>
        <vertAlign val="subscript"/>
        <sz val="10"/>
        <color theme="1"/>
        <rFont val="Arial"/>
        <family val="2"/>
      </rPr>
      <t>bt</t>
    </r>
    <r>
      <rPr>
        <b/>
        <sz val="10"/>
        <color theme="1"/>
        <rFont val="Arial"/>
        <family val="2"/>
      </rPr>
      <t xml:space="preserve"> = </t>
    </r>
  </si>
  <si>
    <r>
      <t>R</t>
    </r>
    <r>
      <rPr>
        <b/>
        <vertAlign val="subscript"/>
        <sz val="10"/>
        <color theme="1"/>
        <rFont val="Arial"/>
        <family val="2"/>
      </rPr>
      <t>b,ser</t>
    </r>
    <r>
      <rPr>
        <b/>
        <sz val="10"/>
        <color theme="1"/>
        <rFont val="Arial"/>
        <family val="2"/>
      </rPr>
      <t xml:space="preserve"> = </t>
    </r>
  </si>
  <si>
    <t>B10</t>
  </si>
  <si>
    <r>
      <t>R</t>
    </r>
    <r>
      <rPr>
        <b/>
        <vertAlign val="subscript"/>
        <sz val="10"/>
        <color theme="1"/>
        <rFont val="Arial"/>
        <family val="2"/>
      </rPr>
      <t>bt,ser</t>
    </r>
    <r>
      <rPr>
        <b/>
        <sz val="10"/>
        <color theme="1"/>
        <rFont val="Arial"/>
        <family val="2"/>
      </rPr>
      <t xml:space="preserve"> = </t>
    </r>
  </si>
  <si>
    <r>
      <t>E</t>
    </r>
    <r>
      <rPr>
        <b/>
        <vertAlign val="subscript"/>
        <sz val="10"/>
        <color theme="1"/>
        <rFont val="Arial"/>
        <family val="2"/>
      </rPr>
      <t>b</t>
    </r>
    <r>
      <rPr>
        <b/>
        <sz val="10"/>
        <color theme="1"/>
        <rFont val="Arial"/>
        <family val="2"/>
      </rPr>
      <t xml:space="preserve"> = </t>
    </r>
  </si>
  <si>
    <t>B15</t>
  </si>
  <si>
    <t>B20</t>
  </si>
  <si>
    <t>Steel</t>
  </si>
  <si>
    <r>
      <t>R</t>
    </r>
    <r>
      <rPr>
        <b/>
        <vertAlign val="subscript"/>
        <sz val="10"/>
        <color theme="1"/>
        <rFont val="Arial"/>
        <family val="2"/>
      </rPr>
      <t>s</t>
    </r>
    <r>
      <rPr>
        <b/>
        <sz val="10"/>
        <color theme="1"/>
        <rFont val="Arial"/>
        <family val="2"/>
      </rPr>
      <t xml:space="preserve"> = </t>
    </r>
  </si>
  <si>
    <t>B25</t>
  </si>
  <si>
    <r>
      <t>R</t>
    </r>
    <r>
      <rPr>
        <b/>
        <vertAlign val="subscript"/>
        <sz val="10"/>
        <color theme="1"/>
        <rFont val="Arial"/>
        <family val="2"/>
      </rPr>
      <t>sc</t>
    </r>
    <r>
      <rPr>
        <b/>
        <sz val="10"/>
        <color theme="1"/>
        <rFont val="Arial"/>
        <family val="2"/>
      </rPr>
      <t xml:space="preserve"> = </t>
    </r>
  </si>
  <si>
    <t>B30</t>
  </si>
  <si>
    <r>
      <t>R</t>
    </r>
    <r>
      <rPr>
        <b/>
        <vertAlign val="subscript"/>
        <sz val="10"/>
        <color theme="1"/>
        <rFont val="Arial"/>
        <family val="2"/>
      </rPr>
      <t>sw</t>
    </r>
    <r>
      <rPr>
        <b/>
        <sz val="10"/>
        <color theme="1"/>
        <rFont val="Arial"/>
        <family val="2"/>
      </rPr>
      <t xml:space="preserve"> = </t>
    </r>
  </si>
  <si>
    <t>B35</t>
  </si>
  <si>
    <r>
      <t>R</t>
    </r>
    <r>
      <rPr>
        <b/>
        <vertAlign val="subscript"/>
        <sz val="10"/>
        <color theme="1"/>
        <rFont val="Arial"/>
        <family val="2"/>
      </rPr>
      <t>s,ser</t>
    </r>
    <r>
      <rPr>
        <b/>
        <sz val="10"/>
        <color theme="1"/>
        <rFont val="Arial"/>
        <family val="2"/>
      </rPr>
      <t xml:space="preserve"> = </t>
    </r>
  </si>
  <si>
    <t>B40</t>
  </si>
  <si>
    <r>
      <t>E</t>
    </r>
    <r>
      <rPr>
        <b/>
        <vertAlign val="subscript"/>
        <sz val="10"/>
        <color theme="1"/>
        <rFont val="Arial"/>
        <family val="2"/>
      </rPr>
      <t>s</t>
    </r>
    <r>
      <rPr>
        <b/>
        <sz val="10"/>
        <color theme="1"/>
        <rFont val="Arial"/>
        <family val="2"/>
      </rPr>
      <t xml:space="preserve"> = </t>
    </r>
  </si>
  <si>
    <t>B45</t>
  </si>
  <si>
    <t>B50</t>
  </si>
  <si>
    <t>B55</t>
  </si>
  <si>
    <t>B60</t>
  </si>
  <si>
    <t>M50</t>
  </si>
  <si>
    <t>M75</t>
  </si>
  <si>
    <t>M100</t>
  </si>
  <si>
    <t>M125</t>
  </si>
  <si>
    <t>M150</t>
  </si>
  <si>
    <t>M200</t>
  </si>
  <si>
    <t>M250</t>
  </si>
  <si>
    <t>M300</t>
  </si>
  <si>
    <t>M350</t>
  </si>
  <si>
    <t>M400</t>
  </si>
  <si>
    <t>M450</t>
  </si>
  <si>
    <t>M500</t>
  </si>
  <si>
    <t>M600</t>
  </si>
  <si>
    <t>M650</t>
  </si>
  <si>
    <t>M700</t>
  </si>
  <si>
    <t>M800</t>
  </si>
  <si>
    <t>STEEL</t>
  </si>
  <si>
    <t>AI</t>
  </si>
  <si>
    <t>AII</t>
  </si>
  <si>
    <t>AIV</t>
  </si>
  <si>
    <t>AV</t>
  </si>
  <si>
    <t>AVI</t>
  </si>
  <si>
    <t>CB300V</t>
  </si>
  <si>
    <t>CB400V</t>
  </si>
  <si>
    <t>CB500V</t>
  </si>
  <si>
    <t>AT-VII</t>
  </si>
  <si>
    <t>A-IIIB</t>
  </si>
  <si>
    <t>CI</t>
  </si>
  <si>
    <t>CII</t>
  </si>
  <si>
    <t>CIV</t>
  </si>
  <si>
    <t>AIII (ϕ10-ϕ40)</t>
  </si>
  <si>
    <t>B3,5</t>
  </si>
  <si>
    <t>B22,5</t>
  </si>
  <si>
    <t>B7,5</t>
  </si>
  <si>
    <t>B12,5</t>
  </si>
  <si>
    <t>Ngày:</t>
  </si>
  <si>
    <t>Ngôn ngữ:</t>
  </si>
  <si>
    <t>Việt Nam</t>
  </si>
  <si>
    <t>TCVN 5574-2012</t>
  </si>
  <si>
    <t>M</t>
  </si>
  <si>
    <t>b</t>
  </si>
  <si>
    <t>h</t>
  </si>
  <si>
    <t>a</t>
  </si>
  <si>
    <t>ζ</t>
  </si>
  <si>
    <r>
      <t>(cm</t>
    </r>
    <r>
      <rPr>
        <i/>
        <vertAlign val="superscript"/>
        <sz val="10"/>
        <color theme="1"/>
        <rFont val="Arial"/>
        <family val="2"/>
      </rPr>
      <t>2</t>
    </r>
    <r>
      <rPr>
        <i/>
        <sz val="10"/>
        <color theme="1"/>
        <rFont val="Arial"/>
        <family val="2"/>
      </rPr>
      <t>)</t>
    </r>
  </si>
  <si>
    <r>
      <t>E</t>
    </r>
    <r>
      <rPr>
        <vertAlign val="subscript"/>
        <sz val="10"/>
        <color theme="1"/>
        <rFont val="Arial"/>
        <family val="2"/>
      </rPr>
      <t>b</t>
    </r>
    <r>
      <rPr>
        <sz val="10"/>
        <color theme="1"/>
        <rFont val="Arial"/>
        <family val="2"/>
      </rPr>
      <t xml:space="preserve"> = </t>
    </r>
  </si>
  <si>
    <r>
      <t>E</t>
    </r>
    <r>
      <rPr>
        <vertAlign val="subscript"/>
        <sz val="10"/>
        <color theme="1"/>
        <rFont val="Arial"/>
        <family val="2"/>
      </rPr>
      <t>s</t>
    </r>
    <r>
      <rPr>
        <sz val="10"/>
        <color theme="1"/>
        <rFont val="Arial"/>
        <family val="2"/>
      </rPr>
      <t xml:space="preserve"> = </t>
    </r>
  </si>
  <si>
    <r>
      <rPr>
        <sz val="12"/>
        <color theme="1"/>
        <rFont val="Times New Roman"/>
        <family val="1"/>
      </rPr>
      <t>ω</t>
    </r>
    <r>
      <rPr>
        <sz val="10"/>
        <color theme="1"/>
        <rFont val="Arial"/>
        <family val="2"/>
      </rPr>
      <t xml:space="preserve"> = </t>
    </r>
  </si>
  <si>
    <r>
      <rPr>
        <sz val="12"/>
        <color theme="1"/>
        <rFont val="Times New Roman"/>
        <family val="1"/>
      </rPr>
      <t>α</t>
    </r>
    <r>
      <rPr>
        <sz val="10"/>
        <color theme="1"/>
        <rFont val="Arial"/>
        <family val="2"/>
      </rPr>
      <t xml:space="preserve"> = </t>
    </r>
  </si>
  <si>
    <r>
      <rPr>
        <sz val="12"/>
        <color theme="1"/>
        <rFont val="Times New Roman"/>
        <family val="1"/>
      </rPr>
      <t>γ</t>
    </r>
    <r>
      <rPr>
        <vertAlign val="subscript"/>
        <sz val="10"/>
        <color theme="1"/>
        <rFont val="Arial"/>
        <family val="2"/>
      </rPr>
      <t>b2</t>
    </r>
    <r>
      <rPr>
        <sz val="10"/>
        <color theme="1"/>
        <rFont val="Arial"/>
        <family val="2"/>
      </rPr>
      <t xml:space="preserve"> = </t>
    </r>
  </si>
  <si>
    <r>
      <rPr>
        <sz val="12"/>
        <color theme="1"/>
        <rFont val="Times New Roman"/>
        <family val="1"/>
      </rPr>
      <t>σ</t>
    </r>
    <r>
      <rPr>
        <vertAlign val="subscript"/>
        <sz val="10"/>
        <color theme="1"/>
        <rFont val="Arial"/>
        <family val="2"/>
      </rPr>
      <t>sc,u</t>
    </r>
    <r>
      <rPr>
        <sz val="10"/>
        <color theme="1"/>
        <rFont val="Arial"/>
        <family val="2"/>
      </rPr>
      <t xml:space="preserve"> = </t>
    </r>
  </si>
  <si>
    <r>
      <rPr>
        <sz val="12"/>
        <color theme="1"/>
        <rFont val="Times New Roman"/>
        <family val="1"/>
      </rPr>
      <t>ξ</t>
    </r>
    <r>
      <rPr>
        <vertAlign val="subscript"/>
        <sz val="10"/>
        <color theme="1"/>
        <rFont val="Arial"/>
        <family val="2"/>
      </rPr>
      <t>R</t>
    </r>
    <r>
      <rPr>
        <sz val="10"/>
        <color theme="1"/>
        <rFont val="Arial"/>
        <family val="2"/>
      </rPr>
      <t xml:space="preserve"> = </t>
    </r>
  </si>
  <si>
    <r>
      <rPr>
        <sz val="12"/>
        <color theme="1"/>
        <rFont val="Times New Roman"/>
        <family val="1"/>
      </rPr>
      <t>α</t>
    </r>
    <r>
      <rPr>
        <vertAlign val="subscript"/>
        <sz val="10"/>
        <color theme="1"/>
        <rFont val="Arial"/>
        <family val="2"/>
      </rPr>
      <t>R</t>
    </r>
    <r>
      <rPr>
        <sz val="10"/>
        <color theme="1"/>
        <rFont val="Arial"/>
        <family val="2"/>
      </rPr>
      <t xml:space="preserve"> = </t>
    </r>
  </si>
  <si>
    <t>3. Tính toán</t>
  </si>
  <si>
    <t>(cm)</t>
  </si>
  <si>
    <t>English</t>
  </si>
  <si>
    <r>
      <rPr>
        <b/>
        <sz val="12"/>
        <color theme="1"/>
        <rFont val="Times New Roman"/>
        <family val="1"/>
      </rPr>
      <t>α</t>
    </r>
    <r>
      <rPr>
        <b/>
        <vertAlign val="subscript"/>
        <sz val="10"/>
        <color theme="1"/>
        <rFont val="Arial"/>
        <family val="2"/>
      </rPr>
      <t>m</t>
    </r>
  </si>
  <si>
    <r>
      <t>A</t>
    </r>
    <r>
      <rPr>
        <b/>
        <vertAlign val="subscript"/>
        <sz val="11"/>
        <color theme="1"/>
        <rFont val="Arial"/>
        <family val="2"/>
      </rPr>
      <t>s,tt</t>
    </r>
  </si>
  <si>
    <r>
      <t>h</t>
    </r>
    <r>
      <rPr>
        <b/>
        <vertAlign val="subscript"/>
        <sz val="10"/>
        <color theme="1"/>
        <rFont val="Arial"/>
        <family val="2"/>
      </rPr>
      <t>o</t>
    </r>
  </si>
  <si>
    <r>
      <t xml:space="preserve">        R</t>
    </r>
    <r>
      <rPr>
        <vertAlign val="subscript"/>
        <sz val="10"/>
        <color theme="1"/>
        <rFont val="Arial"/>
        <family val="2"/>
      </rPr>
      <t>b</t>
    </r>
    <r>
      <rPr>
        <sz val="10"/>
        <color theme="1"/>
        <rFont val="Arial"/>
        <family val="2"/>
      </rPr>
      <t xml:space="preserve"> = </t>
    </r>
  </si>
  <si>
    <r>
      <t xml:space="preserve">        R</t>
    </r>
    <r>
      <rPr>
        <vertAlign val="subscript"/>
        <sz val="10"/>
        <color theme="1"/>
        <rFont val="Arial"/>
        <family val="2"/>
      </rPr>
      <t>s</t>
    </r>
    <r>
      <rPr>
        <sz val="10"/>
        <color theme="1"/>
        <rFont val="Arial"/>
        <family val="2"/>
      </rPr>
      <t xml:space="preserve"> = </t>
    </r>
  </si>
  <si>
    <r>
      <t>A</t>
    </r>
    <r>
      <rPr>
        <b/>
        <vertAlign val="subscript"/>
        <sz val="10"/>
        <color theme="1"/>
        <rFont val="Arial"/>
        <family val="2"/>
      </rPr>
      <t>s</t>
    </r>
  </si>
  <si>
    <r>
      <t>A</t>
    </r>
    <r>
      <rPr>
        <b/>
        <vertAlign val="subscript"/>
        <sz val="10"/>
        <color theme="1"/>
        <rFont val="Arial"/>
        <family val="2"/>
      </rPr>
      <t>sc</t>
    </r>
  </si>
  <si>
    <r>
      <t>A</t>
    </r>
    <r>
      <rPr>
        <b/>
        <vertAlign val="subscript"/>
        <sz val="11"/>
        <color theme="1"/>
        <rFont val="Arial"/>
        <family val="2"/>
      </rPr>
      <t>tk</t>
    </r>
  </si>
  <si>
    <r>
      <rPr>
        <b/>
        <sz val="12"/>
        <color theme="1"/>
        <rFont val="Times New Roman"/>
        <family val="1"/>
      </rPr>
      <t>α</t>
    </r>
    <r>
      <rPr>
        <b/>
        <vertAlign val="subscript"/>
        <sz val="10"/>
        <color theme="1"/>
        <rFont val="Arial"/>
        <family val="2"/>
      </rPr>
      <t>m,tính lại</t>
    </r>
  </si>
  <si>
    <t>a'</t>
  </si>
  <si>
    <r>
      <t>ζ</t>
    </r>
    <r>
      <rPr>
        <b/>
        <vertAlign val="subscript"/>
        <sz val="12"/>
        <rFont val="Times New Roman"/>
        <family val="1"/>
      </rPr>
      <t>tính lại</t>
    </r>
  </si>
  <si>
    <r>
      <t xml:space="preserve">        R</t>
    </r>
    <r>
      <rPr>
        <vertAlign val="subscript"/>
        <sz val="10"/>
        <color theme="1"/>
        <rFont val="Arial"/>
        <family val="2"/>
      </rPr>
      <t>sc</t>
    </r>
    <r>
      <rPr>
        <sz val="10"/>
        <color theme="1"/>
        <rFont val="Arial"/>
        <family val="2"/>
      </rPr>
      <t xml:space="preserve"> = </t>
    </r>
  </si>
  <si>
    <t>-</t>
  </si>
  <si>
    <r>
      <t>f</t>
    </r>
    <r>
      <rPr>
        <vertAlign val="subscript"/>
        <sz val="10"/>
        <color theme="1"/>
        <rFont val="Arial"/>
        <family val="2"/>
      </rPr>
      <t>ctm</t>
    </r>
    <r>
      <rPr>
        <sz val="10"/>
        <color theme="1"/>
        <rFont val="Arial"/>
        <family val="2"/>
      </rPr>
      <t xml:space="preserve"> = </t>
    </r>
  </si>
  <si>
    <t>(Mpa)</t>
  </si>
  <si>
    <t>ξ</t>
  </si>
  <si>
    <r>
      <t>f</t>
    </r>
    <r>
      <rPr>
        <vertAlign val="subscript"/>
        <sz val="10"/>
        <color theme="1"/>
        <rFont val="Arial"/>
        <family val="2"/>
      </rPr>
      <t>yd</t>
    </r>
    <r>
      <rPr>
        <sz val="10"/>
        <color theme="1"/>
        <rFont val="Arial"/>
        <family val="2"/>
      </rPr>
      <t xml:space="preserve"> = </t>
    </r>
  </si>
  <si>
    <t>Bê tông</t>
  </si>
  <si>
    <t>Cốt thép</t>
  </si>
  <si>
    <t>Thép dọc</t>
  </si>
  <si>
    <t>Thép đai</t>
  </si>
  <si>
    <r>
      <t>(daN/cm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</si>
  <si>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 xml:space="preserve"> = 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</si>
  <si>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bt</t>
    </r>
    <r>
      <rPr>
        <b/>
        <sz val="11"/>
        <color theme="1"/>
        <rFont val="Calibri"/>
        <family val="2"/>
        <scheme val="minor"/>
      </rPr>
      <t xml:space="preserve"> = 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</si>
  <si>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sw</t>
    </r>
    <r>
      <rPr>
        <b/>
        <sz val="11"/>
        <color theme="1"/>
        <rFont val="Calibri"/>
        <family val="2"/>
        <scheme val="minor"/>
      </rPr>
      <t xml:space="preserve"> = </t>
    </r>
  </si>
  <si>
    <t>Nội lực</t>
  </si>
  <si>
    <t xml:space="preserve">Q = </t>
  </si>
  <si>
    <t>Khả năng chịu cắt của bê tông</t>
  </si>
  <si>
    <t>Tiết diện</t>
  </si>
  <si>
    <t xml:space="preserve">b = </t>
  </si>
  <si>
    <t xml:space="preserve">h = </t>
  </si>
  <si>
    <t xml:space="preserve">a = </t>
  </si>
  <si>
    <r>
      <t>Q</t>
    </r>
    <r>
      <rPr>
        <b/>
        <vertAlign val="subscript"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 xml:space="preserve"> = 0,6.R</t>
    </r>
    <r>
      <rPr>
        <b/>
        <vertAlign val="subscript"/>
        <sz val="11"/>
        <color theme="1"/>
        <rFont val="Calibri"/>
        <family val="2"/>
        <scheme val="minor"/>
      </rPr>
      <t>bt</t>
    </r>
    <r>
      <rPr>
        <b/>
        <sz val="11"/>
        <color theme="1"/>
        <rFont val="Calibri"/>
        <family val="2"/>
        <scheme val="minor"/>
      </rPr>
      <t>.b.h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 xml:space="preserve"> =</t>
    </r>
  </si>
  <si>
    <t>Khả năng chịu ứng suất nén chính</t>
  </si>
  <si>
    <r>
      <t>Q</t>
    </r>
    <r>
      <rPr>
        <b/>
        <vertAlign val="subscript"/>
        <sz val="11"/>
        <color theme="1"/>
        <rFont val="Calibri"/>
        <family val="2"/>
        <scheme val="minor"/>
      </rPr>
      <t>max</t>
    </r>
    <r>
      <rPr>
        <b/>
        <sz val="11"/>
        <color theme="1"/>
        <rFont val="Calibri"/>
        <family val="2"/>
        <scheme val="minor"/>
      </rPr>
      <t xml:space="preserve"> = 0,3.R</t>
    </r>
    <r>
      <rPr>
        <b/>
        <vertAlign val="subscript"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>.b.h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 xml:space="preserve"> = </t>
    </r>
  </si>
  <si>
    <t xml:space="preserve">Kết luận: </t>
  </si>
  <si>
    <t>Đường kính cốt đai</t>
  </si>
  <si>
    <t>Số nhánh cốt đai</t>
  </si>
  <si>
    <t>nhánh</t>
  </si>
  <si>
    <r>
      <t>(cm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</si>
  <si>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>=&gt;       a</t>
    </r>
    <r>
      <rPr>
        <b/>
        <vertAlign val="subscript"/>
        <sz val="11"/>
        <color theme="1"/>
        <rFont val="Calibri"/>
        <family val="2"/>
        <scheme val="minor"/>
      </rPr>
      <t>sw</t>
    </r>
    <r>
      <rPr>
        <b/>
        <sz val="11"/>
        <color theme="1"/>
        <rFont val="Calibri"/>
        <family val="2"/>
        <scheme val="minor"/>
      </rPr>
      <t xml:space="preserve"> = </t>
    </r>
  </si>
  <si>
    <r>
      <t>=&gt;       A</t>
    </r>
    <r>
      <rPr>
        <b/>
        <vertAlign val="subscript"/>
        <sz val="11"/>
        <color theme="1"/>
        <rFont val="Calibri"/>
        <family val="2"/>
        <scheme val="minor"/>
      </rPr>
      <t>sw</t>
    </r>
    <r>
      <rPr>
        <b/>
        <sz val="11"/>
        <color theme="1"/>
        <rFont val="Calibri"/>
        <family val="2"/>
        <scheme val="minor"/>
      </rPr>
      <t xml:space="preserve"> = </t>
    </r>
  </si>
  <si>
    <t>Khoảng cách cấu tạo của cốt đai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</si>
  <si>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>ct</t>
    </r>
    <r>
      <rPr>
        <b/>
        <sz val="11"/>
        <color theme="1"/>
        <rFont val="Calibri"/>
        <family val="2"/>
        <scheme val="minor"/>
      </rPr>
      <t xml:space="preserve"> = min(0.5h</t>
    </r>
    <r>
      <rPr>
        <b/>
        <vertAlign val="subscript"/>
        <sz val="11"/>
        <color theme="1"/>
        <rFont val="Calibri"/>
        <family val="2"/>
        <scheme val="minor"/>
      </rPr>
      <t xml:space="preserve">0 </t>
    </r>
    <r>
      <rPr>
        <b/>
        <sz val="11"/>
        <color theme="1"/>
        <rFont val="Calibri"/>
        <family val="2"/>
        <scheme val="minor"/>
      </rPr>
      <t xml:space="preserve">, 30 cm) = </t>
    </r>
  </si>
  <si>
    <t>Khoảng cách lớn nhất giữa 2 cốt đai</t>
  </si>
  <si>
    <t>Khoảng cách tính toán của cốt đai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</si>
  <si>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>tt</t>
    </r>
    <r>
      <rPr>
        <b/>
        <sz val="11"/>
        <color theme="1"/>
        <rFont val="Calibri"/>
        <family val="2"/>
        <scheme val="minor"/>
      </rPr>
      <t xml:space="preserve"> = A</t>
    </r>
    <r>
      <rPr>
        <b/>
        <vertAlign val="subscript"/>
        <sz val="11"/>
        <color theme="1"/>
        <rFont val="Calibri"/>
        <family val="2"/>
        <scheme val="minor"/>
      </rPr>
      <t>sw</t>
    </r>
    <r>
      <rPr>
        <b/>
        <sz val="11"/>
        <color theme="1"/>
        <rFont val="Calibri"/>
        <family val="2"/>
        <scheme val="minor"/>
      </rPr>
      <t>.R</t>
    </r>
    <r>
      <rPr>
        <b/>
        <vertAlign val="subscript"/>
        <sz val="11"/>
        <color theme="1"/>
        <rFont val="Calibri"/>
        <family val="2"/>
        <scheme val="minor"/>
      </rPr>
      <t>sw</t>
    </r>
    <r>
      <rPr>
        <b/>
        <sz val="11"/>
        <color theme="1"/>
        <rFont val="Calibri"/>
        <family val="2"/>
        <scheme val="minor"/>
      </rPr>
      <t>.(4,5.R</t>
    </r>
    <r>
      <rPr>
        <b/>
        <vertAlign val="subscript"/>
        <sz val="11"/>
        <color theme="1"/>
        <rFont val="Calibri"/>
        <family val="2"/>
        <scheme val="minor"/>
      </rPr>
      <t>bt</t>
    </r>
    <r>
      <rPr>
        <b/>
        <sz val="11"/>
        <color theme="1"/>
        <rFont val="Calibri"/>
        <family val="2"/>
        <scheme val="minor"/>
      </rPr>
      <t>.b.h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 / Q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= 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</si>
  <si>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max</t>
    </r>
    <r>
      <rPr>
        <b/>
        <sz val="11"/>
        <color theme="1"/>
        <rFont val="Calibri"/>
        <family val="2"/>
        <scheme val="minor"/>
      </rPr>
      <t xml:space="preserve"> = R</t>
    </r>
    <r>
      <rPr>
        <b/>
        <vertAlign val="subscript"/>
        <sz val="11"/>
        <color theme="1"/>
        <rFont val="Calibri"/>
        <family val="2"/>
        <scheme val="minor"/>
      </rPr>
      <t>bt</t>
    </r>
    <r>
      <rPr>
        <b/>
        <sz val="11"/>
        <color theme="1"/>
        <rFont val="Calibri"/>
        <family val="2"/>
        <scheme val="minor"/>
      </rPr>
      <t>.b.h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/ Q = </t>
    </r>
  </si>
  <si>
    <r>
      <t>h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 xml:space="preserve"> = </t>
    </r>
  </si>
  <si>
    <r>
      <t xml:space="preserve">=&gt; Lựa chọn khoảng cách cốt đai </t>
    </r>
    <r>
      <rPr>
        <b/>
        <sz val="11"/>
        <color rgb="FF000099"/>
        <rFont val="Calibri"/>
        <family val="2"/>
      </rPr>
      <t>≤</t>
    </r>
  </si>
  <si>
    <t>TẦNG 1</t>
  </si>
  <si>
    <r>
      <t>f</t>
    </r>
    <r>
      <rPr>
        <b/>
        <vertAlign val="subscript"/>
        <sz val="10"/>
        <color theme="1"/>
        <rFont val="Arial"/>
        <family val="2"/>
      </rPr>
      <t>ctm</t>
    </r>
    <r>
      <rPr>
        <b/>
        <sz val="10"/>
        <color theme="1"/>
        <rFont val="Arial"/>
        <family val="2"/>
      </rPr>
      <t xml:space="preserve"> = </t>
    </r>
  </si>
  <si>
    <r>
      <t>(N/mm</t>
    </r>
    <r>
      <rPr>
        <i/>
        <vertAlign val="superscript"/>
        <sz val="10"/>
        <color theme="1"/>
        <rFont val="Arial"/>
        <family val="2"/>
      </rPr>
      <t>2</t>
    </r>
    <r>
      <rPr>
        <i/>
        <sz val="10"/>
        <color theme="1"/>
        <rFont val="Arial"/>
        <family val="2"/>
      </rPr>
      <t>)</t>
    </r>
  </si>
  <si>
    <t>(KNm)</t>
  </si>
  <si>
    <t>(KN)</t>
  </si>
  <si>
    <t>CB240T</t>
  </si>
  <si>
    <t>CB300T</t>
  </si>
  <si>
    <t>Gối</t>
  </si>
  <si>
    <t>Nhịp</t>
  </si>
  <si>
    <t>D-70x70, Trục 20,21,26,27</t>
  </si>
  <si>
    <t>D-30x135</t>
  </si>
  <si>
    <t xml:space="preserve">D-100x70 </t>
  </si>
  <si>
    <t xml:space="preserve">D-100x70, Trục X', Y, Z </t>
  </si>
  <si>
    <t>Pheonix</t>
  </si>
  <si>
    <r>
      <t>R</t>
    </r>
    <r>
      <rPr>
        <b/>
        <vertAlign val="subscript"/>
        <sz val="13"/>
        <color theme="1"/>
        <rFont val="Times New Roman"/>
        <family val="1"/>
      </rPr>
      <t>b</t>
    </r>
  </si>
  <si>
    <r>
      <t>R</t>
    </r>
    <r>
      <rPr>
        <b/>
        <vertAlign val="subscript"/>
        <sz val="13"/>
        <color theme="1"/>
        <rFont val="Times New Roman"/>
        <family val="1"/>
      </rPr>
      <t>bt</t>
    </r>
  </si>
  <si>
    <r>
      <t>R</t>
    </r>
    <r>
      <rPr>
        <b/>
        <vertAlign val="subscript"/>
        <sz val="13"/>
        <color theme="1"/>
        <rFont val="Times New Roman"/>
        <family val="1"/>
      </rPr>
      <t>b,ser</t>
    </r>
  </si>
  <si>
    <r>
      <t>R</t>
    </r>
    <r>
      <rPr>
        <b/>
        <vertAlign val="subscript"/>
        <sz val="13"/>
        <color theme="1"/>
        <rFont val="Times New Roman"/>
        <family val="1"/>
      </rPr>
      <t>bt,ser</t>
    </r>
  </si>
  <si>
    <r>
      <t>E</t>
    </r>
    <r>
      <rPr>
        <b/>
        <vertAlign val="subscript"/>
        <sz val="13"/>
        <color theme="1"/>
        <rFont val="Times New Roman"/>
        <family val="1"/>
      </rPr>
      <t>b</t>
    </r>
  </si>
  <si>
    <r>
      <t>f</t>
    </r>
    <r>
      <rPr>
        <b/>
        <vertAlign val="subscript"/>
        <sz val="13"/>
        <color theme="1"/>
        <rFont val="Times New Roman"/>
        <family val="1"/>
      </rPr>
      <t>ctm</t>
    </r>
  </si>
  <si>
    <r>
      <t>(daN/cm</t>
    </r>
    <r>
      <rPr>
        <i/>
        <vertAlign val="superscript"/>
        <sz val="13"/>
        <color theme="1"/>
        <rFont val="Times New Roman"/>
        <family val="1"/>
      </rPr>
      <t>2</t>
    </r>
    <r>
      <rPr>
        <i/>
        <sz val="13"/>
        <color theme="1"/>
        <rFont val="Times New Roman"/>
        <family val="1"/>
      </rPr>
      <t>)</t>
    </r>
  </si>
  <si>
    <r>
      <t>(N/mm</t>
    </r>
    <r>
      <rPr>
        <i/>
        <vertAlign val="superscript"/>
        <sz val="13"/>
        <color theme="1"/>
        <rFont val="Times New Roman"/>
        <family val="1"/>
      </rPr>
      <t>2</t>
    </r>
    <r>
      <rPr>
        <i/>
        <sz val="13"/>
        <color theme="1"/>
        <rFont val="Times New Roman"/>
        <family val="1"/>
      </rPr>
      <t>)</t>
    </r>
  </si>
  <si>
    <t>B70</t>
  </si>
  <si>
    <t>B80</t>
  </si>
  <si>
    <t>B90</t>
  </si>
  <si>
    <t>B100</t>
  </si>
  <si>
    <r>
      <t>R</t>
    </r>
    <r>
      <rPr>
        <b/>
        <vertAlign val="subscript"/>
        <sz val="13"/>
        <color theme="1"/>
        <rFont val="Times New Roman"/>
        <family val="1"/>
      </rPr>
      <t>s</t>
    </r>
  </si>
  <si>
    <r>
      <t>R</t>
    </r>
    <r>
      <rPr>
        <b/>
        <vertAlign val="subscript"/>
        <sz val="13"/>
        <color theme="1"/>
        <rFont val="Times New Roman"/>
        <family val="1"/>
      </rPr>
      <t>sc</t>
    </r>
  </si>
  <si>
    <r>
      <t>R</t>
    </r>
    <r>
      <rPr>
        <b/>
        <vertAlign val="subscript"/>
        <sz val="13"/>
        <color theme="1"/>
        <rFont val="Times New Roman"/>
        <family val="1"/>
      </rPr>
      <t>sw</t>
    </r>
  </si>
  <si>
    <r>
      <t>R</t>
    </r>
    <r>
      <rPr>
        <b/>
        <vertAlign val="subscript"/>
        <sz val="13"/>
        <color theme="1"/>
        <rFont val="Times New Roman"/>
        <family val="1"/>
      </rPr>
      <t>s,ser</t>
    </r>
  </si>
  <si>
    <r>
      <t>E</t>
    </r>
    <r>
      <rPr>
        <b/>
        <vertAlign val="subscript"/>
        <sz val="13"/>
        <color theme="1"/>
        <rFont val="Times New Roman"/>
        <family val="1"/>
      </rPr>
      <t>s</t>
    </r>
  </si>
  <si>
    <t>AIII (ϕ6-ϕ8)</t>
  </si>
  <si>
    <t>CIII (ϕ6-ϕ8)</t>
  </si>
  <si>
    <t>CIII (ϕ10-ϕ40)</t>
  </si>
  <si>
    <t>B65</t>
  </si>
  <si>
    <t>Dầm trục 3-4 khung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</si>
</sst>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1" formatCode="_-* #,##0_-;\-* #,##0_-;_-* &quot;-&quot;_-;_-@_-"/>
    <numFmt numFmtId="164" formatCode="0.000"/>
    <numFmt numFmtId="165" formatCode="&quot;Φ&quot;0"/>
    <numFmt numFmtId="166" formatCode="&quot;$&quot;#,##0;[Red]\-&quot;$&quot;#,##0"/>
    <numFmt numFmtId="167" formatCode="_-&quot;$&quot;* #,##0_-;\-&quot;$&quot;* #,##0_-;_-&quot;$&quot;* &quot;-&quot;_-;_-@_-"/>
    <numFmt numFmtId="168" formatCode="_-&quot;$&quot;* #,##0.00_-;\-&quot;$&quot;* #,##0.00_-;_-&quot;$&quot;* &quot;-&quot;??_-;_-@_-"/>
    <numFmt numFmtId="169" formatCode="0.000%"/>
    <numFmt numFmtId="170" formatCode="#,##0\ &quot;$&quot;_);[Red]\(#,##0\ &quot;$&quot;\)"/>
    <numFmt numFmtId="171" formatCode="_(* #,##0.00000_);_(* \(#,##0.00000\);_(* &quot;-&quot;??_);_(@_)"/>
    <numFmt numFmtId="172" formatCode="_(* #,##0.000000_);_(* \(#,##0.000000\);_(* &quot;-&quot;??_);_(@_)"/>
    <numFmt numFmtId="173" formatCode="_(* #,##0.0000000_);_(* \(#,##0.0000000\);_(* &quot;-&quot;??_);_(@_)"/>
    <numFmt numFmtId="174" formatCode="&quot;$&quot;###,0&quot;.&quot;00_);[Red]\(&quot;$&quot;###,0&quot;.&quot;00\)"/>
    <numFmt numFmtId="175" formatCode="[$-1010000]d/m/yyyy;@"/>
    <numFmt numFmtId="176" formatCode="0.0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vertAlign val="subscript"/>
      <sz val="10"/>
      <color theme="1"/>
      <name val="Arial"/>
      <family val="2"/>
    </font>
    <font>
      <i/>
      <sz val="10"/>
      <color theme="1"/>
      <name val="Arial"/>
      <family val="2"/>
    </font>
    <font>
      <i/>
      <vertAlign val="superscript"/>
      <sz val="10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Times New Roman"/>
      <family val="2"/>
    </font>
    <font>
      <sz val="10"/>
      <name val="Arial"/>
      <family val="2"/>
    </font>
    <font>
      <vertAlign val="subscript"/>
      <sz val="10"/>
      <color theme="1"/>
      <name val="Arial"/>
      <family val="2"/>
    </font>
    <font>
      <b/>
      <sz val="10"/>
      <color rgb="FF000099"/>
      <name val="Arial"/>
      <family val="2"/>
    </font>
    <font>
      <b/>
      <sz val="12"/>
      <name val="Arial"/>
      <family val="2"/>
    </font>
    <font>
      <sz val="10"/>
      <name val="MS Sans Serif"/>
      <family val="2"/>
    </font>
    <font>
      <sz val="12"/>
      <name val="Arial"/>
      <family val="2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b/>
      <sz val="9"/>
      <name val="Arial"/>
      <family val="2"/>
    </font>
    <font>
      <sz val="12"/>
      <name val="新細明體"/>
      <charset val="136"/>
    </font>
    <font>
      <sz val="12"/>
      <name val="Courier"/>
      <family val="3"/>
    </font>
    <font>
      <sz val="12"/>
      <name val="VNI-Times"/>
    </font>
    <font>
      <sz val="11"/>
      <name val="돋움"/>
      <family val="3"/>
    </font>
    <font>
      <sz val="10"/>
      <name val="굴림체"/>
      <family val="3"/>
    </font>
    <font>
      <sz val="10"/>
      <name val=" "/>
      <family val="1"/>
      <charset val="136"/>
    </font>
    <font>
      <sz val="12"/>
      <name val="Times New Roman"/>
      <family val="1"/>
    </font>
    <font>
      <sz val="10"/>
      <name val=".VnArial"/>
      <family val="2"/>
    </font>
    <font>
      <sz val="12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Times New Roman"/>
      <family val="1"/>
    </font>
    <font>
      <b/>
      <sz val="16"/>
      <color theme="1"/>
      <name val="Arial"/>
      <family val="2"/>
    </font>
    <font>
      <b/>
      <vertAlign val="subscript"/>
      <sz val="11"/>
      <color theme="1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2"/>
      <name val="Times New Roman"/>
      <family val="1"/>
    </font>
    <font>
      <b/>
      <vertAlign val="subscript"/>
      <sz val="12"/>
      <name val="Times New Roman"/>
      <family val="1"/>
    </font>
    <font>
      <sz val="11"/>
      <color theme="1"/>
      <name val="Times New Roman"/>
      <family val="1"/>
    </font>
    <font>
      <b/>
      <vertAlign val="super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rgb="FF00009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99"/>
      <name val="Arial"/>
      <family val="2"/>
    </font>
    <font>
      <b/>
      <sz val="11"/>
      <color rgb="FF000099"/>
      <name val="Calibri"/>
      <family val="2"/>
    </font>
    <font>
      <b/>
      <sz val="11"/>
      <color rgb="FFFF0000"/>
      <name val="Arial"/>
      <family val="2"/>
    </font>
    <font>
      <b/>
      <sz val="13"/>
      <color theme="1"/>
      <name val="Times New Roman"/>
      <family val="1"/>
    </font>
    <font>
      <b/>
      <vertAlign val="subscript"/>
      <sz val="13"/>
      <color theme="1"/>
      <name val="Times New Roman"/>
      <family val="1"/>
    </font>
    <font>
      <i/>
      <sz val="13"/>
      <color theme="1"/>
      <name val="Times New Roman"/>
      <family val="1"/>
    </font>
    <font>
      <i/>
      <vertAlign val="superscript"/>
      <sz val="13"/>
      <color theme="1"/>
      <name val="Times New Roman"/>
      <family val="1"/>
    </font>
    <font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39">
    <xf numFmtId="0" fontId="0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12" fillId="0" borderId="11" applyNumberFormat="0" applyAlignment="0" applyProtection="0">
      <alignment horizontal="left" vertical="center"/>
    </xf>
    <xf numFmtId="0" fontId="12" fillId="0" borderId="23">
      <alignment horizontal="left" vertical="center"/>
    </xf>
    <xf numFmtId="38" fontId="13" fillId="0" borderId="0" applyFont="0" applyFill="0" applyBorder="0" applyAlignment="0" applyProtection="0"/>
    <xf numFmtId="4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0" fontId="14" fillId="0" borderId="0" applyNumberFormat="0" applyFont="0" applyFill="0" applyAlignment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5" fillId="0" borderId="0">
      <alignment vertical="center"/>
    </xf>
    <xf numFmtId="40" fontId="15" fillId="0" borderId="0" applyFont="0" applyFill="0" applyBorder="0" applyAlignment="0" applyProtection="0"/>
    <xf numFmtId="38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7" fillId="0" borderId="0"/>
    <xf numFmtId="173" fontId="21" fillId="0" borderId="0" applyFont="0" applyFill="0" applyBorder="0" applyAlignment="0" applyProtection="0"/>
    <xf numFmtId="169" fontId="22" fillId="0" borderId="0" applyFont="0" applyFill="0" applyBorder="0" applyAlignment="0" applyProtection="0"/>
    <xf numFmtId="172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0" fontId="23" fillId="0" borderId="0"/>
    <xf numFmtId="0" fontId="18" fillId="0" borderId="0" applyProtection="0"/>
    <xf numFmtId="41" fontId="19" fillId="0" borderId="0" applyFont="0" applyFill="0" applyBorder="0" applyAlignment="0" applyProtection="0"/>
    <xf numFmtId="40" fontId="20" fillId="0" borderId="0" applyFont="0" applyFill="0" applyBorder="0" applyAlignment="0" applyProtection="0"/>
    <xf numFmtId="167" fontId="19" fillId="0" borderId="0" applyFont="0" applyFill="0" applyBorder="0" applyAlignment="0" applyProtection="0"/>
    <xf numFmtId="166" fontId="20" fillId="0" borderId="0" applyFont="0" applyFill="0" applyBorder="0" applyAlignment="0" applyProtection="0"/>
    <xf numFmtId="168" fontId="19" fillId="0" borderId="0" applyFont="0" applyFill="0" applyBorder="0" applyAlignment="0" applyProtection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95"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4" xfId="0" applyFont="1" applyBorder="1"/>
    <xf numFmtId="0" fontId="2" fillId="0" borderId="0" xfId="0" applyFont="1" applyBorder="1"/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11" fillId="0" borderId="0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right" vertical="center"/>
    </xf>
    <xf numFmtId="0" fontId="5" fillId="2" borderId="1" xfId="0" quotePrefix="1" applyFont="1" applyFill="1" applyBorder="1" applyAlignment="1">
      <alignment horizontal="center" vertical="center"/>
    </xf>
    <xf numFmtId="165" fontId="33" fillId="0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11" fontId="2" fillId="0" borderId="0" xfId="0" applyNumberFormat="1" applyFont="1" applyBorder="1" applyAlignment="1">
      <alignment horizontal="center" vertical="center"/>
    </xf>
    <xf numFmtId="0" fontId="0" fillId="0" borderId="0" xfId="0"/>
    <xf numFmtId="0" fontId="5" fillId="0" borderId="0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64" fontId="33" fillId="0" borderId="1" xfId="0" applyNumberFormat="1" applyFont="1" applyFill="1" applyBorder="1" applyAlignment="1">
      <alignment horizontal="center" vertical="center"/>
    </xf>
    <xf numFmtId="0" fontId="37" fillId="0" borderId="0" xfId="0" applyFont="1"/>
    <xf numFmtId="0" fontId="37" fillId="0" borderId="0" xfId="0" applyFont="1" applyAlignment="1">
      <alignment horizontal="center" vertical="center"/>
    </xf>
    <xf numFmtId="0" fontId="37" fillId="0" borderId="0" xfId="0" applyFont="1" applyAlignment="1">
      <alignment horizontal="center"/>
    </xf>
    <xf numFmtId="11" fontId="37" fillId="0" borderId="0" xfId="0" applyNumberFormat="1" applyFont="1"/>
    <xf numFmtId="0" fontId="37" fillId="0" borderId="0" xfId="0" applyFont="1" applyAlignment="1">
      <alignment horizontal="center" wrapText="1"/>
    </xf>
    <xf numFmtId="0" fontId="3" fillId="0" borderId="33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4" fillId="0" borderId="0" xfId="0" applyFont="1" applyFill="1"/>
    <xf numFmtId="0" fontId="0" fillId="0" borderId="0" xfId="0" applyFill="1"/>
    <xf numFmtId="0" fontId="34" fillId="0" borderId="27" xfId="0" applyFont="1" applyFill="1" applyBorder="1" applyAlignment="1">
      <alignment horizontal="center"/>
    </xf>
    <xf numFmtId="0" fontId="34" fillId="0" borderId="28" xfId="0" applyFont="1" applyFill="1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34" fillId="0" borderId="0" xfId="0" applyFont="1" applyFill="1" applyAlignment="1">
      <alignment horizontal="center" vertical="center"/>
    </xf>
    <xf numFmtId="0" fontId="2" fillId="0" borderId="31" xfId="0" applyFont="1" applyBorder="1"/>
    <xf numFmtId="0" fontId="34" fillId="0" borderId="29" xfId="0" applyFont="1" applyFill="1" applyBorder="1" applyAlignment="1">
      <alignment horizontal="center"/>
    </xf>
    <xf numFmtId="0" fontId="34" fillId="0" borderId="0" xfId="0" applyFont="1" applyFill="1" applyBorder="1" applyAlignment="1">
      <alignment horizontal="center"/>
    </xf>
    <xf numFmtId="0" fontId="34" fillId="0" borderId="0" xfId="0" applyFont="1" applyFill="1" applyBorder="1" applyAlignment="1">
      <alignment horizontal="center" vertical="center"/>
    </xf>
    <xf numFmtId="0" fontId="34" fillId="0" borderId="0" xfId="0" applyFont="1" applyFill="1" applyAlignment="1">
      <alignment horizontal="left" vertical="center"/>
    </xf>
    <xf numFmtId="164" fontId="34" fillId="0" borderId="0" xfId="0" applyNumberFormat="1" applyFont="1" applyFill="1" applyAlignment="1">
      <alignment horizontal="center" vertical="center"/>
    </xf>
    <xf numFmtId="0" fontId="42" fillId="0" borderId="0" xfId="0" applyFont="1" applyFill="1"/>
    <xf numFmtId="0" fontId="34" fillId="0" borderId="0" xfId="0" quotePrefix="1" applyFont="1" applyFill="1" applyAlignment="1">
      <alignment horizontal="center" vertical="center"/>
    </xf>
    <xf numFmtId="1" fontId="34" fillId="0" borderId="0" xfId="0" applyNumberFormat="1" applyFont="1" applyFill="1" applyAlignment="1">
      <alignment horizontal="center" vertical="center"/>
    </xf>
    <xf numFmtId="0" fontId="41" fillId="0" borderId="0" xfId="0" applyFont="1" applyFill="1" applyAlignment="1">
      <alignment horizontal="left" vertical="center"/>
    </xf>
    <xf numFmtId="0" fontId="34" fillId="0" borderId="27" xfId="0" applyFont="1" applyFill="1" applyBorder="1" applyAlignment="1">
      <alignment horizontal="left" vertical="center"/>
    </xf>
    <xf numFmtId="0" fontId="43" fillId="0" borderId="0" xfId="0" applyFont="1" applyFill="1" applyAlignment="1">
      <alignment horizontal="center" vertical="center"/>
    </xf>
    <xf numFmtId="1" fontId="45" fillId="0" borderId="0" xfId="0" applyNumberFormat="1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24" xfId="0" applyFont="1" applyBorder="1" applyAlignment="1">
      <alignment vertical="center"/>
    </xf>
    <xf numFmtId="1" fontId="35" fillId="0" borderId="13" xfId="0" applyNumberFormat="1" applyFont="1" applyFill="1" applyBorder="1" applyAlignment="1">
      <alignment horizontal="center" vertical="center"/>
    </xf>
    <xf numFmtId="164" fontId="33" fillId="0" borderId="13" xfId="0" applyNumberFormat="1" applyFont="1" applyFill="1" applyBorder="1" applyAlignment="1">
      <alignment horizontal="center" vertical="center"/>
    </xf>
    <xf numFmtId="0" fontId="3" fillId="0" borderId="35" xfId="0" applyFont="1" applyBorder="1" applyAlignment="1">
      <alignment vertical="center"/>
    </xf>
    <xf numFmtId="175" fontId="5" fillId="0" borderId="36" xfId="0" applyNumberFormat="1" applyFont="1" applyBorder="1" applyAlignment="1">
      <alignment horizontal="left" vertical="center"/>
    </xf>
    <xf numFmtId="0" fontId="5" fillId="0" borderId="37" xfId="0" applyFont="1" applyBorder="1" applyAlignment="1">
      <alignment vertical="center"/>
    </xf>
    <xf numFmtId="0" fontId="5" fillId="0" borderId="38" xfId="0" applyFont="1" applyBorder="1" applyAlignment="1">
      <alignment horizontal="left" vertical="center"/>
    </xf>
    <xf numFmtId="0" fontId="2" fillId="0" borderId="38" xfId="0" applyFont="1" applyBorder="1"/>
    <xf numFmtId="0" fontId="3" fillId="0" borderId="37" xfId="0" applyFont="1" applyBorder="1" applyAlignment="1">
      <alignment vertical="center"/>
    </xf>
    <xf numFmtId="0" fontId="2" fillId="0" borderId="37" xfId="0" applyFont="1" applyBorder="1"/>
    <xf numFmtId="164" fontId="2" fillId="0" borderId="0" xfId="0" applyNumberFormat="1" applyFont="1" applyBorder="1" applyAlignment="1">
      <alignment horizontal="center" vertical="center"/>
    </xf>
    <xf numFmtId="0" fontId="5" fillId="0" borderId="37" xfId="0" applyFont="1" applyBorder="1" applyAlignment="1">
      <alignment horizontal="left" vertical="center"/>
    </xf>
    <xf numFmtId="0" fontId="3" fillId="0" borderId="37" xfId="0" applyFont="1" applyBorder="1" applyAlignment="1">
      <alignment horizontal="left" vertical="center"/>
    </xf>
    <xf numFmtId="165" fontId="43" fillId="0" borderId="0" xfId="0" applyNumberFormat="1" applyFont="1" applyFill="1" applyBorder="1" applyAlignment="1">
      <alignment horizontal="center" vertical="center"/>
    </xf>
    <xf numFmtId="0" fontId="2" fillId="0" borderId="0" xfId="0" quotePrefix="1" applyFont="1" applyBorder="1" applyAlignment="1">
      <alignment horizontal="left" vertical="center"/>
    </xf>
    <xf numFmtId="0" fontId="37" fillId="0" borderId="0" xfId="0" applyFont="1" applyAlignment="1"/>
    <xf numFmtId="0" fontId="37" fillId="0" borderId="0" xfId="0" applyFont="1" applyAlignment="1">
      <alignment vertical="center"/>
    </xf>
    <xf numFmtId="0" fontId="46" fillId="0" borderId="2" xfId="0" applyFont="1" applyBorder="1" applyAlignment="1">
      <alignment horizontal="center" vertical="center"/>
    </xf>
    <xf numFmtId="0" fontId="46" fillId="0" borderId="3" xfId="0" applyFont="1" applyBorder="1" applyAlignment="1">
      <alignment horizontal="center" vertical="center"/>
    </xf>
    <xf numFmtId="0" fontId="46" fillId="0" borderId="20" xfId="0" applyFont="1" applyBorder="1" applyAlignment="1">
      <alignment horizontal="center" vertical="center"/>
    </xf>
    <xf numFmtId="0" fontId="46" fillId="0" borderId="4" xfId="0" applyFont="1" applyBorder="1" applyAlignment="1">
      <alignment horizontal="center" vertical="center"/>
    </xf>
    <xf numFmtId="0" fontId="48" fillId="0" borderId="7" xfId="0" applyFont="1" applyBorder="1" applyAlignment="1">
      <alignment horizontal="center" vertical="center"/>
    </xf>
    <xf numFmtId="0" fontId="48" fillId="0" borderId="8" xfId="0" applyFont="1" applyBorder="1" applyAlignment="1">
      <alignment horizontal="center" vertical="center"/>
    </xf>
    <xf numFmtId="0" fontId="48" fillId="0" borderId="9" xfId="0" applyFont="1" applyBorder="1" applyAlignment="1">
      <alignment horizontal="center" vertical="center"/>
    </xf>
    <xf numFmtId="0" fontId="50" fillId="0" borderId="2" xfId="0" applyFont="1" applyBorder="1" applyAlignment="1">
      <alignment horizontal="center" vertical="center"/>
    </xf>
    <xf numFmtId="0" fontId="50" fillId="0" borderId="3" xfId="0" applyFont="1" applyBorder="1" applyAlignment="1">
      <alignment horizontal="center" vertical="center"/>
    </xf>
    <xf numFmtId="176" fontId="50" fillId="0" borderId="4" xfId="0" quotePrefix="1" applyNumberFormat="1" applyFont="1" applyBorder="1" applyAlignment="1">
      <alignment horizontal="center" vertical="center"/>
    </xf>
    <xf numFmtId="0" fontId="50" fillId="0" borderId="5" xfId="0" applyFont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176" fontId="50" fillId="0" borderId="6" xfId="0" quotePrefix="1" applyNumberFormat="1" applyFont="1" applyBorder="1" applyAlignment="1">
      <alignment horizontal="center" vertical="center"/>
    </xf>
    <xf numFmtId="176" fontId="50" fillId="0" borderId="6" xfId="0" applyNumberFormat="1" applyFont="1" applyBorder="1" applyAlignment="1">
      <alignment horizontal="center" vertical="center"/>
    </xf>
    <xf numFmtId="2" fontId="50" fillId="0" borderId="6" xfId="0" quotePrefix="1" applyNumberFormat="1" applyFont="1" applyBorder="1" applyAlignment="1">
      <alignment horizontal="center" vertical="center"/>
    </xf>
    <xf numFmtId="2" fontId="50" fillId="0" borderId="6" xfId="0" applyNumberFormat="1" applyFont="1" applyBorder="1" applyAlignment="1">
      <alignment horizontal="center" vertical="center"/>
    </xf>
    <xf numFmtId="176" fontId="52" fillId="0" borderId="6" xfId="0" applyNumberFormat="1" applyFont="1" applyBorder="1" applyAlignment="1">
      <alignment horizontal="center" vertical="center"/>
    </xf>
    <xf numFmtId="0" fontId="51" fillId="0" borderId="5" xfId="0" applyFont="1" applyBorder="1" applyAlignment="1">
      <alignment horizontal="center" vertical="center"/>
    </xf>
    <xf numFmtId="176" fontId="51" fillId="0" borderId="6" xfId="0" applyNumberFormat="1" applyFont="1" applyBorder="1" applyAlignment="1">
      <alignment horizontal="center" vertical="center"/>
    </xf>
    <xf numFmtId="0" fontId="50" fillId="0" borderId="7" xfId="0" applyFont="1" applyBorder="1" applyAlignment="1">
      <alignment horizontal="center" vertical="center"/>
    </xf>
    <xf numFmtId="0" fontId="51" fillId="0" borderId="8" xfId="0" applyFont="1" applyBorder="1" applyAlignment="1">
      <alignment horizontal="center" vertical="center"/>
    </xf>
    <xf numFmtId="0" fontId="50" fillId="0" borderId="8" xfId="0" applyFont="1" applyBorder="1" applyAlignment="1">
      <alignment horizontal="center" vertical="center"/>
    </xf>
    <xf numFmtId="176" fontId="50" fillId="0" borderId="9" xfId="0" applyNumberFormat="1" applyFont="1" applyBorder="1" applyAlignment="1">
      <alignment horizontal="center" vertical="center"/>
    </xf>
    <xf numFmtId="0" fontId="46" fillId="0" borderId="17" xfId="0" applyFont="1" applyBorder="1" applyAlignment="1">
      <alignment horizontal="center" vertical="center"/>
    </xf>
    <xf numFmtId="0" fontId="50" fillId="0" borderId="13" xfId="0" applyFont="1" applyBorder="1" applyAlignment="1">
      <alignment horizontal="center" vertical="center"/>
    </xf>
    <xf numFmtId="11" fontId="50" fillId="0" borderId="6" xfId="0" applyNumberFormat="1" applyFont="1" applyBorder="1" applyAlignment="1">
      <alignment horizontal="center" vertical="center"/>
    </xf>
    <xf numFmtId="0" fontId="51" fillId="0" borderId="13" xfId="0" applyFont="1" applyBorder="1" applyAlignment="1">
      <alignment horizontal="center" vertical="center"/>
    </xf>
    <xf numFmtId="0" fontId="46" fillId="0" borderId="15" xfId="0" applyFont="1" applyBorder="1" applyAlignment="1">
      <alignment horizontal="center" vertical="center"/>
    </xf>
    <xf numFmtId="0" fontId="51" fillId="0" borderId="16" xfId="0" applyFont="1" applyBorder="1" applyAlignment="1">
      <alignment horizontal="center" vertical="center"/>
    </xf>
    <xf numFmtId="11" fontId="50" fillId="0" borderId="9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48" fillId="0" borderId="33" xfId="0" applyFont="1" applyBorder="1" applyAlignment="1">
      <alignment horizontal="center" vertical="center"/>
    </xf>
    <xf numFmtId="0" fontId="48" fillId="0" borderId="22" xfId="0" applyFont="1" applyBorder="1" applyAlignment="1">
      <alignment horizontal="center" vertical="center"/>
    </xf>
    <xf numFmtId="0" fontId="48" fillId="0" borderId="43" xfId="0" applyFont="1" applyBorder="1" applyAlignment="1">
      <alignment horizontal="center" vertical="center"/>
    </xf>
    <xf numFmtId="0" fontId="48" fillId="0" borderId="34" xfId="0" applyFont="1" applyBorder="1" applyAlignment="1">
      <alignment horizontal="center" vertical="center"/>
    </xf>
    <xf numFmtId="0" fontId="46" fillId="0" borderId="44" xfId="0" quotePrefix="1" applyFont="1" applyBorder="1" applyAlignment="1">
      <alignment horizontal="center" vertical="center"/>
    </xf>
    <xf numFmtId="11" fontId="50" fillId="0" borderId="3" xfId="0" applyNumberFormat="1" applyFont="1" applyBorder="1" applyAlignment="1">
      <alignment horizontal="center" vertical="center"/>
    </xf>
    <xf numFmtId="0" fontId="46" fillId="0" borderId="45" xfId="0" quotePrefix="1" applyFont="1" applyBorder="1" applyAlignment="1">
      <alignment horizontal="center" vertical="center"/>
    </xf>
    <xf numFmtId="11" fontId="50" fillId="0" borderId="1" xfId="0" applyNumberFormat="1" applyFont="1" applyBorder="1" applyAlignment="1">
      <alignment horizontal="center" vertical="center"/>
    </xf>
    <xf numFmtId="11" fontId="51" fillId="0" borderId="1" xfId="0" applyNumberFormat="1" applyFont="1" applyBorder="1" applyAlignment="1">
      <alignment horizontal="center" vertical="center"/>
    </xf>
    <xf numFmtId="176" fontId="51" fillId="0" borderId="6" xfId="0" quotePrefix="1" applyNumberFormat="1" applyFont="1" applyBorder="1" applyAlignment="1">
      <alignment horizontal="center" vertical="center"/>
    </xf>
    <xf numFmtId="0" fontId="52" fillId="0" borderId="5" xfId="0" applyFont="1" applyBorder="1" applyAlignment="1">
      <alignment horizontal="center" vertical="center"/>
    </xf>
    <xf numFmtId="0" fontId="52" fillId="0" borderId="1" xfId="0" applyFont="1" applyBorder="1" applyAlignment="1">
      <alignment horizontal="center" vertical="center"/>
    </xf>
    <xf numFmtId="11" fontId="52" fillId="0" borderId="1" xfId="0" applyNumberFormat="1" applyFont="1" applyBorder="1" applyAlignment="1">
      <alignment horizontal="center" vertical="center"/>
    </xf>
    <xf numFmtId="176" fontId="52" fillId="0" borderId="6" xfId="0" quotePrefix="1" applyNumberFormat="1" applyFont="1" applyBorder="1" applyAlignment="1">
      <alignment horizontal="center" vertical="center"/>
    </xf>
    <xf numFmtId="0" fontId="46" fillId="0" borderId="46" xfId="0" quotePrefix="1" applyFont="1" applyBorder="1" applyAlignment="1">
      <alignment horizontal="center" vertical="center"/>
    </xf>
    <xf numFmtId="11" fontId="51" fillId="0" borderId="8" xfId="0" applyNumberFormat="1" applyFont="1" applyBorder="1" applyAlignment="1">
      <alignment horizontal="center" vertical="center"/>
    </xf>
    <xf numFmtId="0" fontId="46" fillId="0" borderId="10" xfId="0" applyFont="1" applyBorder="1" applyAlignment="1">
      <alignment horizontal="center" vertical="center"/>
    </xf>
    <xf numFmtId="0" fontId="46" fillId="0" borderId="11" xfId="0" applyFont="1" applyBorder="1" applyAlignment="1">
      <alignment horizontal="center" vertical="center"/>
    </xf>
    <xf numFmtId="0" fontId="46" fillId="0" borderId="12" xfId="0" applyFont="1" applyBorder="1" applyAlignment="1">
      <alignment horizontal="center" vertical="center"/>
    </xf>
    <xf numFmtId="0" fontId="46" fillId="0" borderId="32" xfId="0" applyFont="1" applyBorder="1" applyAlignment="1">
      <alignment horizontal="center" vertical="center"/>
    </xf>
    <xf numFmtId="0" fontId="46" fillId="0" borderId="19" xfId="0" applyFont="1" applyBorder="1" applyAlignment="1">
      <alignment horizontal="center" vertical="center"/>
    </xf>
    <xf numFmtId="0" fontId="46" fillId="0" borderId="14" xfId="0" applyFont="1" applyBorder="1" applyAlignment="1">
      <alignment horizontal="center" vertical="center"/>
    </xf>
    <xf numFmtId="0" fontId="46" fillId="0" borderId="15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40" fillId="0" borderId="0" xfId="0" quotePrefix="1" applyFont="1" applyFill="1" applyAlignment="1">
      <alignment horizontal="right" vertical="center"/>
    </xf>
    <xf numFmtId="0" fontId="34" fillId="0" borderId="0" xfId="0" applyFont="1" applyFill="1" applyAlignment="1">
      <alignment horizontal="center"/>
    </xf>
    <xf numFmtId="0" fontId="34" fillId="0" borderId="0" xfId="0" applyFont="1" applyFill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2" fillId="0" borderId="1" xfId="36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31" fillId="3" borderId="33" xfId="35" applyFont="1" applyFill="1" applyBorder="1" applyAlignment="1">
      <alignment horizontal="center" vertical="center"/>
    </xf>
    <xf numFmtId="0" fontId="31" fillId="3" borderId="39" xfId="35" applyFont="1" applyFill="1" applyBorder="1" applyAlignment="1">
      <alignment horizontal="center" vertical="center"/>
    </xf>
    <xf numFmtId="0" fontId="31" fillId="3" borderId="41" xfId="35" applyFont="1" applyFill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0" fillId="2" borderId="22" xfId="0" applyFont="1" applyFill="1" applyBorder="1" applyAlignment="1">
      <alignment horizontal="center" vertical="center"/>
    </xf>
    <xf numFmtId="0" fontId="30" fillId="2" borderId="25" xfId="0" applyFont="1" applyFill="1" applyBorder="1" applyAlignment="1">
      <alignment horizontal="center" vertical="center"/>
    </xf>
    <xf numFmtId="0" fontId="30" fillId="2" borderId="18" xfId="0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horizontal="center" vertical="center"/>
    </xf>
    <xf numFmtId="0" fontId="30" fillId="2" borderId="22" xfId="0" applyFont="1" applyFill="1" applyBorder="1" applyAlignment="1">
      <alignment horizontal="center" vertical="center" wrapText="1"/>
    </xf>
    <xf numFmtId="0" fontId="30" fillId="2" borderId="25" xfId="0" applyFont="1" applyFill="1" applyBorder="1" applyAlignment="1">
      <alignment horizontal="center" vertical="center" wrapText="1"/>
    </xf>
    <xf numFmtId="0" fontId="30" fillId="2" borderId="18" xfId="0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40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/>
    </xf>
    <xf numFmtId="0" fontId="3" fillId="2" borderId="39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top" wrapText="1"/>
    </xf>
  </cellXfs>
  <cellStyles count="39">
    <cellStyle name="Header1" xfId="5" xr:uid="{00000000-0005-0000-0000-000000000000}"/>
    <cellStyle name="Header2" xfId="6" xr:uid="{00000000-0005-0000-0000-000001000000}"/>
    <cellStyle name="Millares [0]_Well Timing" xfId="7" xr:uid="{00000000-0005-0000-0000-000002000000}"/>
    <cellStyle name="Millares_Well Timing" xfId="8" xr:uid="{00000000-0005-0000-0000-000003000000}"/>
    <cellStyle name="Moneda [0]_Well Timing" xfId="9" xr:uid="{00000000-0005-0000-0000-000004000000}"/>
    <cellStyle name="Moneda_Well Timing" xfId="10" xr:uid="{00000000-0005-0000-0000-000005000000}"/>
    <cellStyle name="n" xfId="11" xr:uid="{00000000-0005-0000-0000-000006000000}"/>
    <cellStyle name="Normal" xfId="0" builtinId="0"/>
    <cellStyle name="Normal 18" xfId="33" xr:uid="{00000000-0005-0000-0000-000008000000}"/>
    <cellStyle name="Normal 2" xfId="2" xr:uid="{00000000-0005-0000-0000-000009000000}"/>
    <cellStyle name="Normal 20" xfId="34" xr:uid="{00000000-0005-0000-0000-00000A000000}"/>
    <cellStyle name="Normal 3" xfId="3" xr:uid="{00000000-0005-0000-0000-00000B000000}"/>
    <cellStyle name="Normal 38" xfId="35" xr:uid="{00000000-0005-0000-0000-00000C000000}"/>
    <cellStyle name="Normal 39" xfId="36" xr:uid="{00000000-0005-0000-0000-00000D000000}"/>
    <cellStyle name="Normal 4" xfId="4" xr:uid="{00000000-0005-0000-0000-00000E000000}"/>
    <cellStyle name="Normal 40" xfId="37" xr:uid="{00000000-0005-0000-0000-00000F000000}"/>
    <cellStyle name="Normal 41" xfId="38" xr:uid="{00000000-0005-0000-0000-000010000000}"/>
    <cellStyle name="Normal 5" xfId="1" xr:uid="{00000000-0005-0000-0000-000011000000}"/>
    <cellStyle name="Normal 6" xfId="32" xr:uid="{00000000-0005-0000-0000-000012000000}"/>
    <cellStyle name=" [0.00]_ Att. 1- Cover" xfId="12" xr:uid="{00000000-0005-0000-0000-000013000000}"/>
    <cellStyle name="_ Att. 1- Cover" xfId="13" xr:uid="{00000000-0005-0000-0000-000014000000}"/>
    <cellStyle name="?_ Att. 1- Cover" xfId="14" xr:uid="{00000000-0005-0000-0000-000015000000}"/>
    <cellStyle name="똿뗦먛귟 [0.00]_PRODUCT DETAIL Q1" xfId="15" xr:uid="{00000000-0005-0000-0000-000016000000}"/>
    <cellStyle name="똿뗦먛귟_PRODUCT DETAIL Q1" xfId="16" xr:uid="{00000000-0005-0000-0000-000017000000}"/>
    <cellStyle name="믅됞 [0.00]_PRODUCT DETAIL Q1" xfId="17" xr:uid="{00000000-0005-0000-0000-000018000000}"/>
    <cellStyle name="믅됞_PRODUCT DETAIL Q1" xfId="18" xr:uid="{00000000-0005-0000-0000-000019000000}"/>
    <cellStyle name="백분율_95" xfId="19" xr:uid="{00000000-0005-0000-0000-00001A000000}"/>
    <cellStyle name="뷭?_BOOKSHIP" xfId="20" xr:uid="{00000000-0005-0000-0000-00001B000000}"/>
    <cellStyle name="콤마 [0]_1202" xfId="21" xr:uid="{00000000-0005-0000-0000-00001C000000}"/>
    <cellStyle name="콤마_1202" xfId="22" xr:uid="{00000000-0005-0000-0000-00001D000000}"/>
    <cellStyle name="통화 [0]_1202" xfId="23" xr:uid="{00000000-0005-0000-0000-00001E000000}"/>
    <cellStyle name="통화_1202" xfId="24" xr:uid="{00000000-0005-0000-0000-00001F000000}"/>
    <cellStyle name="표준_(정보부문)월별인원계획" xfId="25" xr:uid="{00000000-0005-0000-0000-000020000000}"/>
    <cellStyle name="一般_99Q3647-ALL-CAS2" xfId="26" xr:uid="{00000000-0005-0000-0000-000021000000}"/>
    <cellStyle name="千分位[0]_Book1" xfId="27" xr:uid="{00000000-0005-0000-0000-000022000000}"/>
    <cellStyle name="千分位_99Q3647-ALL-CAS2" xfId="28" xr:uid="{00000000-0005-0000-0000-000023000000}"/>
    <cellStyle name="貨幣 [0]_Book1" xfId="29" xr:uid="{00000000-0005-0000-0000-000024000000}"/>
    <cellStyle name="貨幣[0]_BRE" xfId="30" xr:uid="{00000000-0005-0000-0000-000025000000}"/>
    <cellStyle name="貨幣_Book1" xfId="31" xr:uid="{00000000-0005-0000-0000-000026000000}"/>
  </cellStyles>
  <dxfs count="0"/>
  <tableStyles count="0" defaultTableStyle="TableStyleMedium2" defaultPivotStyle="PivotStyleLight16"/>
  <colors>
    <mruColors>
      <color rgb="FF0000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3"/>
  <sheetViews>
    <sheetView topLeftCell="A22" workbookViewId="0">
      <selection activeCell="I3" sqref="I3"/>
    </sheetView>
  </sheetViews>
  <sheetFormatPr defaultColWidth="10.7109375" defaultRowHeight="18" customHeight="1"/>
  <cols>
    <col min="1" max="1" width="12.7109375" style="1" customWidth="1"/>
    <col min="2" max="5" width="10.7109375" style="1"/>
    <col min="6" max="6" width="12.7109375" style="1" customWidth="1"/>
    <col min="7" max="7" width="10.7109375" style="11"/>
    <col min="8" max="8" width="10.7109375" style="1"/>
    <col min="9" max="9" width="12.7109375" style="1" customWidth="1"/>
    <col min="10" max="12" width="10.7109375" style="1"/>
    <col min="13" max="17" width="10.7109375" style="1" customWidth="1"/>
    <col min="18" max="16384" width="10.7109375" style="1"/>
  </cols>
  <sheetData>
    <row r="1" spans="1:25" ht="18" customHeight="1" thickBot="1">
      <c r="A1" s="136" t="s">
        <v>0</v>
      </c>
      <c r="B1" s="137"/>
      <c r="C1" s="137"/>
      <c r="D1" s="137"/>
      <c r="E1" s="137"/>
      <c r="F1" s="137"/>
      <c r="G1" s="138"/>
      <c r="H1" s="2"/>
      <c r="I1" s="2"/>
      <c r="J1" s="2"/>
      <c r="K1" s="2"/>
      <c r="M1" s="42"/>
      <c r="N1" s="42"/>
      <c r="O1" s="42"/>
      <c r="P1" s="42"/>
      <c r="Q1" s="42"/>
      <c r="R1" s="42"/>
      <c r="S1" s="42"/>
      <c r="T1" s="42"/>
      <c r="U1" s="42"/>
      <c r="V1" s="42"/>
      <c r="W1" s="87"/>
      <c r="X1" s="87"/>
      <c r="Y1" s="87"/>
    </row>
    <row r="2" spans="1:25" ht="18" customHeight="1">
      <c r="A2" s="139" t="s">
        <v>1</v>
      </c>
      <c r="B2" s="88" t="s">
        <v>147</v>
      </c>
      <c r="C2" s="89" t="s">
        <v>148</v>
      </c>
      <c r="D2" s="89" t="s">
        <v>149</v>
      </c>
      <c r="E2" s="89" t="s">
        <v>150</v>
      </c>
      <c r="F2" s="90" t="s">
        <v>151</v>
      </c>
      <c r="G2" s="91" t="s">
        <v>152</v>
      </c>
      <c r="H2" s="2"/>
      <c r="I2" s="2"/>
      <c r="J2" s="2"/>
      <c r="K2" s="2"/>
      <c r="M2" s="42"/>
      <c r="N2" s="42"/>
      <c r="O2" s="42"/>
      <c r="P2" s="42"/>
      <c r="Q2" s="42"/>
      <c r="R2" s="42"/>
      <c r="S2" s="43"/>
      <c r="T2" s="43"/>
      <c r="U2" s="42"/>
      <c r="V2" s="42"/>
      <c r="W2" s="87"/>
      <c r="X2" s="87"/>
      <c r="Y2" s="87"/>
    </row>
    <row r="3" spans="1:25" ht="18" customHeight="1" thickBot="1">
      <c r="A3" s="140"/>
      <c r="B3" s="120" t="s">
        <v>153</v>
      </c>
      <c r="C3" s="121" t="s">
        <v>153</v>
      </c>
      <c r="D3" s="121" t="s">
        <v>153</v>
      </c>
      <c r="E3" s="121" t="s">
        <v>153</v>
      </c>
      <c r="F3" s="122" t="s">
        <v>153</v>
      </c>
      <c r="G3" s="123" t="s">
        <v>154</v>
      </c>
      <c r="H3" s="2"/>
      <c r="M3" s="44"/>
      <c r="N3" s="44"/>
      <c r="O3" s="44"/>
      <c r="P3" s="44"/>
      <c r="Q3" s="44"/>
      <c r="R3" s="42"/>
      <c r="S3" s="44"/>
      <c r="T3" s="42"/>
      <c r="U3" s="42"/>
      <c r="V3" s="42"/>
      <c r="W3" s="87"/>
      <c r="X3" s="87"/>
      <c r="Y3" s="87"/>
    </row>
    <row r="4" spans="1:25" ht="18" customHeight="1">
      <c r="A4" s="124" t="s">
        <v>58</v>
      </c>
      <c r="B4" s="95">
        <v>21</v>
      </c>
      <c r="C4" s="96">
        <v>2.6</v>
      </c>
      <c r="D4" s="96">
        <v>27</v>
      </c>
      <c r="E4" s="96">
        <v>3.9</v>
      </c>
      <c r="F4" s="125">
        <v>95000</v>
      </c>
      <c r="G4" s="97" t="s">
        <v>95</v>
      </c>
      <c r="H4" s="2"/>
      <c r="M4" s="42"/>
      <c r="N4" s="42"/>
      <c r="O4" s="42"/>
      <c r="P4" s="42"/>
      <c r="Q4" s="42"/>
      <c r="R4" s="42"/>
      <c r="S4" s="44"/>
      <c r="T4" s="42"/>
      <c r="U4" s="42"/>
      <c r="V4" s="42"/>
      <c r="W4" s="42"/>
      <c r="X4" s="42"/>
      <c r="Y4" s="42"/>
    </row>
    <row r="5" spans="1:25" ht="18" customHeight="1" thickBot="1">
      <c r="A5" s="126" t="s">
        <v>5</v>
      </c>
      <c r="B5" s="98">
        <v>28</v>
      </c>
      <c r="C5" s="99">
        <v>3.7</v>
      </c>
      <c r="D5" s="100">
        <v>35</v>
      </c>
      <c r="E5" s="99">
        <v>5.5</v>
      </c>
      <c r="F5" s="127">
        <v>130000</v>
      </c>
      <c r="G5" s="101" t="s">
        <v>95</v>
      </c>
      <c r="H5" s="2"/>
      <c r="M5" s="42"/>
      <c r="N5" s="42"/>
      <c r="O5" s="42"/>
      <c r="P5" s="42"/>
      <c r="Q5" s="42"/>
      <c r="R5" s="42"/>
      <c r="S5" s="44"/>
      <c r="T5" s="42"/>
      <c r="U5" s="42"/>
      <c r="V5" s="42"/>
      <c r="W5" s="42"/>
      <c r="X5" s="42"/>
      <c r="Y5" s="42"/>
    </row>
    <row r="6" spans="1:25" ht="18" customHeight="1" thickBot="1">
      <c r="A6" s="126" t="s">
        <v>60</v>
      </c>
      <c r="B6" s="98">
        <v>45</v>
      </c>
      <c r="C6" s="99">
        <v>4.8</v>
      </c>
      <c r="D6" s="99">
        <v>55</v>
      </c>
      <c r="E6" s="99">
        <v>7</v>
      </c>
      <c r="F6" s="127">
        <v>160000</v>
      </c>
      <c r="G6" s="101" t="s">
        <v>95</v>
      </c>
      <c r="H6" s="2"/>
      <c r="I6" s="9" t="s">
        <v>19</v>
      </c>
      <c r="J6" s="143" t="s">
        <v>3</v>
      </c>
      <c r="K6" s="144"/>
      <c r="L6" s="57" t="s">
        <v>100</v>
      </c>
      <c r="M6" s="42"/>
      <c r="N6" s="42"/>
      <c r="O6" s="42"/>
      <c r="P6" s="42"/>
      <c r="Q6" s="45"/>
      <c r="R6" s="42"/>
      <c r="S6" s="44"/>
      <c r="T6" s="42"/>
      <c r="U6" s="42"/>
      <c r="V6" s="42"/>
      <c r="W6" s="42"/>
      <c r="X6" s="42"/>
      <c r="Y6" s="42"/>
    </row>
    <row r="7" spans="1:25" ht="18" customHeight="1">
      <c r="A7" s="126" t="s">
        <v>8</v>
      </c>
      <c r="B7" s="98">
        <v>60</v>
      </c>
      <c r="C7" s="100">
        <v>5.6</v>
      </c>
      <c r="D7" s="99">
        <v>75</v>
      </c>
      <c r="E7" s="99">
        <v>8.5</v>
      </c>
      <c r="F7" s="128">
        <v>190000</v>
      </c>
      <c r="G7" s="101" t="s">
        <v>95</v>
      </c>
      <c r="H7" s="2"/>
      <c r="I7" s="6" t="s">
        <v>4</v>
      </c>
      <c r="J7" s="12">
        <f>VLOOKUP($I$6,$A$4:$G$40,2,0)</f>
        <v>195</v>
      </c>
      <c r="K7" s="8" t="s">
        <v>2</v>
      </c>
      <c r="M7" s="42"/>
      <c r="N7" s="42"/>
      <c r="O7" s="42"/>
      <c r="P7" s="42"/>
      <c r="Q7" s="45"/>
      <c r="R7" s="42"/>
      <c r="S7" s="44"/>
      <c r="T7" s="42"/>
      <c r="U7" s="42"/>
      <c r="V7" s="42"/>
      <c r="W7" s="42"/>
      <c r="X7" s="42"/>
      <c r="Y7" s="42"/>
    </row>
    <row r="8" spans="1:25" ht="18" customHeight="1">
      <c r="A8" s="126" t="s">
        <v>61</v>
      </c>
      <c r="B8" s="98">
        <v>75</v>
      </c>
      <c r="C8" s="99">
        <v>6.6</v>
      </c>
      <c r="D8" s="99">
        <v>95</v>
      </c>
      <c r="E8" s="99">
        <v>10</v>
      </c>
      <c r="F8" s="128">
        <v>215000</v>
      </c>
      <c r="G8" s="102">
        <v>1.4</v>
      </c>
      <c r="H8" s="2"/>
      <c r="I8" s="6" t="s">
        <v>6</v>
      </c>
      <c r="J8" s="12">
        <f>VLOOKUP($I$6,$A$4:$G$40,3,0)</f>
        <v>13</v>
      </c>
      <c r="K8" s="8" t="s">
        <v>2</v>
      </c>
      <c r="M8" s="42"/>
      <c r="N8" s="42"/>
      <c r="O8" s="42"/>
      <c r="P8" s="42"/>
      <c r="Q8" s="45"/>
      <c r="R8" s="42"/>
      <c r="S8" s="44"/>
      <c r="T8" s="42"/>
      <c r="U8" s="42"/>
      <c r="V8" s="42"/>
      <c r="W8" s="42"/>
      <c r="X8" s="42"/>
      <c r="Y8" s="42"/>
    </row>
    <row r="9" spans="1:25" ht="18" customHeight="1">
      <c r="A9" s="126" t="s">
        <v>11</v>
      </c>
      <c r="B9" s="98">
        <v>85</v>
      </c>
      <c r="C9" s="99">
        <v>7.5</v>
      </c>
      <c r="D9" s="99">
        <v>110</v>
      </c>
      <c r="E9" s="100">
        <v>11</v>
      </c>
      <c r="F9" s="128">
        <v>240000</v>
      </c>
      <c r="G9" s="102">
        <v>1.6</v>
      </c>
      <c r="H9" s="2"/>
      <c r="I9" s="6" t="s">
        <v>7</v>
      </c>
      <c r="J9" s="12">
        <f>VLOOKUP($I$6,$A$4:$G$40,4,0)</f>
        <v>255</v>
      </c>
      <c r="K9" s="8" t="s">
        <v>2</v>
      </c>
      <c r="M9" s="42"/>
      <c r="N9" s="42"/>
      <c r="O9" s="42"/>
      <c r="P9" s="42"/>
      <c r="Q9" s="45"/>
      <c r="R9" s="42"/>
      <c r="S9" s="44"/>
      <c r="T9" s="42"/>
      <c r="U9" s="42"/>
      <c r="V9" s="42"/>
      <c r="W9" s="42"/>
      <c r="X9" s="42"/>
      <c r="Y9" s="42"/>
    </row>
    <row r="10" spans="1:25" ht="18" customHeight="1">
      <c r="A10" s="126" t="s">
        <v>12</v>
      </c>
      <c r="B10" s="98">
        <v>115</v>
      </c>
      <c r="C10" s="99">
        <v>9</v>
      </c>
      <c r="D10" s="99">
        <v>150</v>
      </c>
      <c r="E10" s="100">
        <v>13.5</v>
      </c>
      <c r="F10" s="128">
        <v>275000</v>
      </c>
      <c r="G10" s="102">
        <v>1.9</v>
      </c>
      <c r="H10" s="2"/>
      <c r="I10" s="6" t="s">
        <v>9</v>
      </c>
      <c r="J10" s="12">
        <f>VLOOKUP($I$6,$A$4:$G$40,5,0)</f>
        <v>19.5</v>
      </c>
      <c r="K10" s="8" t="s">
        <v>2</v>
      </c>
      <c r="M10" s="42"/>
      <c r="N10" s="42"/>
      <c r="O10" s="42"/>
      <c r="P10" s="42"/>
      <c r="Q10" s="45"/>
      <c r="R10" s="42"/>
      <c r="S10" s="44"/>
      <c r="T10" s="42"/>
      <c r="U10" s="42"/>
      <c r="V10" s="42"/>
      <c r="W10" s="42"/>
      <c r="X10" s="42"/>
      <c r="Y10" s="42"/>
    </row>
    <row r="11" spans="1:25" ht="18" customHeight="1">
      <c r="A11" s="126" t="s">
        <v>59</v>
      </c>
      <c r="B11" s="98">
        <v>130</v>
      </c>
      <c r="C11" s="99">
        <v>9.5</v>
      </c>
      <c r="D11" s="99">
        <v>165</v>
      </c>
      <c r="E11" s="100">
        <v>14.5</v>
      </c>
      <c r="F11" s="127">
        <v>285000</v>
      </c>
      <c r="G11" s="103">
        <v>2.0499999999999998</v>
      </c>
      <c r="H11" s="2"/>
      <c r="I11" s="47" t="s">
        <v>10</v>
      </c>
      <c r="J11" s="12">
        <f>VLOOKUP($I$6,$A$4:$G$40,6,0)</f>
        <v>345000</v>
      </c>
      <c r="K11" s="48" t="s">
        <v>2</v>
      </c>
      <c r="M11" s="42"/>
      <c r="N11" s="42"/>
      <c r="O11" s="42"/>
      <c r="P11" s="42"/>
      <c r="Q11" s="45"/>
      <c r="R11" s="42"/>
      <c r="S11" s="44"/>
      <c r="T11" s="42"/>
      <c r="U11" s="42"/>
      <c r="V11" s="42"/>
      <c r="W11" s="42"/>
      <c r="X11" s="42"/>
      <c r="Y11" s="42"/>
    </row>
    <row r="12" spans="1:25" ht="18" customHeight="1" thickBot="1">
      <c r="A12" s="126" t="s">
        <v>15</v>
      </c>
      <c r="B12" s="98">
        <v>145</v>
      </c>
      <c r="C12" s="99">
        <v>10.5</v>
      </c>
      <c r="D12" s="99">
        <v>185</v>
      </c>
      <c r="E12" s="100">
        <v>15.5</v>
      </c>
      <c r="F12" s="127">
        <v>300000</v>
      </c>
      <c r="G12" s="102">
        <v>2.2000000000000002</v>
      </c>
      <c r="H12" s="2"/>
      <c r="I12" s="7" t="s">
        <v>134</v>
      </c>
      <c r="J12" s="5">
        <f>VLOOKUP($I$6,$A$4:$G$40,7,0)</f>
        <v>2.9</v>
      </c>
      <c r="K12" s="10" t="s">
        <v>135</v>
      </c>
      <c r="M12" s="42"/>
      <c r="N12" s="42"/>
      <c r="O12" s="42"/>
      <c r="P12" s="42"/>
      <c r="Q12" s="45"/>
      <c r="R12" s="42"/>
      <c r="S12" s="44"/>
      <c r="T12" s="42"/>
      <c r="U12" s="42"/>
      <c r="V12" s="42"/>
      <c r="W12" s="42"/>
      <c r="X12" s="42"/>
      <c r="Y12" s="42"/>
    </row>
    <row r="13" spans="1:25" ht="18" customHeight="1" thickBot="1">
      <c r="A13" s="126" t="s">
        <v>17</v>
      </c>
      <c r="B13" s="98">
        <v>170</v>
      </c>
      <c r="C13" s="100">
        <v>11.5</v>
      </c>
      <c r="D13" s="99">
        <v>220</v>
      </c>
      <c r="E13" s="100">
        <v>17.5</v>
      </c>
      <c r="F13" s="127">
        <v>325000</v>
      </c>
      <c r="G13" s="102">
        <v>2.6</v>
      </c>
      <c r="H13" s="2"/>
      <c r="M13" s="42"/>
      <c r="N13" s="42"/>
      <c r="O13" s="42"/>
      <c r="P13" s="42"/>
      <c r="Q13" s="45"/>
      <c r="R13" s="42"/>
      <c r="S13" s="44"/>
      <c r="T13" s="42"/>
      <c r="U13" s="42"/>
      <c r="V13" s="42"/>
      <c r="W13" s="42"/>
      <c r="X13" s="42"/>
      <c r="Y13" s="42"/>
    </row>
    <row r="14" spans="1:25" ht="18" customHeight="1" thickBot="1">
      <c r="A14" s="126" t="s">
        <v>19</v>
      </c>
      <c r="B14" s="98">
        <v>195</v>
      </c>
      <c r="C14" s="99">
        <v>13</v>
      </c>
      <c r="D14" s="99">
        <v>255</v>
      </c>
      <c r="E14" s="99">
        <v>19.5</v>
      </c>
      <c r="F14" s="127">
        <v>345000</v>
      </c>
      <c r="G14" s="102">
        <v>2.9</v>
      </c>
      <c r="H14" s="2"/>
      <c r="I14" s="9" t="s">
        <v>50</v>
      </c>
      <c r="J14" s="143" t="s">
        <v>13</v>
      </c>
      <c r="K14" s="144"/>
      <c r="L14" s="57" t="s">
        <v>102</v>
      </c>
      <c r="M14" s="42"/>
      <c r="N14" s="42"/>
      <c r="O14" s="42"/>
      <c r="P14" s="42"/>
      <c r="Q14" s="45"/>
      <c r="R14" s="42"/>
      <c r="S14" s="44"/>
      <c r="T14" s="42"/>
      <c r="U14" s="42"/>
      <c r="V14" s="42"/>
      <c r="W14" s="42"/>
      <c r="X14" s="42"/>
      <c r="Y14" s="42"/>
    </row>
    <row r="15" spans="1:25" ht="18" customHeight="1">
      <c r="A15" s="126" t="s">
        <v>21</v>
      </c>
      <c r="B15" s="98">
        <v>220</v>
      </c>
      <c r="C15" s="99">
        <v>14</v>
      </c>
      <c r="D15" s="99">
        <v>290</v>
      </c>
      <c r="E15" s="99">
        <v>21</v>
      </c>
      <c r="F15" s="127">
        <v>360000</v>
      </c>
      <c r="G15" s="104">
        <v>3.02</v>
      </c>
      <c r="H15" s="2"/>
      <c r="I15" s="6" t="s">
        <v>14</v>
      </c>
      <c r="J15" s="4">
        <f>VLOOKUP($I$14,$A$45:$F$63,2,0)</f>
        <v>3500</v>
      </c>
      <c r="K15" s="8" t="s">
        <v>2</v>
      </c>
      <c r="M15" s="42"/>
      <c r="N15" s="42"/>
      <c r="O15" s="42"/>
      <c r="P15" s="42"/>
      <c r="Q15" s="42"/>
      <c r="R15" s="42"/>
      <c r="S15" s="44"/>
      <c r="T15" s="42"/>
      <c r="U15" s="42"/>
      <c r="V15" s="42"/>
      <c r="W15" s="42"/>
      <c r="X15" s="42"/>
      <c r="Y15" s="42"/>
    </row>
    <row r="16" spans="1:25" ht="18" customHeight="1">
      <c r="A16" s="126" t="s">
        <v>23</v>
      </c>
      <c r="B16" s="98">
        <v>250</v>
      </c>
      <c r="C16" s="100">
        <v>15</v>
      </c>
      <c r="D16" s="99">
        <v>320</v>
      </c>
      <c r="E16" s="100">
        <v>22.5</v>
      </c>
      <c r="F16" s="128">
        <v>370000</v>
      </c>
      <c r="G16" s="102">
        <v>3.2</v>
      </c>
      <c r="H16" s="2"/>
      <c r="I16" s="6" t="s">
        <v>16</v>
      </c>
      <c r="J16" s="4">
        <f>VLOOKUP($I$14,$A$45:$F$63,3,0)</f>
        <v>3500</v>
      </c>
      <c r="K16" s="8" t="s">
        <v>2</v>
      </c>
      <c r="M16" s="42"/>
      <c r="N16" s="42"/>
      <c r="O16" s="42"/>
      <c r="P16" s="42"/>
      <c r="Q16" s="42"/>
      <c r="R16" s="42"/>
      <c r="S16" s="44"/>
      <c r="T16" s="42"/>
      <c r="U16" s="42"/>
      <c r="V16" s="42"/>
      <c r="W16" s="42"/>
      <c r="X16" s="42"/>
      <c r="Y16" s="42"/>
    </row>
    <row r="17" spans="1:25" ht="18" customHeight="1">
      <c r="A17" s="126" t="s">
        <v>24</v>
      </c>
      <c r="B17" s="98">
        <v>275</v>
      </c>
      <c r="C17" s="100">
        <v>16</v>
      </c>
      <c r="D17" s="99">
        <v>360</v>
      </c>
      <c r="E17" s="100">
        <v>24.5</v>
      </c>
      <c r="F17" s="128">
        <v>380000</v>
      </c>
      <c r="G17" s="102">
        <v>3.5</v>
      </c>
      <c r="I17" s="6" t="s">
        <v>18</v>
      </c>
      <c r="J17" s="4">
        <f>VLOOKUP($I$14,$A$45:$F$63,4,0)</f>
        <v>2800</v>
      </c>
      <c r="K17" s="8" t="s">
        <v>2</v>
      </c>
      <c r="M17" s="86"/>
      <c r="N17" s="86"/>
      <c r="O17" s="42"/>
      <c r="P17" s="42"/>
      <c r="Q17" s="42"/>
      <c r="R17" s="42"/>
      <c r="S17" s="44"/>
      <c r="T17" s="42"/>
      <c r="U17" s="42"/>
      <c r="V17" s="42"/>
      <c r="W17" s="42"/>
      <c r="X17" s="42"/>
      <c r="Y17" s="42"/>
    </row>
    <row r="18" spans="1:25" ht="18" customHeight="1">
      <c r="A18" s="126" t="s">
        <v>25</v>
      </c>
      <c r="B18" s="98">
        <v>300</v>
      </c>
      <c r="C18" s="100">
        <v>17</v>
      </c>
      <c r="D18" s="99">
        <v>395</v>
      </c>
      <c r="E18" s="100">
        <v>26</v>
      </c>
      <c r="F18" s="128">
        <v>390000</v>
      </c>
      <c r="G18" s="102">
        <v>3.8</v>
      </c>
      <c r="I18" s="6" t="s">
        <v>20</v>
      </c>
      <c r="J18" s="4">
        <f>VLOOKUP($I$14,$A$45:$F$63,5,0)</f>
        <v>4000</v>
      </c>
      <c r="K18" s="8" t="s">
        <v>2</v>
      </c>
      <c r="M18" s="46"/>
      <c r="N18" s="46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</row>
    <row r="19" spans="1:25" ht="18" customHeight="1" thickBot="1">
      <c r="A19" s="126" t="s">
        <v>26</v>
      </c>
      <c r="B19" s="98">
        <v>330</v>
      </c>
      <c r="C19" s="100">
        <v>18</v>
      </c>
      <c r="D19" s="99">
        <v>430</v>
      </c>
      <c r="E19" s="100">
        <v>27.5</v>
      </c>
      <c r="F19" s="128">
        <v>395000</v>
      </c>
      <c r="G19" s="105">
        <v>4.0999999999999996</v>
      </c>
      <c r="I19" s="7" t="s">
        <v>22</v>
      </c>
      <c r="J19" s="5">
        <f>VLOOKUP($I$14,$A$45:$F$63,6,0)</f>
        <v>2000000</v>
      </c>
      <c r="K19" s="10" t="s">
        <v>2</v>
      </c>
      <c r="M19" s="42"/>
      <c r="N19" s="42"/>
      <c r="O19" s="42"/>
      <c r="P19" s="42"/>
      <c r="Q19" s="45"/>
      <c r="R19" s="42"/>
      <c r="S19" s="42"/>
      <c r="T19" s="42"/>
      <c r="U19" s="42"/>
      <c r="V19" s="42"/>
      <c r="W19" s="42"/>
      <c r="X19" s="42"/>
      <c r="Y19" s="42"/>
    </row>
    <row r="20" spans="1:25" ht="18" customHeight="1" thickBot="1">
      <c r="A20" s="126" t="s">
        <v>167</v>
      </c>
      <c r="B20" s="106">
        <v>350</v>
      </c>
      <c r="C20" s="100">
        <v>18.5</v>
      </c>
      <c r="D20" s="100">
        <v>465</v>
      </c>
      <c r="E20" s="100">
        <v>28.5</v>
      </c>
      <c r="F20" s="128">
        <v>400000</v>
      </c>
      <c r="G20" s="107">
        <v>4.2</v>
      </c>
      <c r="M20" s="42"/>
      <c r="N20" s="42"/>
      <c r="O20" s="42"/>
      <c r="P20" s="42"/>
      <c r="Q20" s="45"/>
      <c r="R20" s="42"/>
      <c r="S20" s="42"/>
      <c r="T20" s="42"/>
      <c r="U20" s="42"/>
      <c r="V20" s="42"/>
      <c r="W20" s="42"/>
      <c r="X20" s="42"/>
      <c r="Y20" s="42"/>
    </row>
    <row r="21" spans="1:25" ht="18" customHeight="1" thickBot="1">
      <c r="A21" s="126" t="s">
        <v>155</v>
      </c>
      <c r="B21" s="106">
        <v>370</v>
      </c>
      <c r="C21" s="100">
        <v>19</v>
      </c>
      <c r="D21" s="99">
        <v>500</v>
      </c>
      <c r="E21" s="100">
        <v>30</v>
      </c>
      <c r="F21" s="128">
        <v>410000</v>
      </c>
      <c r="G21" s="107">
        <v>4.4000000000000004</v>
      </c>
      <c r="I21" s="9" t="s">
        <v>49</v>
      </c>
      <c r="J21" s="143" t="s">
        <v>13</v>
      </c>
      <c r="K21" s="144"/>
      <c r="L21" s="57" t="s">
        <v>103</v>
      </c>
      <c r="M21" s="42"/>
      <c r="N21" s="42"/>
      <c r="O21" s="42"/>
      <c r="P21" s="42"/>
      <c r="Q21" s="45"/>
      <c r="R21" s="42"/>
      <c r="S21" s="42"/>
      <c r="T21" s="42"/>
      <c r="U21" s="42"/>
      <c r="V21" s="42"/>
      <c r="W21" s="42"/>
      <c r="X21" s="42"/>
      <c r="Y21" s="42"/>
    </row>
    <row r="22" spans="1:25" ht="18" customHeight="1">
      <c r="A22" s="126" t="s">
        <v>156</v>
      </c>
      <c r="B22" s="106">
        <v>410</v>
      </c>
      <c r="C22" s="100">
        <v>21</v>
      </c>
      <c r="D22" s="99">
        <v>570</v>
      </c>
      <c r="E22" s="100">
        <v>33</v>
      </c>
      <c r="F22" s="128">
        <v>420000</v>
      </c>
      <c r="G22" s="107">
        <v>4.5999999999999996</v>
      </c>
      <c r="I22" s="6" t="s">
        <v>14</v>
      </c>
      <c r="J22" s="12">
        <f>VLOOKUP($I$21,$A$45:$F$63,2,0)</f>
        <v>2600</v>
      </c>
      <c r="K22" s="8" t="s">
        <v>2</v>
      </c>
      <c r="M22" s="42"/>
      <c r="N22" s="42"/>
      <c r="O22" s="42"/>
      <c r="P22" s="42"/>
      <c r="Q22" s="45"/>
      <c r="R22" s="42"/>
      <c r="S22" s="42"/>
      <c r="T22" s="42"/>
      <c r="U22" s="42"/>
      <c r="V22" s="42"/>
      <c r="W22" s="42"/>
      <c r="X22" s="42"/>
      <c r="Y22" s="42"/>
    </row>
    <row r="23" spans="1:25" ht="18" customHeight="1">
      <c r="A23" s="126" t="s">
        <v>157</v>
      </c>
      <c r="B23" s="106">
        <v>440</v>
      </c>
      <c r="C23" s="100">
        <v>21.5</v>
      </c>
      <c r="D23" s="99">
        <v>640</v>
      </c>
      <c r="E23" s="100">
        <v>36</v>
      </c>
      <c r="F23" s="128">
        <v>425000</v>
      </c>
      <c r="G23" s="107">
        <v>4.8</v>
      </c>
      <c r="I23" s="6" t="s">
        <v>16</v>
      </c>
      <c r="J23" s="12">
        <f>VLOOKUP($I$21,$A$45:$F$63,3,0)</f>
        <v>2600</v>
      </c>
      <c r="K23" s="8" t="s">
        <v>2</v>
      </c>
      <c r="M23" s="42"/>
      <c r="N23" s="42"/>
      <c r="O23" s="42"/>
      <c r="P23" s="42"/>
      <c r="Q23" s="45"/>
      <c r="R23" s="42"/>
      <c r="S23" s="42"/>
      <c r="T23" s="42"/>
      <c r="U23" s="42"/>
      <c r="V23" s="42"/>
      <c r="W23" s="42"/>
      <c r="X23" s="42"/>
      <c r="Y23" s="42"/>
    </row>
    <row r="24" spans="1:25" ht="18" customHeight="1">
      <c r="A24" s="126" t="s">
        <v>158</v>
      </c>
      <c r="B24" s="106">
        <v>475</v>
      </c>
      <c r="C24" s="100">
        <v>22</v>
      </c>
      <c r="D24" s="99">
        <v>710</v>
      </c>
      <c r="E24" s="100">
        <v>38</v>
      </c>
      <c r="F24" s="128">
        <v>430000</v>
      </c>
      <c r="G24" s="129">
        <v>5</v>
      </c>
      <c r="I24" s="6" t="s">
        <v>18</v>
      </c>
      <c r="J24" s="12">
        <f>VLOOKUP($I$21,$A$45:$F$63,4,0)</f>
        <v>2100</v>
      </c>
      <c r="K24" s="8" t="s">
        <v>2</v>
      </c>
      <c r="M24" s="42"/>
      <c r="N24" s="42"/>
      <c r="O24" s="42"/>
      <c r="P24" s="42"/>
      <c r="Q24" s="45"/>
      <c r="R24" s="42"/>
      <c r="S24" s="42"/>
      <c r="T24" s="42"/>
      <c r="U24" s="42"/>
      <c r="V24" s="42"/>
      <c r="W24" s="42"/>
      <c r="X24" s="42"/>
      <c r="Y24" s="42"/>
    </row>
    <row r="25" spans="1:25" ht="18" customHeight="1">
      <c r="A25" s="126" t="s">
        <v>27</v>
      </c>
      <c r="B25" s="130">
        <v>21</v>
      </c>
      <c r="C25" s="131">
        <v>2.6</v>
      </c>
      <c r="D25" s="131">
        <v>2.7</v>
      </c>
      <c r="E25" s="131">
        <v>3.99</v>
      </c>
      <c r="F25" s="132">
        <v>95000</v>
      </c>
      <c r="G25" s="133" t="s">
        <v>95</v>
      </c>
      <c r="I25" s="6" t="s">
        <v>20</v>
      </c>
      <c r="J25" s="12">
        <f>VLOOKUP($I$21,$A$45:$F$63,5,0)</f>
        <v>3000</v>
      </c>
      <c r="K25" s="8" t="s">
        <v>2</v>
      </c>
      <c r="M25" s="42"/>
      <c r="N25" s="42"/>
      <c r="O25" s="42"/>
      <c r="P25" s="42"/>
      <c r="Q25" s="45"/>
      <c r="R25" s="42"/>
      <c r="S25" s="42"/>
      <c r="T25" s="42"/>
      <c r="U25" s="42"/>
      <c r="V25" s="42"/>
      <c r="W25" s="42"/>
      <c r="X25" s="42"/>
      <c r="Y25" s="42"/>
    </row>
    <row r="26" spans="1:25" ht="18" customHeight="1" thickBot="1">
      <c r="A26" s="126" t="s">
        <v>28</v>
      </c>
      <c r="B26" s="98">
        <v>28</v>
      </c>
      <c r="C26" s="99">
        <v>3.7</v>
      </c>
      <c r="D26" s="100">
        <v>35</v>
      </c>
      <c r="E26" s="99">
        <v>5.5</v>
      </c>
      <c r="F26" s="127">
        <v>130000</v>
      </c>
      <c r="G26" s="101" t="s">
        <v>95</v>
      </c>
      <c r="I26" s="7" t="s">
        <v>22</v>
      </c>
      <c r="J26" s="5">
        <f>VLOOKUP($I$21,$A$45:$F$63,6,0)</f>
        <v>2000000</v>
      </c>
      <c r="K26" s="10" t="s">
        <v>2</v>
      </c>
      <c r="M26" s="42"/>
      <c r="N26" s="42"/>
      <c r="O26" s="42"/>
      <c r="P26" s="42"/>
      <c r="Q26" s="45"/>
      <c r="R26" s="42"/>
      <c r="S26" s="42"/>
      <c r="T26" s="42"/>
      <c r="U26" s="42"/>
      <c r="V26" s="42"/>
      <c r="W26" s="42"/>
      <c r="X26" s="42"/>
      <c r="Y26" s="42"/>
    </row>
    <row r="27" spans="1:25" ht="18" customHeight="1">
      <c r="A27" s="126" t="s">
        <v>29</v>
      </c>
      <c r="B27" s="98">
        <v>45</v>
      </c>
      <c r="C27" s="99">
        <v>4.8</v>
      </c>
      <c r="D27" s="99">
        <v>55</v>
      </c>
      <c r="E27" s="99">
        <v>7</v>
      </c>
      <c r="F27" s="127">
        <v>160000</v>
      </c>
      <c r="G27" s="101" t="s">
        <v>95</v>
      </c>
      <c r="M27" s="42"/>
      <c r="N27" s="42"/>
      <c r="O27" s="42"/>
      <c r="P27" s="42"/>
      <c r="Q27" s="45"/>
      <c r="R27" s="42"/>
      <c r="S27" s="42"/>
      <c r="T27" s="42"/>
      <c r="U27" s="42"/>
      <c r="V27" s="42"/>
      <c r="W27" s="42"/>
      <c r="X27" s="42"/>
      <c r="Y27" s="42"/>
    </row>
    <row r="28" spans="1:25" ht="18" customHeight="1">
      <c r="A28" s="126" t="s">
        <v>30</v>
      </c>
      <c r="B28" s="98">
        <v>60</v>
      </c>
      <c r="C28" s="100">
        <v>5.6</v>
      </c>
      <c r="D28" s="99">
        <v>75</v>
      </c>
      <c r="E28" s="99">
        <v>8.5</v>
      </c>
      <c r="F28" s="128">
        <v>190000</v>
      </c>
      <c r="G28" s="101" t="s">
        <v>95</v>
      </c>
    </row>
    <row r="29" spans="1:25" ht="18" customHeight="1">
      <c r="A29" s="126" t="s">
        <v>31</v>
      </c>
      <c r="B29" s="98">
        <v>75</v>
      </c>
      <c r="C29" s="99">
        <v>6.6</v>
      </c>
      <c r="D29" s="99">
        <v>95</v>
      </c>
      <c r="E29" s="99">
        <v>10</v>
      </c>
      <c r="F29" s="128">
        <v>215000</v>
      </c>
      <c r="G29" s="102">
        <v>1.4</v>
      </c>
    </row>
    <row r="30" spans="1:25" ht="18" customHeight="1">
      <c r="A30" s="126" t="s">
        <v>32</v>
      </c>
      <c r="B30" s="98">
        <v>85</v>
      </c>
      <c r="C30" s="99">
        <v>7.5</v>
      </c>
      <c r="D30" s="99">
        <v>110</v>
      </c>
      <c r="E30" s="100">
        <v>11</v>
      </c>
      <c r="F30" s="128">
        <v>240000</v>
      </c>
      <c r="G30" s="102">
        <v>1.6</v>
      </c>
    </row>
    <row r="31" spans="1:25" ht="18" customHeight="1">
      <c r="A31" s="126" t="s">
        <v>33</v>
      </c>
      <c r="B31" s="98">
        <v>115</v>
      </c>
      <c r="C31" s="99">
        <v>9</v>
      </c>
      <c r="D31" s="99">
        <v>150</v>
      </c>
      <c r="E31" s="100">
        <v>13.5</v>
      </c>
      <c r="F31" s="128">
        <v>275000</v>
      </c>
      <c r="G31" s="102">
        <v>1.9</v>
      </c>
    </row>
    <row r="32" spans="1:25" ht="18" customHeight="1">
      <c r="A32" s="126" t="s">
        <v>34</v>
      </c>
      <c r="B32" s="98">
        <v>130</v>
      </c>
      <c r="C32" s="99">
        <v>9.5</v>
      </c>
      <c r="D32" s="99">
        <v>165</v>
      </c>
      <c r="E32" s="100">
        <v>14.5</v>
      </c>
      <c r="F32" s="127">
        <v>285000</v>
      </c>
      <c r="G32" s="104">
        <v>2.0499999999999998</v>
      </c>
    </row>
    <row r="33" spans="1:7" ht="18" customHeight="1">
      <c r="A33" s="126" t="s">
        <v>35</v>
      </c>
      <c r="B33" s="98">
        <v>145</v>
      </c>
      <c r="C33" s="99">
        <v>10.5</v>
      </c>
      <c r="D33" s="99">
        <v>185</v>
      </c>
      <c r="E33" s="100">
        <v>15.5</v>
      </c>
      <c r="F33" s="127">
        <v>300000</v>
      </c>
      <c r="G33" s="102">
        <v>2.2000000000000002</v>
      </c>
    </row>
    <row r="34" spans="1:7" ht="18" customHeight="1">
      <c r="A34" s="126" t="s">
        <v>36</v>
      </c>
      <c r="B34" s="98">
        <v>170</v>
      </c>
      <c r="C34" s="100">
        <v>11.5</v>
      </c>
      <c r="D34" s="99">
        <v>220</v>
      </c>
      <c r="E34" s="100">
        <v>17.5</v>
      </c>
      <c r="F34" s="127">
        <v>325000</v>
      </c>
      <c r="G34" s="102">
        <v>2.6</v>
      </c>
    </row>
    <row r="35" spans="1:7" ht="18" customHeight="1">
      <c r="A35" s="126" t="s">
        <v>37</v>
      </c>
      <c r="B35" s="98">
        <v>195</v>
      </c>
      <c r="C35" s="99">
        <v>13</v>
      </c>
      <c r="D35" s="99">
        <v>255</v>
      </c>
      <c r="E35" s="99">
        <v>19.5</v>
      </c>
      <c r="F35" s="127">
        <v>345000</v>
      </c>
      <c r="G35" s="102">
        <v>2.9</v>
      </c>
    </row>
    <row r="36" spans="1:7" s="11" customFormat="1" ht="18" customHeight="1">
      <c r="A36" s="126" t="s">
        <v>38</v>
      </c>
      <c r="B36" s="98">
        <v>220</v>
      </c>
      <c r="C36" s="99">
        <v>14</v>
      </c>
      <c r="D36" s="99">
        <v>290</v>
      </c>
      <c r="E36" s="99">
        <v>21</v>
      </c>
      <c r="F36" s="127">
        <v>360000</v>
      </c>
      <c r="G36" s="104">
        <v>3.02</v>
      </c>
    </row>
    <row r="37" spans="1:7" s="11" customFormat="1" ht="18" customHeight="1">
      <c r="A37" s="126" t="s">
        <v>39</v>
      </c>
      <c r="B37" s="98">
        <v>250</v>
      </c>
      <c r="C37" s="100">
        <v>15</v>
      </c>
      <c r="D37" s="99">
        <v>320</v>
      </c>
      <c r="E37" s="100">
        <v>22.5</v>
      </c>
      <c r="F37" s="128">
        <v>370000</v>
      </c>
      <c r="G37" s="102">
        <v>3.2</v>
      </c>
    </row>
    <row r="38" spans="1:7" s="11" customFormat="1" ht="18" customHeight="1">
      <c r="A38" s="126" t="s">
        <v>40</v>
      </c>
      <c r="B38" s="98">
        <v>275</v>
      </c>
      <c r="C38" s="100">
        <v>16</v>
      </c>
      <c r="D38" s="99">
        <v>360</v>
      </c>
      <c r="E38" s="100">
        <v>24.5</v>
      </c>
      <c r="F38" s="128">
        <v>380000</v>
      </c>
      <c r="G38" s="102">
        <v>3.5</v>
      </c>
    </row>
    <row r="39" spans="1:7" s="11" customFormat="1" ht="18" customHeight="1">
      <c r="A39" s="126" t="s">
        <v>41</v>
      </c>
      <c r="B39" s="98">
        <v>300</v>
      </c>
      <c r="C39" s="100">
        <v>17</v>
      </c>
      <c r="D39" s="99">
        <v>395</v>
      </c>
      <c r="E39" s="100">
        <v>26</v>
      </c>
      <c r="F39" s="128">
        <v>390000</v>
      </c>
      <c r="G39" s="102">
        <v>3.8</v>
      </c>
    </row>
    <row r="40" spans="1:7" s="11" customFormat="1" ht="18" customHeight="1" thickBot="1">
      <c r="A40" s="134" t="s">
        <v>42</v>
      </c>
      <c r="B40" s="108">
        <v>330</v>
      </c>
      <c r="C40" s="109">
        <v>18</v>
      </c>
      <c r="D40" s="110">
        <v>430</v>
      </c>
      <c r="E40" s="109">
        <v>27.5</v>
      </c>
      <c r="F40" s="135">
        <v>395000</v>
      </c>
      <c r="G40" s="111">
        <v>4.0999999999999996</v>
      </c>
    </row>
    <row r="41" spans="1:7" ht="18" customHeight="1" thickBot="1">
      <c r="A41" s="2"/>
      <c r="B41" s="2"/>
      <c r="C41" s="2"/>
      <c r="D41" s="2"/>
      <c r="E41" s="2"/>
      <c r="F41" s="2"/>
      <c r="G41" s="34"/>
    </row>
    <row r="42" spans="1:7" ht="18" customHeight="1" thickBot="1">
      <c r="A42" s="136" t="s">
        <v>43</v>
      </c>
      <c r="B42" s="137"/>
      <c r="C42" s="137"/>
      <c r="D42" s="137"/>
      <c r="E42" s="137"/>
      <c r="F42" s="138"/>
      <c r="G42" s="16"/>
    </row>
    <row r="43" spans="1:7" ht="18" customHeight="1">
      <c r="A43" s="141" t="s">
        <v>1</v>
      </c>
      <c r="B43" s="88" t="s">
        <v>159</v>
      </c>
      <c r="C43" s="89" t="s">
        <v>160</v>
      </c>
      <c r="D43" s="89" t="s">
        <v>161</v>
      </c>
      <c r="E43" s="89" t="s">
        <v>162</v>
      </c>
      <c r="F43" s="91" t="s">
        <v>163</v>
      </c>
      <c r="G43" s="16"/>
    </row>
    <row r="44" spans="1:7" ht="18" customHeight="1" thickBot="1">
      <c r="A44" s="142"/>
      <c r="B44" s="92" t="s">
        <v>153</v>
      </c>
      <c r="C44" s="93" t="s">
        <v>153</v>
      </c>
      <c r="D44" s="93" t="s">
        <v>153</v>
      </c>
      <c r="E44" s="93" t="s">
        <v>153</v>
      </c>
      <c r="F44" s="94" t="s">
        <v>153</v>
      </c>
      <c r="G44" s="32"/>
    </row>
    <row r="45" spans="1:7" ht="18" customHeight="1">
      <c r="A45" s="112" t="s">
        <v>44</v>
      </c>
      <c r="B45" s="113">
        <v>2250</v>
      </c>
      <c r="C45" s="99">
        <v>2250</v>
      </c>
      <c r="D45" s="99">
        <v>1750</v>
      </c>
      <c r="E45" s="99">
        <v>2350</v>
      </c>
      <c r="F45" s="114">
        <v>2100000</v>
      </c>
      <c r="G45" s="33"/>
    </row>
    <row r="46" spans="1:7" ht="18" customHeight="1">
      <c r="A46" s="112" t="s">
        <v>45</v>
      </c>
      <c r="B46" s="113">
        <v>2800</v>
      </c>
      <c r="C46" s="99">
        <v>2800</v>
      </c>
      <c r="D46" s="99">
        <v>2250</v>
      </c>
      <c r="E46" s="99">
        <v>2950</v>
      </c>
      <c r="F46" s="114">
        <v>2100000</v>
      </c>
      <c r="G46" s="33"/>
    </row>
    <row r="47" spans="1:7" s="3" customFormat="1" ht="18" customHeight="1">
      <c r="A47" s="112" t="s">
        <v>164</v>
      </c>
      <c r="B47" s="113">
        <v>3350</v>
      </c>
      <c r="C47" s="99">
        <v>3550</v>
      </c>
      <c r="D47" s="99">
        <v>2850</v>
      </c>
      <c r="E47" s="99">
        <v>3900</v>
      </c>
      <c r="F47" s="114">
        <v>2000000</v>
      </c>
      <c r="G47" s="33"/>
    </row>
    <row r="48" spans="1:7" ht="18" customHeight="1">
      <c r="A48" s="112" t="s">
        <v>57</v>
      </c>
      <c r="B48" s="113">
        <v>3650</v>
      </c>
      <c r="C48" s="99">
        <v>3650</v>
      </c>
      <c r="D48" s="99">
        <v>2900</v>
      </c>
      <c r="E48" s="99">
        <v>3900</v>
      </c>
      <c r="F48" s="114">
        <v>2000000</v>
      </c>
      <c r="G48" s="33"/>
    </row>
    <row r="49" spans="1:7" ht="18" customHeight="1">
      <c r="A49" s="112" t="s">
        <v>46</v>
      </c>
      <c r="B49" s="113">
        <v>5100</v>
      </c>
      <c r="C49" s="99">
        <v>4500</v>
      </c>
      <c r="D49" s="99">
        <v>4050</v>
      </c>
      <c r="E49" s="99">
        <v>5900</v>
      </c>
      <c r="F49" s="114">
        <v>1900000</v>
      </c>
      <c r="G49" s="33"/>
    </row>
    <row r="50" spans="1:7" ht="18" customHeight="1">
      <c r="A50" s="112" t="s">
        <v>47</v>
      </c>
      <c r="B50" s="113">
        <v>6800</v>
      </c>
      <c r="C50" s="99">
        <v>5000</v>
      </c>
      <c r="D50" s="99">
        <v>5450</v>
      </c>
      <c r="E50" s="99">
        <v>7880</v>
      </c>
      <c r="F50" s="114">
        <v>1900000</v>
      </c>
      <c r="G50" s="33"/>
    </row>
    <row r="51" spans="1:7" ht="18" customHeight="1">
      <c r="A51" s="112" t="s">
        <v>48</v>
      </c>
      <c r="B51" s="113">
        <v>8150</v>
      </c>
      <c r="C51" s="99">
        <v>5000</v>
      </c>
      <c r="D51" s="99">
        <v>6500</v>
      </c>
      <c r="E51" s="99">
        <v>9800</v>
      </c>
      <c r="F51" s="114">
        <v>1900000</v>
      </c>
      <c r="G51" s="33"/>
    </row>
    <row r="52" spans="1:7" s="3" customFormat="1" ht="18" customHeight="1">
      <c r="A52" s="112" t="s">
        <v>52</v>
      </c>
      <c r="B52" s="113">
        <v>9800</v>
      </c>
      <c r="C52" s="99">
        <v>5000</v>
      </c>
      <c r="D52" s="99">
        <v>7850</v>
      </c>
      <c r="E52" s="99">
        <v>11750</v>
      </c>
      <c r="F52" s="114">
        <v>1900000</v>
      </c>
      <c r="G52" s="33"/>
    </row>
    <row r="53" spans="1:7" s="3" customFormat="1" ht="18" customHeight="1">
      <c r="A53" s="112" t="s">
        <v>53</v>
      </c>
      <c r="B53" s="113">
        <v>4900</v>
      </c>
      <c r="C53" s="99">
        <v>2000</v>
      </c>
      <c r="D53" s="99">
        <v>3900</v>
      </c>
      <c r="E53" s="99">
        <v>5400</v>
      </c>
      <c r="F53" s="114">
        <v>1800000</v>
      </c>
      <c r="G53" s="33"/>
    </row>
    <row r="54" spans="1:7" s="3" customFormat="1" ht="18" customHeight="1">
      <c r="A54" s="112" t="s">
        <v>54</v>
      </c>
      <c r="B54" s="113">
        <v>2250</v>
      </c>
      <c r="C54" s="99">
        <v>2250</v>
      </c>
      <c r="D54" s="99">
        <v>1750</v>
      </c>
      <c r="E54" s="99">
        <v>2350</v>
      </c>
      <c r="F54" s="114">
        <v>2100000</v>
      </c>
      <c r="G54" s="33"/>
    </row>
    <row r="55" spans="1:7" s="3" customFormat="1" ht="18" customHeight="1">
      <c r="A55" s="112" t="s">
        <v>55</v>
      </c>
      <c r="B55" s="113">
        <v>2800</v>
      </c>
      <c r="C55" s="99">
        <v>2800</v>
      </c>
      <c r="D55" s="99">
        <v>2250</v>
      </c>
      <c r="E55" s="99">
        <v>2950</v>
      </c>
      <c r="F55" s="114">
        <v>2100000</v>
      </c>
      <c r="G55" s="33"/>
    </row>
    <row r="56" spans="1:7" s="3" customFormat="1" ht="18" customHeight="1">
      <c r="A56" s="112" t="s">
        <v>165</v>
      </c>
      <c r="B56" s="113">
        <v>3350</v>
      </c>
      <c r="C56" s="99">
        <v>3550</v>
      </c>
      <c r="D56" s="99">
        <v>2850</v>
      </c>
      <c r="E56" s="99">
        <v>3900</v>
      </c>
      <c r="F56" s="114">
        <v>2000000</v>
      </c>
      <c r="G56" s="33"/>
    </row>
    <row r="57" spans="1:7" s="3" customFormat="1" ht="18" customHeight="1">
      <c r="A57" s="112" t="s">
        <v>166</v>
      </c>
      <c r="B57" s="113">
        <v>3650</v>
      </c>
      <c r="C57" s="99">
        <v>3650</v>
      </c>
      <c r="D57" s="99">
        <v>2900</v>
      </c>
      <c r="E57" s="99">
        <v>3900</v>
      </c>
      <c r="F57" s="114">
        <v>2000000</v>
      </c>
      <c r="G57" s="33"/>
    </row>
    <row r="58" spans="1:7" s="3" customFormat="1" ht="18" customHeight="1">
      <c r="A58" s="112" t="s">
        <v>56</v>
      </c>
      <c r="B58" s="113">
        <v>5100</v>
      </c>
      <c r="C58" s="99">
        <v>4500</v>
      </c>
      <c r="D58" s="99">
        <v>4050</v>
      </c>
      <c r="E58" s="99">
        <v>5900</v>
      </c>
      <c r="F58" s="114">
        <v>1900000</v>
      </c>
      <c r="G58" s="33"/>
    </row>
    <row r="59" spans="1:7" s="11" customFormat="1" ht="18" customHeight="1">
      <c r="A59" s="112" t="s">
        <v>138</v>
      </c>
      <c r="B59" s="115">
        <v>2100</v>
      </c>
      <c r="C59" s="100">
        <v>2100</v>
      </c>
      <c r="D59" s="100">
        <v>1700</v>
      </c>
      <c r="E59" s="99">
        <v>2400</v>
      </c>
      <c r="F59" s="114">
        <v>2000000</v>
      </c>
      <c r="G59" s="33"/>
    </row>
    <row r="60" spans="1:7" s="11" customFormat="1" ht="18" customHeight="1">
      <c r="A60" s="112" t="s">
        <v>139</v>
      </c>
      <c r="B60" s="115">
        <v>2600</v>
      </c>
      <c r="C60" s="100">
        <v>2600</v>
      </c>
      <c r="D60" s="100">
        <v>2100</v>
      </c>
      <c r="E60" s="99">
        <v>3000</v>
      </c>
      <c r="F60" s="114">
        <v>2000000</v>
      </c>
      <c r="G60" s="33"/>
    </row>
    <row r="61" spans="1:7" ht="18" customHeight="1">
      <c r="A61" s="112" t="s">
        <v>49</v>
      </c>
      <c r="B61" s="115">
        <v>2600</v>
      </c>
      <c r="C61" s="100">
        <v>2600</v>
      </c>
      <c r="D61" s="100">
        <v>2100</v>
      </c>
      <c r="E61" s="99">
        <v>3000</v>
      </c>
      <c r="F61" s="114">
        <v>2000000</v>
      </c>
      <c r="G61" s="33"/>
    </row>
    <row r="62" spans="1:7" ht="18" customHeight="1">
      <c r="A62" s="112" t="s">
        <v>50</v>
      </c>
      <c r="B62" s="115">
        <v>3500</v>
      </c>
      <c r="C62" s="100">
        <v>3500</v>
      </c>
      <c r="D62" s="100">
        <v>2800</v>
      </c>
      <c r="E62" s="99">
        <v>4000</v>
      </c>
      <c r="F62" s="114">
        <v>2000000</v>
      </c>
      <c r="G62" s="33"/>
    </row>
    <row r="63" spans="1:7" ht="18" customHeight="1" thickBot="1">
      <c r="A63" s="116" t="s">
        <v>51</v>
      </c>
      <c r="B63" s="117">
        <v>4350</v>
      </c>
      <c r="C63" s="109">
        <v>4350</v>
      </c>
      <c r="D63" s="109">
        <v>3000</v>
      </c>
      <c r="E63" s="110">
        <v>5000</v>
      </c>
      <c r="F63" s="118">
        <v>2000000</v>
      </c>
      <c r="G63" s="33"/>
    </row>
  </sheetData>
  <mergeCells count="7">
    <mergeCell ref="A1:G1"/>
    <mergeCell ref="A2:A3"/>
    <mergeCell ref="A43:A44"/>
    <mergeCell ref="A42:F42"/>
    <mergeCell ref="J6:K6"/>
    <mergeCell ref="J14:K14"/>
    <mergeCell ref="J21:K21"/>
  </mergeCells>
  <dataValidations count="2">
    <dataValidation type="list" allowBlank="1" showInputMessage="1" showErrorMessage="1" sqref="I14 I21" xr:uid="{00000000-0002-0000-0000-000000000000}">
      <formula1>$A$45:$A$63</formula1>
    </dataValidation>
    <dataValidation type="list" allowBlank="1" showInputMessage="1" showErrorMessage="1" sqref="I6 M4" xr:uid="{00000000-0002-0000-0000-000001000000}">
      <formula1>$A$4:$A$35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9"/>
  <sheetViews>
    <sheetView workbookViewId="0">
      <selection activeCell="J25" sqref="J25"/>
    </sheetView>
  </sheetViews>
  <sheetFormatPr defaultColWidth="12.7109375" defaultRowHeight="18" customHeight="1"/>
  <cols>
    <col min="1" max="3" width="12.7109375" style="51"/>
    <col min="4" max="5" width="14.7109375" style="51" customWidth="1"/>
    <col min="6" max="16384" width="12.7109375" style="51"/>
  </cols>
  <sheetData>
    <row r="1" spans="1:14" ht="18" customHeight="1">
      <c r="A1" s="50"/>
    </row>
    <row r="2" spans="1:14" ht="18" customHeight="1">
      <c r="A2" s="67" t="s">
        <v>100</v>
      </c>
      <c r="B2" s="52" t="str">
        <f>DaTa!I6</f>
        <v>B35</v>
      </c>
      <c r="E2" s="52" t="s">
        <v>105</v>
      </c>
      <c r="F2" s="52">
        <f>DaTa!J7</f>
        <v>195</v>
      </c>
      <c r="G2" s="52" t="s">
        <v>104</v>
      </c>
      <c r="H2" s="52"/>
      <c r="I2" s="52"/>
      <c r="J2" s="52"/>
      <c r="K2" s="52"/>
      <c r="L2" s="52"/>
      <c r="M2" s="52"/>
      <c r="N2" s="53"/>
    </row>
    <row r="3" spans="1:14" ht="18" customHeight="1">
      <c r="A3" s="54"/>
      <c r="B3" s="54"/>
      <c r="E3" s="58" t="s">
        <v>106</v>
      </c>
      <c r="F3" s="52">
        <f>DaTa!J8</f>
        <v>13</v>
      </c>
      <c r="G3" s="52" t="s">
        <v>104</v>
      </c>
      <c r="H3" s="54"/>
      <c r="I3" s="54"/>
      <c r="J3" s="54"/>
      <c r="K3" s="54"/>
      <c r="L3" s="54"/>
      <c r="M3" s="54"/>
      <c r="N3" s="55"/>
    </row>
    <row r="4" spans="1:14" ht="18" customHeight="1">
      <c r="A4" s="61" t="s">
        <v>101</v>
      </c>
      <c r="B4" s="56" t="str">
        <f>DaTa!I21</f>
        <v>CB300V</v>
      </c>
      <c r="E4" s="56" t="s">
        <v>107</v>
      </c>
      <c r="F4" s="56">
        <f>DaTa!J24</f>
        <v>2100</v>
      </c>
      <c r="G4" s="52" t="s">
        <v>104</v>
      </c>
    </row>
    <row r="5" spans="1:14" ht="18" customHeight="1">
      <c r="A5" s="61" t="s">
        <v>111</v>
      </c>
      <c r="E5" s="56" t="s">
        <v>112</v>
      </c>
      <c r="F5" s="56">
        <v>30</v>
      </c>
      <c r="G5" s="59" t="s">
        <v>81</v>
      </c>
    </row>
    <row r="6" spans="1:14" ht="18" customHeight="1">
      <c r="A6" s="50"/>
      <c r="E6" s="56" t="s">
        <v>113</v>
      </c>
      <c r="F6" s="56">
        <v>60</v>
      </c>
      <c r="G6" s="59" t="s">
        <v>81</v>
      </c>
    </row>
    <row r="7" spans="1:14" ht="18" customHeight="1">
      <c r="A7" s="50"/>
      <c r="E7" s="60" t="s">
        <v>114</v>
      </c>
      <c r="F7" s="56">
        <v>4</v>
      </c>
      <c r="G7" s="59" t="s">
        <v>81</v>
      </c>
    </row>
    <row r="8" spans="1:14" ht="18" customHeight="1">
      <c r="A8" s="50"/>
      <c r="E8" s="60" t="s">
        <v>131</v>
      </c>
      <c r="F8" s="56">
        <f>F6-F7</f>
        <v>56</v>
      </c>
      <c r="G8" s="59" t="s">
        <v>81</v>
      </c>
    </row>
    <row r="9" spans="1:14" ht="18" customHeight="1">
      <c r="A9" s="61" t="s">
        <v>108</v>
      </c>
      <c r="B9" s="56"/>
      <c r="E9" s="68" t="s">
        <v>109</v>
      </c>
      <c r="F9" s="68">
        <v>266.38</v>
      </c>
      <c r="G9" s="60" t="s">
        <v>137</v>
      </c>
    </row>
    <row r="10" spans="1:14" ht="18" customHeight="1">
      <c r="A10" s="61" t="s">
        <v>110</v>
      </c>
      <c r="D10" s="146" t="s">
        <v>115</v>
      </c>
      <c r="E10" s="146"/>
      <c r="F10" s="62">
        <f>0.6*F3*F5*F8/100</f>
        <v>131.04</v>
      </c>
      <c r="G10" s="59" t="s">
        <v>137</v>
      </c>
    </row>
    <row r="11" spans="1:14" ht="18" customHeight="1">
      <c r="A11" s="61" t="s">
        <v>116</v>
      </c>
      <c r="D11" s="146" t="s">
        <v>117</v>
      </c>
      <c r="E11" s="146"/>
      <c r="F11" s="56">
        <f>0.3*F2*F5*F8/100</f>
        <v>982.8</v>
      </c>
      <c r="G11" s="59" t="s">
        <v>137</v>
      </c>
    </row>
    <row r="12" spans="1:14" ht="18" customHeight="1">
      <c r="A12" s="61" t="s">
        <v>118</v>
      </c>
      <c r="B12" s="66" t="str">
        <f>IF(F9&lt;F10,"Không cần tính cốt đai. Đặt cốt đai theo cấu tạo.",IF(F9&gt;F11,"Tăng tiết diện.","Cốt đai đặt theo tính toán."))</f>
        <v>Cốt đai đặt theo tính toán.</v>
      </c>
    </row>
    <row r="13" spans="1:14" ht="18" customHeight="1">
      <c r="A13" s="61" t="s">
        <v>119</v>
      </c>
      <c r="C13" s="84">
        <v>12</v>
      </c>
      <c r="E13" s="64" t="s">
        <v>123</v>
      </c>
      <c r="F13" s="62">
        <f>0.25*PI()*(C13/10)^2</f>
        <v>1.1309733552923256</v>
      </c>
      <c r="G13" s="59" t="s">
        <v>122</v>
      </c>
    </row>
    <row r="14" spans="1:14" ht="18" customHeight="1">
      <c r="A14" s="61" t="s">
        <v>120</v>
      </c>
      <c r="C14" s="68">
        <v>2</v>
      </c>
      <c r="D14" s="63" t="s">
        <v>121</v>
      </c>
      <c r="E14" s="64" t="s">
        <v>124</v>
      </c>
      <c r="F14" s="62">
        <f>F13*C14</f>
        <v>2.2619467105846511</v>
      </c>
      <c r="G14" s="59" t="s">
        <v>122</v>
      </c>
    </row>
    <row r="15" spans="1:14" ht="18" customHeight="1">
      <c r="A15" s="61" t="s">
        <v>128</v>
      </c>
      <c r="D15" s="147" t="s">
        <v>129</v>
      </c>
      <c r="E15" s="147"/>
      <c r="F15" s="65">
        <f>(F14*F4*4.5*F3*F5*F8^2/100/100)/(F9^2)</f>
        <v>36.842713551977319</v>
      </c>
      <c r="G15" s="56" t="s">
        <v>81</v>
      </c>
    </row>
    <row r="16" spans="1:14" ht="18" customHeight="1">
      <c r="A16" s="61" t="s">
        <v>127</v>
      </c>
      <c r="D16" s="147" t="s">
        <v>130</v>
      </c>
      <c r="E16" s="147"/>
      <c r="F16" s="65">
        <f>(F3*F5*F6^2/100)/F9</f>
        <v>52.706659659133571</v>
      </c>
      <c r="G16" s="56" t="s">
        <v>81</v>
      </c>
    </row>
    <row r="17" spans="1:7" ht="18" customHeight="1">
      <c r="A17" s="61" t="s">
        <v>125</v>
      </c>
      <c r="D17" s="147" t="s">
        <v>126</v>
      </c>
      <c r="E17" s="147"/>
      <c r="F17" s="56">
        <f>MIN(0.5*F8,30)</f>
        <v>28</v>
      </c>
      <c r="G17" s="56" t="s">
        <v>81</v>
      </c>
    </row>
    <row r="19" spans="1:7" ht="18" customHeight="1">
      <c r="C19" s="145" t="s">
        <v>132</v>
      </c>
      <c r="D19" s="145"/>
      <c r="E19" s="145"/>
      <c r="F19" s="69">
        <f>MIN(F15,F16,F17)</f>
        <v>28</v>
      </c>
      <c r="G19" s="56" t="s">
        <v>81</v>
      </c>
    </row>
  </sheetData>
  <mergeCells count="6">
    <mergeCell ref="C19:E19"/>
    <mergeCell ref="D10:E10"/>
    <mergeCell ref="D11:E11"/>
    <mergeCell ref="D17:E17"/>
    <mergeCell ref="D16:E16"/>
    <mergeCell ref="D15:E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79"/>
  <sheetViews>
    <sheetView tabSelected="1" view="pageBreakPreview" topLeftCell="A7" zoomScale="85" zoomScaleNormal="100" zoomScaleSheetLayoutView="85" workbookViewId="0">
      <selection activeCell="K20" sqref="K20:K23"/>
    </sheetView>
  </sheetViews>
  <sheetFormatPr defaultColWidth="9.140625" defaultRowHeight="18" customHeight="1"/>
  <cols>
    <col min="1" max="1" width="12.7109375" style="3" customWidth="1"/>
    <col min="2" max="3" width="9.140625" style="3"/>
    <col min="4" max="4" width="9.85546875" style="3" bestFit="1" customWidth="1"/>
    <col min="5" max="6" width="9.28515625" style="3" bestFit="1" customWidth="1"/>
    <col min="7" max="7" width="9.140625" style="3" customWidth="1"/>
    <col min="8" max="9" width="9.28515625" style="3" bestFit="1" customWidth="1"/>
    <col min="10" max="10" width="10.28515625" style="11" bestFit="1" customWidth="1"/>
    <col min="11" max="11" width="9.28515625" style="3" bestFit="1" customWidth="1"/>
    <col min="12" max="12" width="9.140625" style="11"/>
    <col min="13" max="16" width="4.85546875" style="11" customWidth="1"/>
    <col min="17" max="18" width="4.85546875" style="3" customWidth="1"/>
    <col min="19" max="19" width="13" style="11" customWidth="1"/>
    <col min="20" max="20" width="12.28515625" style="3" bestFit="1" customWidth="1"/>
    <col min="21" max="23" width="9.28515625" style="3" bestFit="1" customWidth="1"/>
    <col min="24" max="29" width="9.140625" style="3"/>
    <col min="30" max="31" width="0" style="3" hidden="1" customWidth="1"/>
    <col min="32" max="32" width="8.140625" style="3" hidden="1" customWidth="1"/>
    <col min="33" max="33" width="8.85546875" style="3" customWidth="1"/>
    <col min="34" max="16384" width="9.140625" style="3"/>
  </cols>
  <sheetData>
    <row r="1" spans="1:50" s="11" customFormat="1" ht="18" customHeight="1">
      <c r="A1" s="172" t="str">
        <f>IF($T$4="Việt Nam","BẢNG TÍNH TOÁN CỐT THÉP DẦM","CALCULATION TABLE FOR BEAM REINFORCEMENT")</f>
        <v>BẢNG TÍNH TOÁN CỐT THÉP DẦM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 t="s">
        <v>133</v>
      </c>
      <c r="M1" s="172"/>
      <c r="N1" s="172"/>
      <c r="O1" s="172"/>
      <c r="P1" s="172"/>
      <c r="Q1" s="172"/>
      <c r="R1" s="172"/>
      <c r="S1" s="172"/>
      <c r="T1" s="172"/>
      <c r="AU1" s="3" t="s">
        <v>64</v>
      </c>
      <c r="AV1" s="11">
        <v>5000</v>
      </c>
      <c r="AW1" s="11">
        <v>0.85</v>
      </c>
      <c r="AX1" s="11">
        <v>0.75</v>
      </c>
    </row>
    <row r="2" spans="1:50" s="11" customFormat="1" ht="18" customHeight="1">
      <c r="A2" s="172"/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AU2" s="3" t="s">
        <v>82</v>
      </c>
      <c r="AV2" s="11">
        <v>4000</v>
      </c>
      <c r="AW2" s="11">
        <v>0.9</v>
      </c>
      <c r="AX2" s="11">
        <v>0.8</v>
      </c>
    </row>
    <row r="3" spans="1:50" ht="18" customHeight="1">
      <c r="A3" s="74" t="str">
        <f>IF($T$4="Việt Nam","1. Giới thiệu","1. Introduce")</f>
        <v>1. Giới thiệu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4"/>
      <c r="R3" s="71"/>
      <c r="S3" s="71" t="s">
        <v>62</v>
      </c>
      <c r="T3" s="75">
        <f ca="1">TODAY()</f>
        <v>44032</v>
      </c>
      <c r="AW3" s="3">
        <v>1</v>
      </c>
      <c r="AX3" s="3">
        <v>0.85</v>
      </c>
    </row>
    <row r="4" spans="1:50" ht="18" customHeight="1">
      <c r="A4" s="76" t="str">
        <f>IF($T$4="Việt Nam","Tên công trình:","Name of Building:")</f>
        <v>Tên công trình:</v>
      </c>
      <c r="B4" s="14"/>
      <c r="C4" s="21" t="s">
        <v>146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8"/>
      <c r="S4" s="18" t="s">
        <v>63</v>
      </c>
      <c r="T4" s="77" t="s">
        <v>64</v>
      </c>
    </row>
    <row r="5" spans="1:50" ht="18" customHeight="1">
      <c r="A5" s="76" t="str">
        <f>IF($T$4="Việt Nam","Địa điểm:","Location:")</f>
        <v>Địa điểm:</v>
      </c>
      <c r="B5" s="14"/>
      <c r="C5" s="85" t="s">
        <v>95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78"/>
    </row>
    <row r="6" spans="1:50" ht="18" customHeight="1">
      <c r="A6" s="76" t="str">
        <f>IF($T$4="Việt Nam","Tiêu chuẩn áp dụng:","Code of Practice:")</f>
        <v>Tiêu chuẩn áp dụng:</v>
      </c>
      <c r="B6" s="14"/>
      <c r="C6" s="18" t="s">
        <v>65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78"/>
    </row>
    <row r="7" spans="1:50" ht="18" customHeight="1">
      <c r="A7" s="79" t="str">
        <f>IF($T$4="Việt Nam","2. Vật liệu sử dụng","2. Materials Used")</f>
        <v>2. Vật liệu sử dụng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78"/>
    </row>
    <row r="8" spans="1:50" ht="18" customHeight="1">
      <c r="A8" s="76" t="str">
        <f>IF($T$4="Việt Nam","Bê tông","Concrete")</f>
        <v>Bê tông</v>
      </c>
      <c r="B8" s="16" t="str">
        <f>DaTa!I6</f>
        <v>B35</v>
      </c>
      <c r="C8" s="15" t="s">
        <v>86</v>
      </c>
      <c r="D8" s="17">
        <f>DaTa!J7</f>
        <v>195</v>
      </c>
      <c r="E8" s="35" t="s">
        <v>2</v>
      </c>
      <c r="F8" s="14"/>
      <c r="G8" s="21" t="str">
        <f>IF($T$4="Việt Nam","Các hệ số","Cofficients")</f>
        <v>Các hệ số</v>
      </c>
      <c r="H8" s="22" t="s">
        <v>76</v>
      </c>
      <c r="I8" s="19">
        <v>0.9</v>
      </c>
      <c r="J8" s="19"/>
      <c r="K8" s="14"/>
      <c r="L8" s="22" t="s">
        <v>78</v>
      </c>
      <c r="M8" s="178">
        <f>I12/(1+(D11/I11)*(1-I12/1.1))</f>
        <v>0.55150989741366852</v>
      </c>
      <c r="N8" s="178"/>
      <c r="O8" s="14"/>
      <c r="P8" s="14"/>
      <c r="Q8" s="14"/>
      <c r="R8" s="14"/>
      <c r="S8" s="14"/>
      <c r="T8" s="78"/>
    </row>
    <row r="9" spans="1:50" ht="18" customHeight="1">
      <c r="A9" s="80"/>
      <c r="B9" s="14"/>
      <c r="C9" s="22" t="s">
        <v>72</v>
      </c>
      <c r="D9" s="17">
        <f>DaTa!J11</f>
        <v>345000</v>
      </c>
      <c r="E9" s="35" t="s">
        <v>2</v>
      </c>
      <c r="F9" s="14"/>
      <c r="G9" s="14"/>
      <c r="H9" s="22" t="s">
        <v>75</v>
      </c>
      <c r="I9" s="19">
        <v>0.85</v>
      </c>
      <c r="J9" s="19"/>
      <c r="K9" s="14"/>
      <c r="L9" s="22" t="s">
        <v>79</v>
      </c>
      <c r="M9" s="178">
        <f>M8*(1-0.5*M8)</f>
        <v>0.39942831394105094</v>
      </c>
      <c r="N9" s="178"/>
      <c r="O9" s="14"/>
      <c r="P9" s="14"/>
      <c r="Q9" s="14"/>
      <c r="R9" s="14"/>
      <c r="S9" s="14"/>
      <c r="T9" s="78"/>
    </row>
    <row r="10" spans="1:50" s="11" customFormat="1" ht="18" customHeight="1">
      <c r="A10" s="80"/>
      <c r="B10" s="14"/>
      <c r="C10" s="22" t="s">
        <v>96</v>
      </c>
      <c r="D10" s="17">
        <f>DaTa!J12</f>
        <v>2.9</v>
      </c>
      <c r="E10" s="35" t="s">
        <v>97</v>
      </c>
      <c r="F10" s="14"/>
      <c r="G10" s="14"/>
      <c r="H10" s="22"/>
      <c r="I10" s="19"/>
      <c r="J10" s="19"/>
      <c r="K10" s="14"/>
      <c r="L10" s="22"/>
      <c r="M10" s="81"/>
      <c r="N10" s="81"/>
      <c r="O10" s="14"/>
      <c r="P10" s="14"/>
      <c r="Q10" s="14"/>
      <c r="R10" s="14"/>
      <c r="S10" s="14"/>
      <c r="T10" s="78"/>
    </row>
    <row r="11" spans="1:50" ht="18" customHeight="1">
      <c r="A11" s="82" t="str">
        <f>IF($T$4="Việt Nam","Cốt thép","Reinforcement")</f>
        <v>Cốt thép</v>
      </c>
      <c r="B11" s="194" t="str">
        <f>DaTa!I14</f>
        <v>CB400V</v>
      </c>
      <c r="C11" s="14" t="s">
        <v>87</v>
      </c>
      <c r="D11" s="17">
        <f>DaTa!J15</f>
        <v>3500</v>
      </c>
      <c r="E11" s="35" t="s">
        <v>2</v>
      </c>
      <c r="F11" s="14"/>
      <c r="G11" s="14"/>
      <c r="H11" s="22" t="s">
        <v>77</v>
      </c>
      <c r="I11" s="19">
        <v>5000</v>
      </c>
      <c r="J11" s="35" t="s">
        <v>2</v>
      </c>
      <c r="K11" s="35"/>
      <c r="L11" s="35"/>
      <c r="M11" s="35"/>
      <c r="N11" s="35"/>
      <c r="O11" s="35"/>
      <c r="P11" s="35"/>
      <c r="Q11" s="14"/>
      <c r="R11" s="14"/>
      <c r="S11" s="14"/>
      <c r="T11" s="78"/>
    </row>
    <row r="12" spans="1:50" s="11" customFormat="1" ht="18" customHeight="1">
      <c r="A12" s="82"/>
      <c r="B12" s="194"/>
      <c r="C12" s="14" t="s">
        <v>94</v>
      </c>
      <c r="D12" s="17">
        <f>DaTa!J16</f>
        <v>3500</v>
      </c>
      <c r="E12" s="35" t="s">
        <v>2</v>
      </c>
      <c r="F12" s="14"/>
      <c r="G12" s="14"/>
      <c r="H12" s="22" t="s">
        <v>74</v>
      </c>
      <c r="I12" s="17">
        <f>I9-0.0008*D8</f>
        <v>0.69399999999999995</v>
      </c>
      <c r="J12" s="35"/>
      <c r="K12" s="35"/>
      <c r="L12" s="35"/>
      <c r="M12" s="35"/>
      <c r="N12" s="35"/>
      <c r="O12" s="35"/>
      <c r="P12" s="35"/>
      <c r="Q12" s="14"/>
      <c r="R12" s="14"/>
      <c r="S12" s="14"/>
      <c r="T12" s="78"/>
    </row>
    <row r="13" spans="1:50" s="11" customFormat="1" ht="18" customHeight="1">
      <c r="A13" s="82"/>
      <c r="B13" s="194"/>
      <c r="C13" s="22" t="s">
        <v>73</v>
      </c>
      <c r="D13" s="17">
        <f>DaTa!J19</f>
        <v>2000000</v>
      </c>
      <c r="E13" s="35" t="s">
        <v>2</v>
      </c>
      <c r="F13" s="14"/>
      <c r="G13" s="14"/>
      <c r="H13" s="14"/>
      <c r="I13" s="14"/>
      <c r="J13" s="17"/>
      <c r="K13" s="14"/>
      <c r="L13" s="14"/>
      <c r="M13" s="14"/>
      <c r="N13" s="14"/>
      <c r="O13" s="14"/>
      <c r="P13" s="14"/>
      <c r="Q13" s="14"/>
      <c r="R13" s="14"/>
      <c r="S13" s="14"/>
      <c r="T13" s="78"/>
    </row>
    <row r="14" spans="1:50" s="11" customFormat="1" ht="18" customHeight="1">
      <c r="A14" s="82"/>
      <c r="B14" s="37"/>
      <c r="C14" s="22" t="s">
        <v>99</v>
      </c>
      <c r="D14" s="17">
        <f>D11/10*1.05</f>
        <v>367.5</v>
      </c>
      <c r="E14" s="35" t="s">
        <v>97</v>
      </c>
      <c r="F14" s="14"/>
      <c r="G14" s="14"/>
      <c r="H14" s="14"/>
      <c r="I14" s="14"/>
      <c r="J14" s="17"/>
      <c r="K14" s="14"/>
      <c r="L14" s="14"/>
      <c r="M14" s="14"/>
      <c r="N14" s="14"/>
      <c r="O14" s="14"/>
      <c r="P14" s="14"/>
      <c r="Q14" s="14"/>
      <c r="R14" s="14"/>
      <c r="S14" s="14"/>
      <c r="T14" s="78"/>
    </row>
    <row r="15" spans="1:50" s="11" customFormat="1" ht="18" customHeight="1">
      <c r="A15" s="83" t="s">
        <v>80</v>
      </c>
      <c r="B15" s="16"/>
      <c r="C15" s="14"/>
      <c r="D15" s="17"/>
      <c r="E15" s="35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78"/>
    </row>
    <row r="16" spans="1:50" ht="18" customHeight="1">
      <c r="A16" s="191" t="str">
        <f>IF($T$4="Việt Nam","Tầng","Story")</f>
        <v>Tầng</v>
      </c>
      <c r="B16" s="188" t="str">
        <f>IF($T$4="Việt Nam","Tên cấu kiện","Name")</f>
        <v>Tên cấu kiện</v>
      </c>
      <c r="C16" s="187" t="str">
        <f>IF($T$4="Việt Nam","Vị trí mặt cắt","Location")</f>
        <v>Vị trí mặt cắt</v>
      </c>
      <c r="D16" s="188" t="str">
        <f>IF($T$4="Việt Nam","Nội lực","Internal Force")</f>
        <v>Nội lực</v>
      </c>
      <c r="E16" s="181" t="str">
        <f>IF($T$4="Việt Nam","Tiết diện","Section")</f>
        <v>Tiết diện</v>
      </c>
      <c r="F16" s="182"/>
      <c r="G16" s="183"/>
      <c r="H16" s="167" t="str">
        <f>IF($T$4="Việt Nam","Hệ số","Cofficient")</f>
        <v>Hệ số</v>
      </c>
      <c r="I16" s="167"/>
      <c r="J16" s="181" t="str">
        <f>IF($T$4="Việt Nam","Tính toán","Calculation")</f>
        <v>Tính toán</v>
      </c>
      <c r="K16" s="182"/>
      <c r="L16" s="182"/>
      <c r="M16" s="182"/>
      <c r="N16" s="182"/>
      <c r="O16" s="182"/>
      <c r="P16" s="182"/>
      <c r="Q16" s="182"/>
      <c r="R16" s="182"/>
      <c r="S16" s="183"/>
      <c r="T16" s="184" t="str">
        <f>IF($T$4="Việt Nam","Kiểm tra","Check")</f>
        <v>Kiểm tra</v>
      </c>
      <c r="U16" s="29"/>
      <c r="V16" s="29"/>
      <c r="W16" s="30"/>
    </row>
    <row r="17" spans="1:23" s="11" customFormat="1" ht="18" customHeight="1">
      <c r="A17" s="192"/>
      <c r="B17" s="189"/>
      <c r="C17" s="187"/>
      <c r="D17" s="190"/>
      <c r="E17" s="36" t="s">
        <v>68</v>
      </c>
      <c r="F17" s="36" t="s">
        <v>69</v>
      </c>
      <c r="G17" s="165" t="s">
        <v>85</v>
      </c>
      <c r="H17" s="165" t="s">
        <v>83</v>
      </c>
      <c r="I17" s="169" t="s">
        <v>70</v>
      </c>
      <c r="J17" s="173" t="str">
        <f>IF($T$4="Việt Nam","TH Tính toán","Calculated Case")</f>
        <v>TH Tính toán</v>
      </c>
      <c r="K17" s="176" t="s">
        <v>84</v>
      </c>
      <c r="L17" s="167" t="str">
        <f>IF($T$4="Việt Nam","Bố trí","Layout")</f>
        <v>Bố trí</v>
      </c>
      <c r="M17" s="167"/>
      <c r="N17" s="167"/>
      <c r="O17" s="167"/>
      <c r="P17" s="167"/>
      <c r="Q17" s="167"/>
      <c r="R17" s="167"/>
      <c r="S17" s="167"/>
      <c r="T17" s="185"/>
      <c r="U17" s="26"/>
      <c r="V17" s="26"/>
      <c r="W17" s="30"/>
    </row>
    <row r="18" spans="1:23" s="11" customFormat="1" ht="18" customHeight="1">
      <c r="A18" s="192"/>
      <c r="B18" s="189"/>
      <c r="C18" s="187"/>
      <c r="D18" s="36" t="s">
        <v>66</v>
      </c>
      <c r="E18" s="36" t="s">
        <v>67</v>
      </c>
      <c r="F18" s="36" t="s">
        <v>92</v>
      </c>
      <c r="G18" s="166"/>
      <c r="H18" s="168"/>
      <c r="I18" s="170"/>
      <c r="J18" s="174"/>
      <c r="K18" s="177"/>
      <c r="L18" s="179" t="s">
        <v>90</v>
      </c>
      <c r="M18" s="179"/>
      <c r="N18" s="179"/>
      <c r="O18" s="179"/>
      <c r="P18" s="179"/>
      <c r="Q18" s="179"/>
      <c r="R18" s="179"/>
      <c r="S18" s="179"/>
      <c r="T18" s="185"/>
      <c r="U18" s="26"/>
      <c r="V18" s="26"/>
      <c r="W18" s="30"/>
    </row>
    <row r="19" spans="1:23" ht="18" customHeight="1">
      <c r="A19" s="193"/>
      <c r="B19" s="190"/>
      <c r="C19" s="187"/>
      <c r="D19" s="23" t="s">
        <v>136</v>
      </c>
      <c r="E19" s="20" t="s">
        <v>81</v>
      </c>
      <c r="F19" s="20" t="s">
        <v>81</v>
      </c>
      <c r="G19" s="20" t="s">
        <v>81</v>
      </c>
      <c r="H19" s="166"/>
      <c r="I19" s="171"/>
      <c r="J19" s="175"/>
      <c r="K19" s="20" t="s">
        <v>71</v>
      </c>
      <c r="L19" s="180" t="s">
        <v>71</v>
      </c>
      <c r="M19" s="180"/>
      <c r="N19" s="180"/>
      <c r="O19" s="180"/>
      <c r="P19" s="180"/>
      <c r="Q19" s="180"/>
      <c r="R19" s="180"/>
      <c r="S19" s="180"/>
      <c r="T19" s="186"/>
      <c r="U19" s="31"/>
      <c r="V19" s="27"/>
      <c r="W19" s="30"/>
    </row>
    <row r="20" spans="1:23" ht="18" customHeight="1">
      <c r="A20" s="159">
        <v>1</v>
      </c>
      <c r="B20" s="149" t="s">
        <v>168</v>
      </c>
      <c r="C20" s="151" t="s">
        <v>140</v>
      </c>
      <c r="D20" s="152">
        <v>-38</v>
      </c>
      <c r="E20" s="154">
        <v>35</v>
      </c>
      <c r="F20" s="154">
        <v>3</v>
      </c>
      <c r="G20" s="154">
        <f>E20-F20</f>
        <v>32</v>
      </c>
      <c r="H20" s="155">
        <f>(ABS(D20)*10^4)/($I$8*$D$8*E22*G20^2)</f>
        <v>0.10572471509971509</v>
      </c>
      <c r="I20" s="156">
        <f>IF(H20&gt;0.5,"Tăng tiết diện",ROUND(0.5*(1+SQRT(1-2*H20)),2))</f>
        <v>0.94</v>
      </c>
      <c r="J20" s="153" t="str">
        <f>IF($M$9&gt;H20,"Cốt đơn","Cốt kép")</f>
        <v>Cốt đơn</v>
      </c>
      <c r="K20" s="155">
        <f>IF(J20="Cốt kép",IF(S23*G20&gt;=2*F22,(S23*$D$8*E22*G20/$D$11)+($D$12*M23/$D$11),ABS(D20)*10^4/($D$11*(G20-F22))),(ABS(D20)*10^4)/($D$11*I20*G20))</f>
        <v>3.6094224924012157</v>
      </c>
      <c r="L20" s="163" t="s">
        <v>88</v>
      </c>
      <c r="M20" s="25">
        <v>2</v>
      </c>
      <c r="N20" s="24">
        <v>18</v>
      </c>
      <c r="O20" s="25">
        <v>2</v>
      </c>
      <c r="P20" s="24">
        <v>18</v>
      </c>
      <c r="Q20" s="25"/>
      <c r="R20" s="24"/>
      <c r="S20" s="38" t="s">
        <v>91</v>
      </c>
      <c r="T20" s="164" t="str">
        <f>IF(M21&gt;=K20,"OK","Not OK")</f>
        <v>OK</v>
      </c>
      <c r="U20" s="72" t="s">
        <v>93</v>
      </c>
      <c r="V20" s="150">
        <f>M21/E22/G20*100</f>
        <v>1.5904312808798327</v>
      </c>
      <c r="W20" s="28"/>
    </row>
    <row r="21" spans="1:23" ht="18" customHeight="1">
      <c r="A21" s="160"/>
      <c r="B21" s="149"/>
      <c r="C21" s="151"/>
      <c r="D21" s="152"/>
      <c r="E21" s="154"/>
      <c r="F21" s="154"/>
      <c r="G21" s="154"/>
      <c r="H21" s="155"/>
      <c r="I21" s="156"/>
      <c r="J21" s="153"/>
      <c r="K21" s="155"/>
      <c r="L21" s="163"/>
      <c r="M21" s="153">
        <f>(M20*N20^2+O20*P20^2+Q20*R20^2)*PI()/4/100</f>
        <v>10.178760197630929</v>
      </c>
      <c r="N21" s="153"/>
      <c r="O21" s="153"/>
      <c r="P21" s="153"/>
      <c r="Q21" s="153"/>
      <c r="R21" s="153"/>
      <c r="S21" s="39" t="str">
        <f>IF(M23="Không tính","-",IF(((ABS(D20)*10^4-$D$12*M23*(G20-F22))/($D$8*E22*G20^2))&lt;$M$9,(ABS(D20)*10^4-$D$12*M23*(G20-F22))/($D$8*E22*G20^2),"Tăng Asc"))</f>
        <v>-</v>
      </c>
      <c r="T21" s="164"/>
      <c r="U21" s="73" t="str">
        <f>IF(OR(S21="-",S21="Tăng Asc"),"-",(0.5*(1+SQRT(1-2*S21))))</f>
        <v>-</v>
      </c>
      <c r="V21" s="150"/>
      <c r="W21" s="28"/>
    </row>
    <row r="22" spans="1:23" ht="18" customHeight="1">
      <c r="A22" s="160"/>
      <c r="B22" s="149"/>
      <c r="C22" s="151"/>
      <c r="D22" s="152"/>
      <c r="E22" s="154">
        <v>20</v>
      </c>
      <c r="F22" s="154">
        <v>3</v>
      </c>
      <c r="G22" s="154"/>
      <c r="H22" s="155"/>
      <c r="I22" s="156"/>
      <c r="J22" s="153"/>
      <c r="K22" s="155"/>
      <c r="L22" s="163" t="s">
        <v>89</v>
      </c>
      <c r="M22" s="25"/>
      <c r="N22" s="24"/>
      <c r="O22" s="25"/>
      <c r="P22" s="24"/>
      <c r="Q22" s="25"/>
      <c r="R22" s="24"/>
      <c r="S22" s="40" t="s">
        <v>98</v>
      </c>
      <c r="T22" s="164"/>
      <c r="U22" s="162">
        <f>M21/K20</f>
        <v>2.8200522989646952</v>
      </c>
      <c r="V22" s="150"/>
      <c r="W22" s="28"/>
    </row>
    <row r="23" spans="1:23" ht="18" customHeight="1">
      <c r="A23" s="160"/>
      <c r="B23" s="149"/>
      <c r="C23" s="151"/>
      <c r="D23" s="152"/>
      <c r="E23" s="154"/>
      <c r="F23" s="154"/>
      <c r="G23" s="154"/>
      <c r="H23" s="155"/>
      <c r="I23" s="156"/>
      <c r="J23" s="153"/>
      <c r="K23" s="155"/>
      <c r="L23" s="163"/>
      <c r="M23" s="153" t="str">
        <f>IF(J20="Cốt kép",(M22*N22^2+O22*P22^2+Q22*R22^2)*PI()/4/100,"Không tính")</f>
        <v>Không tính</v>
      </c>
      <c r="N23" s="153"/>
      <c r="O23" s="153"/>
      <c r="P23" s="153"/>
      <c r="Q23" s="153"/>
      <c r="R23" s="153"/>
      <c r="S23" s="38" t="str">
        <f>IF(OR(S21="-",S21="Tăng Asc"),"-",2*(1-U21))</f>
        <v>-</v>
      </c>
      <c r="T23" s="164"/>
      <c r="U23" s="162"/>
      <c r="V23" s="150"/>
      <c r="W23" s="28"/>
    </row>
    <row r="24" spans="1:23" ht="18" customHeight="1">
      <c r="A24" s="160"/>
      <c r="B24" s="149"/>
      <c r="C24" s="151" t="s">
        <v>141</v>
      </c>
      <c r="D24" s="152">
        <v>23</v>
      </c>
      <c r="E24" s="154">
        <v>35</v>
      </c>
      <c r="F24" s="154">
        <v>3</v>
      </c>
      <c r="G24" s="154">
        <f>E24-F24</f>
        <v>32</v>
      </c>
      <c r="H24" s="155">
        <f t="shared" ref="H24" si="0">(ABS(D24)*10^4)/($I$8*$D$8*E26*G24^2)</f>
        <v>6.3991274928774933E-2</v>
      </c>
      <c r="I24" s="156">
        <f>IF(H24&gt;0.5,"Tăng tiết diện",ROUND(0.5*(1+SQRT(1-2*H24)),2))</f>
        <v>0.97</v>
      </c>
      <c r="J24" s="153" t="str">
        <f>IF($M$9&gt;H24,"Cốt đơn","Cốt kép")</f>
        <v>Cốt đơn</v>
      </c>
      <c r="K24" s="155">
        <f t="shared" ref="K24" si="1">IF(J24="Cốt kép",IF(S27*G24&gt;=2*F26,(S27*$D$8*E26*G24/$D$11)+($D$12*M27/$D$11),ABS(D24)*10^4/($D$11*(G24-F26))),(ABS(D24)*10^4)/($D$11*I24*G24))</f>
        <v>2.1170839469808542</v>
      </c>
      <c r="L24" s="163" t="s">
        <v>88</v>
      </c>
      <c r="M24" s="25">
        <v>2</v>
      </c>
      <c r="N24" s="24">
        <v>18</v>
      </c>
      <c r="O24" s="25">
        <v>2</v>
      </c>
      <c r="P24" s="24">
        <v>18</v>
      </c>
      <c r="Q24" s="25"/>
      <c r="R24" s="24"/>
      <c r="S24" s="38" t="s">
        <v>91</v>
      </c>
      <c r="T24" s="164" t="str">
        <f>IF(M25&gt;=K24,"OK","Not OK")</f>
        <v>OK</v>
      </c>
      <c r="U24" s="72" t="s">
        <v>93</v>
      </c>
      <c r="V24" s="150">
        <f t="shared" ref="V24" si="2">M25/E26/G24*100</f>
        <v>1.5904312808798327</v>
      </c>
    </row>
    <row r="25" spans="1:23" ht="18" customHeight="1">
      <c r="A25" s="160"/>
      <c r="B25" s="149"/>
      <c r="C25" s="151"/>
      <c r="D25" s="152"/>
      <c r="E25" s="154"/>
      <c r="F25" s="154"/>
      <c r="G25" s="154"/>
      <c r="H25" s="155"/>
      <c r="I25" s="156"/>
      <c r="J25" s="153"/>
      <c r="K25" s="155"/>
      <c r="L25" s="163"/>
      <c r="M25" s="153">
        <f>(M24*N24^2+O24*P24^2+Q24*R24^2)*PI()/4/100</f>
        <v>10.178760197630929</v>
      </c>
      <c r="N25" s="153"/>
      <c r="O25" s="153"/>
      <c r="P25" s="153"/>
      <c r="Q25" s="153"/>
      <c r="R25" s="153"/>
      <c r="S25" s="41" t="str">
        <f>IF(M27="Không tính","-",IF(((ABS(D24)*10^4-$D$12*M27*(G24-F26))/($D$8*E26*G24^2))&lt;$M$9,(ABS(D24)*10^4-$D$12*M27*(G24-F26))/($D$8*E26*G24^2),"Tăng Asc"))</f>
        <v>-</v>
      </c>
      <c r="T25" s="164"/>
      <c r="U25" s="73" t="str">
        <f>IF(OR(S25="-",S25="Tăng Asc"),"-",0.5*(1+SQRT(1-2*S25)))</f>
        <v>-</v>
      </c>
      <c r="V25" s="150"/>
    </row>
    <row r="26" spans="1:23" ht="18" customHeight="1">
      <c r="A26" s="160"/>
      <c r="B26" s="149"/>
      <c r="C26" s="151"/>
      <c r="D26" s="152"/>
      <c r="E26" s="154">
        <v>20</v>
      </c>
      <c r="F26" s="157">
        <v>3</v>
      </c>
      <c r="G26" s="154"/>
      <c r="H26" s="155"/>
      <c r="I26" s="156"/>
      <c r="J26" s="153"/>
      <c r="K26" s="155"/>
      <c r="L26" s="163" t="s">
        <v>89</v>
      </c>
      <c r="M26" s="25"/>
      <c r="N26" s="24"/>
      <c r="O26" s="25"/>
      <c r="P26" s="24"/>
      <c r="Q26" s="25"/>
      <c r="R26" s="24"/>
      <c r="S26" s="40" t="s">
        <v>98</v>
      </c>
      <c r="T26" s="164"/>
      <c r="U26" s="162">
        <f>M25/K24</f>
        <v>4.8079152516114094</v>
      </c>
      <c r="V26" s="150"/>
    </row>
    <row r="27" spans="1:23" ht="18" customHeight="1">
      <c r="A27" s="160"/>
      <c r="B27" s="149"/>
      <c r="C27" s="151"/>
      <c r="D27" s="152"/>
      <c r="E27" s="154"/>
      <c r="F27" s="158"/>
      <c r="G27" s="154"/>
      <c r="H27" s="155"/>
      <c r="I27" s="156"/>
      <c r="J27" s="153"/>
      <c r="K27" s="155"/>
      <c r="L27" s="163"/>
      <c r="M27" s="153" t="str">
        <f>IF(J24="Cốt kép",(M26*N26^2+O26*P26^2+Q26*R26^2)*PI()/4/100,"Không tính")</f>
        <v>Không tính</v>
      </c>
      <c r="N27" s="153"/>
      <c r="O27" s="153"/>
      <c r="P27" s="153"/>
      <c r="Q27" s="153"/>
      <c r="R27" s="153"/>
      <c r="S27" s="49" t="str">
        <f>IF(OR(S25="-",S25="Tăng Asc"),"-",2*(1-U25))</f>
        <v>-</v>
      </c>
      <c r="T27" s="164"/>
      <c r="U27" s="162"/>
      <c r="V27" s="150"/>
    </row>
    <row r="28" spans="1:23" s="11" customFormat="1" ht="18" customHeight="1">
      <c r="A28" s="160"/>
      <c r="B28" s="149" t="s">
        <v>168</v>
      </c>
      <c r="C28" s="151" t="s">
        <v>140</v>
      </c>
      <c r="D28" s="152">
        <v>-38</v>
      </c>
      <c r="E28" s="154">
        <v>35</v>
      </c>
      <c r="F28" s="154">
        <v>3</v>
      </c>
      <c r="G28" s="154">
        <f>E28-F28</f>
        <v>32</v>
      </c>
      <c r="H28" s="155">
        <f>(ABS(D28)*10^4)/($I$8*$D$8*E30*G28^2)</f>
        <v>0.10572471509971509</v>
      </c>
      <c r="I28" s="156">
        <f>IF(H28&gt;0.5,"Tăng tiết diện",ROUND(0.5*(1+SQRT(1-2*H28)),2))</f>
        <v>0.94</v>
      </c>
      <c r="J28" s="153" t="str">
        <f>IF($M$9&gt;H28,"Cốt đơn","Cốt kép")</f>
        <v>Cốt đơn</v>
      </c>
      <c r="K28" s="155">
        <f>IF(J28="Cốt kép",IF(S31*G28&gt;=2*F30,(S31*$D$8*E30*G28/$D$11)+($D$12*M31/$D$11),ABS(D28)*10^4/($D$11*(G28-F30))),(ABS(D28)*10^4)/($D$11*I28*G28))</f>
        <v>3.6094224924012157</v>
      </c>
      <c r="L28" s="163" t="s">
        <v>88</v>
      </c>
      <c r="M28" s="25">
        <v>2</v>
      </c>
      <c r="N28" s="24">
        <v>18</v>
      </c>
      <c r="O28" s="25">
        <v>2</v>
      </c>
      <c r="P28" s="24">
        <v>18</v>
      </c>
      <c r="Q28" s="25"/>
      <c r="R28" s="24"/>
      <c r="S28" s="70" t="s">
        <v>91</v>
      </c>
      <c r="T28" s="164" t="str">
        <f>IF(M29&gt;=K28,"OK","Not OK")</f>
        <v>OK</v>
      </c>
      <c r="U28" s="72" t="s">
        <v>93</v>
      </c>
      <c r="V28" s="150">
        <f t="shared" ref="V28" si="3">M29/E30/G28*100</f>
        <v>1.5904312808798327</v>
      </c>
    </row>
    <row r="29" spans="1:23" s="11" customFormat="1" ht="18" customHeight="1">
      <c r="A29" s="160"/>
      <c r="B29" s="149"/>
      <c r="C29" s="151"/>
      <c r="D29" s="152"/>
      <c r="E29" s="154"/>
      <c r="F29" s="154"/>
      <c r="G29" s="154"/>
      <c r="H29" s="155"/>
      <c r="I29" s="156"/>
      <c r="J29" s="153"/>
      <c r="K29" s="155"/>
      <c r="L29" s="163"/>
      <c r="M29" s="153">
        <f>(M28*N28^2+O28*P28^2+Q28*R28^2)*PI()/4/100</f>
        <v>10.178760197630929</v>
      </c>
      <c r="N29" s="153"/>
      <c r="O29" s="153"/>
      <c r="P29" s="153"/>
      <c r="Q29" s="153"/>
      <c r="R29" s="153"/>
      <c r="S29" s="39" t="str">
        <f>IF(M31="Không tính","-",IF(((ABS(D28)*10^4-$D$12*M31*(G28-F30))/($D$8*E30*G28^2))&lt;$M$9,(ABS(D28)*10^4-$D$12*M31*(G28-F30))/($D$8*E30*G28^2),"Tăng Asc"))</f>
        <v>-</v>
      </c>
      <c r="T29" s="164"/>
      <c r="U29" s="73" t="str">
        <f>IF(OR(S29="-",S29="Tăng Asc"),"-",(0.5*(1+SQRT(1-2*S29))))</f>
        <v>-</v>
      </c>
      <c r="V29" s="150"/>
    </row>
    <row r="30" spans="1:23" s="11" customFormat="1" ht="18" customHeight="1">
      <c r="A30" s="160"/>
      <c r="B30" s="149"/>
      <c r="C30" s="151"/>
      <c r="D30" s="152"/>
      <c r="E30" s="154">
        <v>20</v>
      </c>
      <c r="F30" s="154">
        <v>3</v>
      </c>
      <c r="G30" s="154"/>
      <c r="H30" s="155"/>
      <c r="I30" s="156"/>
      <c r="J30" s="153"/>
      <c r="K30" s="155"/>
      <c r="L30" s="163" t="s">
        <v>89</v>
      </c>
      <c r="M30" s="25"/>
      <c r="N30" s="24"/>
      <c r="O30" s="25"/>
      <c r="P30" s="24"/>
      <c r="Q30" s="25"/>
      <c r="R30" s="24"/>
      <c r="S30" s="40" t="s">
        <v>98</v>
      </c>
      <c r="T30" s="164"/>
      <c r="U30" s="162">
        <f>M29/K28</f>
        <v>2.8200522989646952</v>
      </c>
      <c r="V30" s="150"/>
    </row>
    <row r="31" spans="1:23" s="11" customFormat="1" ht="18" customHeight="1">
      <c r="A31" s="160"/>
      <c r="B31" s="149"/>
      <c r="C31" s="151"/>
      <c r="D31" s="152"/>
      <c r="E31" s="154"/>
      <c r="F31" s="154"/>
      <c r="G31" s="154"/>
      <c r="H31" s="155"/>
      <c r="I31" s="156"/>
      <c r="J31" s="153"/>
      <c r="K31" s="155"/>
      <c r="L31" s="163"/>
      <c r="M31" s="153" t="str">
        <f>IF(J28="Cốt kép",(M30*N30^2+O30*P30^2+Q30*R30^2)*PI()/4/100,"Không tính")</f>
        <v>Không tính</v>
      </c>
      <c r="N31" s="153"/>
      <c r="O31" s="153"/>
      <c r="P31" s="153"/>
      <c r="Q31" s="153"/>
      <c r="R31" s="153"/>
      <c r="S31" s="70" t="str">
        <f>IF(OR(S29="-",S29="Tăng Asc"),"-",2*(1-U29))</f>
        <v>-</v>
      </c>
      <c r="T31" s="164"/>
      <c r="U31" s="162"/>
      <c r="V31" s="150"/>
    </row>
    <row r="32" spans="1:23" ht="18" customHeight="1">
      <c r="A32" s="160"/>
      <c r="B32" s="149"/>
      <c r="C32" s="151" t="s">
        <v>141</v>
      </c>
      <c r="D32" s="152">
        <v>23</v>
      </c>
      <c r="E32" s="154">
        <v>35</v>
      </c>
      <c r="F32" s="154">
        <v>3</v>
      </c>
      <c r="G32" s="154">
        <f>E32-F32</f>
        <v>32</v>
      </c>
      <c r="H32" s="155">
        <f t="shared" ref="H32" si="4">(ABS(D32)*10^4)/($I$8*$D$8*E34*G32^2)</f>
        <v>6.3991274928774933E-2</v>
      </c>
      <c r="I32" s="156">
        <f>IF(H32&gt;0.5,"Tăng tiết diện",ROUND(0.5*(1+SQRT(1-2*H32)),2))</f>
        <v>0.97</v>
      </c>
      <c r="J32" s="153" t="str">
        <f>IF($M$9&gt;H32,"Cốt đơn","Cốt kép")</f>
        <v>Cốt đơn</v>
      </c>
      <c r="K32" s="155">
        <f t="shared" ref="K32" si="5">IF(J32="Cốt kép",IF(S35*G32&gt;=2*F34,(S35*$D$8*E34*G32/$D$11)+($D$12*M35/$D$11),ABS(D32)*10^4/($D$11*(G32-F34))),(ABS(D32)*10^4)/($D$11*I32*G32))</f>
        <v>2.1170839469808542</v>
      </c>
      <c r="L32" s="163" t="s">
        <v>88</v>
      </c>
      <c r="M32" s="25">
        <v>2</v>
      </c>
      <c r="N32" s="24">
        <v>18</v>
      </c>
      <c r="O32" s="25">
        <v>2</v>
      </c>
      <c r="P32" s="24">
        <v>18</v>
      </c>
      <c r="Q32" s="25"/>
      <c r="R32" s="24"/>
      <c r="S32" s="70" t="s">
        <v>91</v>
      </c>
      <c r="T32" s="164" t="str">
        <f>IF(M33&gt;=K32,"OK","Not OK")</f>
        <v>OK</v>
      </c>
      <c r="U32" s="72" t="s">
        <v>93</v>
      </c>
      <c r="V32" s="150">
        <f t="shared" ref="V32" si="6">M33/E34/G32*100</f>
        <v>1.5904312808798327</v>
      </c>
    </row>
    <row r="33" spans="1:22" ht="18" customHeight="1">
      <c r="A33" s="160"/>
      <c r="B33" s="149"/>
      <c r="C33" s="151"/>
      <c r="D33" s="152"/>
      <c r="E33" s="154"/>
      <c r="F33" s="154"/>
      <c r="G33" s="154"/>
      <c r="H33" s="155"/>
      <c r="I33" s="156"/>
      <c r="J33" s="153"/>
      <c r="K33" s="155"/>
      <c r="L33" s="163"/>
      <c r="M33" s="153">
        <f>(M32*N32^2+O32*P32^2+Q32*R32^2)*PI()/4/100</f>
        <v>10.178760197630929</v>
      </c>
      <c r="N33" s="153"/>
      <c r="O33" s="153"/>
      <c r="P33" s="153"/>
      <c r="Q33" s="153"/>
      <c r="R33" s="153"/>
      <c r="S33" s="41" t="str">
        <f>IF(M35="Không tính","-",IF(((ABS(D32)*10^4-$D$12*M35*(G32-F34))/($D$8*E34*G32^2))&lt;$M$9,(ABS(D32)*10^4-$D$12*M35*(G32-F34))/($D$8*E34*G32^2),"Tăng Asc"))</f>
        <v>-</v>
      </c>
      <c r="T33" s="164"/>
      <c r="U33" s="73" t="str">
        <f>IF(OR(S33="-",S33="Tăng Asc"),"-",(0.5*(1+SQRT(1-2*S33))))</f>
        <v>-</v>
      </c>
      <c r="V33" s="150"/>
    </row>
    <row r="34" spans="1:22" ht="18" customHeight="1">
      <c r="A34" s="160"/>
      <c r="B34" s="149"/>
      <c r="C34" s="151"/>
      <c r="D34" s="152"/>
      <c r="E34" s="154">
        <v>20</v>
      </c>
      <c r="F34" s="157">
        <v>3</v>
      </c>
      <c r="G34" s="154"/>
      <c r="H34" s="155"/>
      <c r="I34" s="156"/>
      <c r="J34" s="153"/>
      <c r="K34" s="155"/>
      <c r="L34" s="163" t="s">
        <v>89</v>
      </c>
      <c r="M34" s="25"/>
      <c r="N34" s="24"/>
      <c r="O34" s="25"/>
      <c r="P34" s="24"/>
      <c r="Q34" s="25"/>
      <c r="R34" s="24"/>
      <c r="S34" s="40" t="s">
        <v>98</v>
      </c>
      <c r="T34" s="164"/>
      <c r="U34" s="162">
        <f>M33/K32</f>
        <v>4.8079152516114094</v>
      </c>
      <c r="V34" s="150"/>
    </row>
    <row r="35" spans="1:22" ht="18" customHeight="1">
      <c r="A35" s="160"/>
      <c r="B35" s="149"/>
      <c r="C35" s="151"/>
      <c r="D35" s="152"/>
      <c r="E35" s="154"/>
      <c r="F35" s="158"/>
      <c r="G35" s="154"/>
      <c r="H35" s="155"/>
      <c r="I35" s="156"/>
      <c r="J35" s="153"/>
      <c r="K35" s="155"/>
      <c r="L35" s="163"/>
      <c r="M35" s="153" t="str">
        <f>IF(J32="Cốt kép",(M34*N34^2+O34*P34^2+Q34*R34^2)*PI()/4/100,"Không tính")</f>
        <v>Không tính</v>
      </c>
      <c r="N35" s="153"/>
      <c r="O35" s="153"/>
      <c r="P35" s="153"/>
      <c r="Q35" s="153"/>
      <c r="R35" s="153"/>
      <c r="S35" s="119" t="str">
        <f>IF(OR(S33="-",S33="Tăng Asc"),"-",2*(1-U33))</f>
        <v>-</v>
      </c>
      <c r="T35" s="164"/>
      <c r="U35" s="162"/>
      <c r="V35" s="150"/>
    </row>
    <row r="36" spans="1:22" ht="18" customHeight="1">
      <c r="A36" s="160"/>
      <c r="B36" s="149" t="s">
        <v>142</v>
      </c>
      <c r="C36" s="151" t="s">
        <v>140</v>
      </c>
      <c r="D36" s="152">
        <v>1128.5740000000001</v>
      </c>
      <c r="E36" s="154">
        <v>70</v>
      </c>
      <c r="F36" s="157">
        <v>3</v>
      </c>
      <c r="G36" s="154">
        <f>E36-F36</f>
        <v>67</v>
      </c>
      <c r="H36" s="155">
        <f t="shared" ref="H36" si="7">(ABS(D36)*10^4)/($I$8*$D$8*E38*G36^2)</f>
        <v>0.20464694913347176</v>
      </c>
      <c r="I36" s="156">
        <f>IF(H36&gt;0.5,"Tăng tiết diện",ROUND(0.5*(1+SQRT(1-2*H36)),2))</f>
        <v>0.88</v>
      </c>
      <c r="J36" s="153" t="str">
        <f>IF($M$9&gt;H36,"Cốt đơn","Cốt kép")</f>
        <v>Cốt đơn</v>
      </c>
      <c r="K36" s="155">
        <f t="shared" ref="K36" si="8">IF(J36="Cốt kép",IF(S39*G36&gt;=2*F38,(S39*$D$8*E38*G36/$D$11)+($D$12*M39/$D$11),ABS(D36)*10^4/($D$11*(G36-F38))),(ABS(D36)*10^4)/($D$11*I36*G36))</f>
        <v>54.689571622407442</v>
      </c>
      <c r="L36" s="163" t="s">
        <v>88</v>
      </c>
      <c r="M36" s="25">
        <v>2</v>
      </c>
      <c r="N36" s="24">
        <v>18</v>
      </c>
      <c r="O36" s="25">
        <v>2</v>
      </c>
      <c r="P36" s="24">
        <v>18</v>
      </c>
      <c r="Q36" s="25"/>
      <c r="R36" s="24"/>
      <c r="S36" s="38" t="s">
        <v>91</v>
      </c>
      <c r="T36" s="164" t="str">
        <f>IF(M37&gt;=K36,"OK","Not OK")</f>
        <v>Not OK</v>
      </c>
      <c r="U36" s="72" t="s">
        <v>93</v>
      </c>
      <c r="V36" s="150">
        <f t="shared" ref="V36" si="9">M37/E38/G36*100</f>
        <v>0.21703113427784496</v>
      </c>
    </row>
    <row r="37" spans="1:22" ht="18" customHeight="1">
      <c r="A37" s="160"/>
      <c r="B37" s="149"/>
      <c r="C37" s="151"/>
      <c r="D37" s="152"/>
      <c r="E37" s="154"/>
      <c r="F37" s="158"/>
      <c r="G37" s="154"/>
      <c r="H37" s="155"/>
      <c r="I37" s="156"/>
      <c r="J37" s="153"/>
      <c r="K37" s="155"/>
      <c r="L37" s="163"/>
      <c r="M37" s="153">
        <f>(M36*N36^2+O36*P36^2+Q36*R36^2)*PI()/4/100</f>
        <v>10.178760197630929</v>
      </c>
      <c r="N37" s="153"/>
      <c r="O37" s="153"/>
      <c r="P37" s="153"/>
      <c r="Q37" s="153"/>
      <c r="R37" s="153"/>
      <c r="S37" s="39" t="str">
        <f>IF(M39="Không tính","-",IF(((ABS(D36)*10^4-$D$12*M39*(G36-F38))/($D$8*E38*G36^2))&lt;$M$9,(ABS(D36)*10^4-$D$12*M39*(G36-F38))/($D$8*E38*G36^2),"Tăng Asc"))</f>
        <v>-</v>
      </c>
      <c r="T37" s="164"/>
      <c r="U37" s="73" t="str">
        <f>IF(OR(S37="-",S37="Tăng Asc"),"-",(0.5*(1+SQRT(1-2*S37))))</f>
        <v>-</v>
      </c>
      <c r="V37" s="150"/>
    </row>
    <row r="38" spans="1:22" ht="18" customHeight="1">
      <c r="A38" s="160"/>
      <c r="B38" s="149"/>
      <c r="C38" s="151"/>
      <c r="D38" s="152"/>
      <c r="E38" s="154">
        <v>70</v>
      </c>
      <c r="F38" s="157">
        <v>3</v>
      </c>
      <c r="G38" s="154"/>
      <c r="H38" s="155"/>
      <c r="I38" s="156"/>
      <c r="J38" s="153"/>
      <c r="K38" s="155"/>
      <c r="L38" s="163" t="s">
        <v>89</v>
      </c>
      <c r="M38" s="25"/>
      <c r="N38" s="24"/>
      <c r="O38" s="25"/>
      <c r="P38" s="24"/>
      <c r="Q38" s="25"/>
      <c r="R38" s="24"/>
      <c r="S38" s="40" t="s">
        <v>98</v>
      </c>
      <c r="T38" s="164"/>
      <c r="U38" s="162">
        <f>M37/K36</f>
        <v>0.18611885037074383</v>
      </c>
      <c r="V38" s="150"/>
    </row>
    <row r="39" spans="1:22" ht="18" customHeight="1">
      <c r="A39" s="160"/>
      <c r="B39" s="149"/>
      <c r="C39" s="151"/>
      <c r="D39" s="152"/>
      <c r="E39" s="154"/>
      <c r="F39" s="158"/>
      <c r="G39" s="154"/>
      <c r="H39" s="155"/>
      <c r="I39" s="156"/>
      <c r="J39" s="153"/>
      <c r="K39" s="155"/>
      <c r="L39" s="163"/>
      <c r="M39" s="153" t="str">
        <f>IF(J36="Cốt kép",(M38*N38^2+O38*P38^2+Q38*R38^2)*PI()/4/100,"Không tính")</f>
        <v>Không tính</v>
      </c>
      <c r="N39" s="153"/>
      <c r="O39" s="153"/>
      <c r="P39" s="153"/>
      <c r="Q39" s="153"/>
      <c r="R39" s="153"/>
      <c r="S39" s="38" t="str">
        <f>IF(OR(S37="-",S37="Tăng Asc"),"-",2*(1-U37))</f>
        <v>-</v>
      </c>
      <c r="T39" s="164"/>
      <c r="U39" s="162"/>
      <c r="V39" s="150"/>
    </row>
    <row r="40" spans="1:22" s="11" customFormat="1" ht="18" customHeight="1">
      <c r="A40" s="160"/>
      <c r="B40" s="149"/>
      <c r="C40" s="151" t="s">
        <v>141</v>
      </c>
      <c r="D40" s="152">
        <v>809.37</v>
      </c>
      <c r="E40" s="154">
        <v>70</v>
      </c>
      <c r="F40" s="157">
        <v>3</v>
      </c>
      <c r="G40" s="154">
        <f>E40-F40</f>
        <v>67</v>
      </c>
      <c r="H40" s="155">
        <f t="shared" ref="H40" si="10">(ABS(D40)*10^4)/($I$8*$D$8*E42*G40^2)</f>
        <v>0.14676494516102448</v>
      </c>
      <c r="I40" s="156">
        <f>IF(H40&gt;0.5,"Tăng tiết diện",ROUND(0.5*(1+SQRT(1-2*H40)),2))</f>
        <v>0.92</v>
      </c>
      <c r="J40" s="153" t="str">
        <f>IF($M$9&gt;H40,"Cốt đơn","Cốt kép")</f>
        <v>Cốt đơn</v>
      </c>
      <c r="K40" s="155">
        <f t="shared" ref="K40" si="11">IF(J40="Cốt kép",IF(S43*G40&gt;=2*F42,(S43*$D$8*E42*G40/$D$11)+($D$12*M43/$D$11),ABS(D40)*10^4/($D$11*(G40-F42))),(ABS(D40)*10^4)/($D$11*I40*G40))</f>
        <v>37.515991471215351</v>
      </c>
      <c r="L40" s="163" t="s">
        <v>88</v>
      </c>
      <c r="M40" s="25">
        <v>2</v>
      </c>
      <c r="N40" s="24">
        <v>18</v>
      </c>
      <c r="O40" s="25">
        <v>2</v>
      </c>
      <c r="P40" s="24">
        <v>18</v>
      </c>
      <c r="Q40" s="25"/>
      <c r="R40" s="24"/>
      <c r="S40" s="70" t="s">
        <v>91</v>
      </c>
      <c r="T40" s="164" t="str">
        <f>IF(M41&gt;=K40,"OK","Not OK")</f>
        <v>Not OK</v>
      </c>
      <c r="U40" s="72" t="s">
        <v>93</v>
      </c>
      <c r="V40" s="150">
        <f t="shared" ref="V40" si="12">M41/E42/G40*100</f>
        <v>0.21703113427784496</v>
      </c>
    </row>
    <row r="41" spans="1:22" s="11" customFormat="1" ht="18" customHeight="1">
      <c r="A41" s="160"/>
      <c r="B41" s="149"/>
      <c r="C41" s="151"/>
      <c r="D41" s="152"/>
      <c r="E41" s="154"/>
      <c r="F41" s="158"/>
      <c r="G41" s="154"/>
      <c r="H41" s="155"/>
      <c r="I41" s="156"/>
      <c r="J41" s="153"/>
      <c r="K41" s="155"/>
      <c r="L41" s="163"/>
      <c r="M41" s="153">
        <f>(M40*N40^2+O40*P40^2+Q40*R40^2)*PI()/4/100</f>
        <v>10.178760197630929</v>
      </c>
      <c r="N41" s="153"/>
      <c r="O41" s="153"/>
      <c r="P41" s="153"/>
      <c r="Q41" s="153"/>
      <c r="R41" s="153"/>
      <c r="S41" s="39" t="str">
        <f>IF(M43="Không tính","-",IF(((ABS(D40)*10^4-$D$12*M43*(G40-F42))/($D$8*E42*G40^2))&lt;$M$9,(ABS(D40)*10^4-$D$12*M43*(G40-F42))/($D$8*E42*G40^2),"Tăng Asc"))</f>
        <v>-</v>
      </c>
      <c r="T41" s="164"/>
      <c r="U41" s="73" t="str">
        <f>IF(OR(S41="-",S41="Tăng Asc"),"-",(0.5*(1+SQRT(1-2*S41))))</f>
        <v>-</v>
      </c>
      <c r="V41" s="150"/>
    </row>
    <row r="42" spans="1:22" s="11" customFormat="1" ht="18" customHeight="1">
      <c r="A42" s="160"/>
      <c r="B42" s="149"/>
      <c r="C42" s="151"/>
      <c r="D42" s="152"/>
      <c r="E42" s="154">
        <v>70</v>
      </c>
      <c r="F42" s="157">
        <v>3</v>
      </c>
      <c r="G42" s="154"/>
      <c r="H42" s="155"/>
      <c r="I42" s="156"/>
      <c r="J42" s="153"/>
      <c r="K42" s="155"/>
      <c r="L42" s="163" t="s">
        <v>89</v>
      </c>
      <c r="M42" s="25"/>
      <c r="N42" s="24"/>
      <c r="O42" s="25"/>
      <c r="P42" s="24"/>
      <c r="Q42" s="25"/>
      <c r="R42" s="24"/>
      <c r="S42" s="40" t="s">
        <v>98</v>
      </c>
      <c r="T42" s="164"/>
      <c r="U42" s="162">
        <f>M41/K40</f>
        <v>0.27131790467115124</v>
      </c>
      <c r="V42" s="150"/>
    </row>
    <row r="43" spans="1:22" s="11" customFormat="1" ht="18" customHeight="1">
      <c r="A43" s="160"/>
      <c r="B43" s="149"/>
      <c r="C43" s="151"/>
      <c r="D43" s="152"/>
      <c r="E43" s="154"/>
      <c r="F43" s="158"/>
      <c r="G43" s="154"/>
      <c r="H43" s="155"/>
      <c r="I43" s="156"/>
      <c r="J43" s="153"/>
      <c r="K43" s="155"/>
      <c r="L43" s="163"/>
      <c r="M43" s="153" t="str">
        <f>IF(J40="Cốt kép",(M42*N42^2+O42*P42^2+Q42*R42^2)*PI()/4/100,"Không tính")</f>
        <v>Không tính</v>
      </c>
      <c r="N43" s="153"/>
      <c r="O43" s="153"/>
      <c r="P43" s="153"/>
      <c r="Q43" s="153"/>
      <c r="R43" s="153"/>
      <c r="S43" s="70" t="str">
        <f>IF(OR(S41="-",S41="Tăng Asc"),"-",2*(1-U41))</f>
        <v>-</v>
      </c>
      <c r="T43" s="164"/>
      <c r="U43" s="162"/>
      <c r="V43" s="150"/>
    </row>
    <row r="44" spans="1:22" s="11" customFormat="1" ht="18" customHeight="1">
      <c r="A44" s="160"/>
      <c r="B44" s="149" t="s">
        <v>144</v>
      </c>
      <c r="C44" s="151" t="s">
        <v>140</v>
      </c>
      <c r="D44" s="152">
        <v>-1301.9269999999999</v>
      </c>
      <c r="E44" s="154">
        <v>100</v>
      </c>
      <c r="F44" s="157">
        <v>3</v>
      </c>
      <c r="G44" s="154">
        <f>E44-F44</f>
        <v>97</v>
      </c>
      <c r="H44" s="155">
        <f t="shared" ref="H44" si="13">(ABS(D44)*10^4)/($I$8*$D$8*E46*G44^2)</f>
        <v>0.11263361013600147</v>
      </c>
      <c r="I44" s="156">
        <f>IF(H44&gt;0.5,"Tăng tiết diện",ROUND(0.5*(1+SQRT(1-2*H44)),2))</f>
        <v>0.94</v>
      </c>
      <c r="J44" s="153" t="str">
        <f>IF($M$9&gt;H44,"Cốt đơn","Cốt kép")</f>
        <v>Cốt đơn</v>
      </c>
      <c r="K44" s="155">
        <f t="shared" ref="K44" si="14">IF(J44="Cốt kép",IF(S47*G44&gt;=2*F46,(S47*$D$8*E46*G44/$D$11)+($D$12*M47/$D$11),ABS(D44)*10^4/($D$11*(G44-F46))),(ABS(D44)*10^4)/($D$11*I44*G44))</f>
        <v>40.796133237238742</v>
      </c>
      <c r="L44" s="163" t="s">
        <v>88</v>
      </c>
      <c r="M44" s="25">
        <v>5</v>
      </c>
      <c r="N44" s="24">
        <v>25</v>
      </c>
      <c r="O44" s="25">
        <v>4</v>
      </c>
      <c r="P44" s="24">
        <v>25</v>
      </c>
      <c r="Q44" s="25"/>
      <c r="R44" s="24"/>
      <c r="S44" s="70" t="s">
        <v>91</v>
      </c>
      <c r="T44" s="164" t="str">
        <f>IF(M45&gt;=K44,"OK","Not OK")</f>
        <v>OK</v>
      </c>
      <c r="U44" s="72" t="s">
        <v>93</v>
      </c>
      <c r="V44" s="150">
        <f t="shared" ref="V44" si="15">M45/E46/G44*100</f>
        <v>0.65064280841099364</v>
      </c>
    </row>
    <row r="45" spans="1:22" s="11" customFormat="1" ht="18" customHeight="1">
      <c r="A45" s="160"/>
      <c r="B45" s="149"/>
      <c r="C45" s="151"/>
      <c r="D45" s="152"/>
      <c r="E45" s="154"/>
      <c r="F45" s="158"/>
      <c r="G45" s="154"/>
      <c r="H45" s="155"/>
      <c r="I45" s="156"/>
      <c r="J45" s="153"/>
      <c r="K45" s="155"/>
      <c r="L45" s="163"/>
      <c r="M45" s="153">
        <f>(M44*N44^2+O44*P44^2+Q44*R44^2)*PI()/4/100</f>
        <v>44.178646691106472</v>
      </c>
      <c r="N45" s="153"/>
      <c r="O45" s="153"/>
      <c r="P45" s="153"/>
      <c r="Q45" s="153"/>
      <c r="R45" s="153"/>
      <c r="S45" s="39" t="str">
        <f>IF(M47="Không tính","-",IF(((ABS(D44)*10^4-$D$12*M47*(G44-F46))/($D$8*E46*G44^2))&lt;$M$9,(ABS(D44)*10^4-$D$12*M47*(G44-F46))/($D$8*E46*G44^2),"Tăng Asc"))</f>
        <v>-</v>
      </c>
      <c r="T45" s="164"/>
      <c r="U45" s="73" t="str">
        <f>IF(OR(S45="-",S45="Tăng Asc"),"-",(0.5*(1+SQRT(1-2*S45))))</f>
        <v>-</v>
      </c>
      <c r="V45" s="150"/>
    </row>
    <row r="46" spans="1:22" s="11" customFormat="1" ht="18" customHeight="1">
      <c r="A46" s="160"/>
      <c r="B46" s="149"/>
      <c r="C46" s="151"/>
      <c r="D46" s="152"/>
      <c r="E46" s="154">
        <v>70</v>
      </c>
      <c r="F46" s="157">
        <v>3</v>
      </c>
      <c r="G46" s="154"/>
      <c r="H46" s="155"/>
      <c r="I46" s="156"/>
      <c r="J46" s="153"/>
      <c r="K46" s="155"/>
      <c r="L46" s="163" t="s">
        <v>89</v>
      </c>
      <c r="M46" s="25"/>
      <c r="N46" s="24"/>
      <c r="O46" s="25"/>
      <c r="P46" s="24"/>
      <c r="Q46" s="25"/>
      <c r="R46" s="24"/>
      <c r="S46" s="40" t="s">
        <v>98</v>
      </c>
      <c r="T46" s="164"/>
      <c r="U46" s="162">
        <f>M45/K44</f>
        <v>1.0829125994416591</v>
      </c>
      <c r="V46" s="150"/>
    </row>
    <row r="47" spans="1:22" s="11" customFormat="1" ht="18" customHeight="1">
      <c r="A47" s="160"/>
      <c r="B47" s="149"/>
      <c r="C47" s="151"/>
      <c r="D47" s="152"/>
      <c r="E47" s="154"/>
      <c r="F47" s="158"/>
      <c r="G47" s="154"/>
      <c r="H47" s="155"/>
      <c r="I47" s="156"/>
      <c r="J47" s="153"/>
      <c r="K47" s="155"/>
      <c r="L47" s="163"/>
      <c r="M47" s="153" t="str">
        <f>IF(J44="Cốt kép",(M46*N46^2+O46*P46^2+Q46*R46^2)*PI()/4/100,"Không tính")</f>
        <v>Không tính</v>
      </c>
      <c r="N47" s="153"/>
      <c r="O47" s="153"/>
      <c r="P47" s="153"/>
      <c r="Q47" s="153"/>
      <c r="R47" s="153"/>
      <c r="S47" s="70" t="str">
        <f>IF(OR(S45="-",S45="Tăng Asc"),"-",2*(1-U45))</f>
        <v>-</v>
      </c>
      <c r="T47" s="164"/>
      <c r="U47" s="162"/>
      <c r="V47" s="150"/>
    </row>
    <row r="48" spans="1:22" ht="18" customHeight="1">
      <c r="A48" s="160"/>
      <c r="B48" s="149"/>
      <c r="C48" s="151" t="s">
        <v>141</v>
      </c>
      <c r="D48" s="152">
        <v>920.70399999999995</v>
      </c>
      <c r="E48" s="154">
        <v>100</v>
      </c>
      <c r="F48" s="157">
        <v>3</v>
      </c>
      <c r="G48" s="154">
        <f>E48-F48</f>
        <v>97</v>
      </c>
      <c r="H48" s="155">
        <f t="shared" ref="H48" si="16">(ABS(D48)*10^4)/($I$8*$D$8*E50*G48^2)</f>
        <v>7.9652864858519024E-2</v>
      </c>
      <c r="I48" s="156">
        <f>IF(H48&gt;0.5,"Tăng tiết diện",ROUND(0.5*(1+SQRT(1-2*H48)),2))</f>
        <v>0.96</v>
      </c>
      <c r="J48" s="153" t="str">
        <f>IF($M$9&gt;H48,"Cốt đơn","Cốt kép")</f>
        <v>Cốt đơn</v>
      </c>
      <c r="K48" s="155">
        <f t="shared" ref="K48" si="17">IF(J48="Cốt kép",IF(S51*G48&gt;=2*F50,(S51*$D$8*E50*G48/$D$11)+($D$12*M51/$D$11),ABS(D48)*10^4/($D$11*(G48-F50))),(ABS(D48)*10^4)/($D$11*I48*G48))</f>
        <v>28.249386352479135</v>
      </c>
      <c r="L48" s="163" t="s">
        <v>88</v>
      </c>
      <c r="M48" s="25">
        <v>5</v>
      </c>
      <c r="N48" s="24">
        <v>22</v>
      </c>
      <c r="O48" s="25">
        <v>4</v>
      </c>
      <c r="P48" s="24">
        <v>22</v>
      </c>
      <c r="Q48" s="25"/>
      <c r="R48" s="24"/>
      <c r="S48" s="38" t="s">
        <v>91</v>
      </c>
      <c r="T48" s="164" t="str">
        <f>IF(M49&gt;=K48,"OK","Not OK")</f>
        <v>OK</v>
      </c>
      <c r="U48" s="72" t="s">
        <v>93</v>
      </c>
      <c r="V48" s="150">
        <f t="shared" ref="V48" si="18">M49/E50/G48*100</f>
        <v>0.50385779083347348</v>
      </c>
    </row>
    <row r="49" spans="1:22" ht="18" customHeight="1">
      <c r="A49" s="160"/>
      <c r="B49" s="149"/>
      <c r="C49" s="151"/>
      <c r="D49" s="152"/>
      <c r="E49" s="154"/>
      <c r="F49" s="158"/>
      <c r="G49" s="154"/>
      <c r="H49" s="155"/>
      <c r="I49" s="156"/>
      <c r="J49" s="153"/>
      <c r="K49" s="155"/>
      <c r="L49" s="163"/>
      <c r="M49" s="153">
        <f>(M48*N48^2+O48*P48^2+Q48*R48^2)*PI()/4/100</f>
        <v>34.211943997592847</v>
      </c>
      <c r="N49" s="153"/>
      <c r="O49" s="153"/>
      <c r="P49" s="153"/>
      <c r="Q49" s="153"/>
      <c r="R49" s="153"/>
      <c r="S49" s="39" t="str">
        <f>IF(M51="Không tính","-",IF(((ABS(D48)*10^4-$D$12*M51*(G48-F50))/($D$8*E50*G48^2))&lt;$M$9,(ABS(D48)*10^4-$D$12*M51*(G48-F50))/($D$8*E50*G48^2),"Tăng Asc"))</f>
        <v>-</v>
      </c>
      <c r="T49" s="164"/>
      <c r="U49" s="73" t="str">
        <f>IF(OR(S49="-",S49="Tăng Asc"),"-",(0.5*(1+SQRT(1-2*S49))))</f>
        <v>-</v>
      </c>
      <c r="V49" s="150"/>
    </row>
    <row r="50" spans="1:22" ht="18" customHeight="1">
      <c r="A50" s="160"/>
      <c r="B50" s="149"/>
      <c r="C50" s="151"/>
      <c r="D50" s="152"/>
      <c r="E50" s="154">
        <v>70</v>
      </c>
      <c r="F50" s="157">
        <v>3</v>
      </c>
      <c r="G50" s="154"/>
      <c r="H50" s="155"/>
      <c r="I50" s="156"/>
      <c r="J50" s="153"/>
      <c r="K50" s="155"/>
      <c r="L50" s="163" t="s">
        <v>89</v>
      </c>
      <c r="M50" s="25"/>
      <c r="N50" s="24"/>
      <c r="O50" s="25"/>
      <c r="P50" s="24"/>
      <c r="Q50" s="25"/>
      <c r="R50" s="24"/>
      <c r="S50" s="40" t="s">
        <v>98</v>
      </c>
      <c r="T50" s="164"/>
      <c r="U50" s="162">
        <f>M49/K48</f>
        <v>1.211068572276808</v>
      </c>
      <c r="V50" s="150"/>
    </row>
    <row r="51" spans="1:22" ht="18" customHeight="1">
      <c r="A51" s="160"/>
      <c r="B51" s="149"/>
      <c r="C51" s="151"/>
      <c r="D51" s="152"/>
      <c r="E51" s="154"/>
      <c r="F51" s="158"/>
      <c r="G51" s="154"/>
      <c r="H51" s="155"/>
      <c r="I51" s="156"/>
      <c r="J51" s="153"/>
      <c r="K51" s="155"/>
      <c r="L51" s="163"/>
      <c r="M51" s="153" t="str">
        <f>IF(J48="Cốt kép",(M50*N50^2+O50*P50^2+Q50*R50^2)*PI()/4/100,"Không tính")</f>
        <v>Không tính</v>
      </c>
      <c r="N51" s="153"/>
      <c r="O51" s="153"/>
      <c r="P51" s="153"/>
      <c r="Q51" s="153"/>
      <c r="R51" s="153"/>
      <c r="S51" s="38" t="str">
        <f>IF(OR(S49="-",S49="Tăng Asc"),"-",2*(1-U49))</f>
        <v>-</v>
      </c>
      <c r="T51" s="164"/>
      <c r="U51" s="162"/>
      <c r="V51" s="150"/>
    </row>
    <row r="52" spans="1:22" ht="18" customHeight="1">
      <c r="A52" s="160"/>
      <c r="B52" s="149" t="s">
        <v>143</v>
      </c>
      <c r="C52" s="151" t="s">
        <v>140</v>
      </c>
      <c r="D52" s="152">
        <v>-768.55200000000002</v>
      </c>
      <c r="E52" s="154">
        <v>135</v>
      </c>
      <c r="F52" s="157">
        <v>3</v>
      </c>
      <c r="G52" s="154">
        <f>E52-F52</f>
        <v>132</v>
      </c>
      <c r="H52" s="155">
        <f t="shared" ref="H52" si="19">(ABS(D52)*10^4)/($I$8*$D$8*E54*G52^2)</f>
        <v>8.3777427211770644E-2</v>
      </c>
      <c r="I52" s="156">
        <f>IF(H52&gt;0.5,"Tăng tiết diện",ROUND(0.5*(1+SQRT(1-2*H52)),2))</f>
        <v>0.96</v>
      </c>
      <c r="J52" s="153" t="str">
        <f>IF($M$9&gt;H52,"Cốt đơn","Cốt kép")</f>
        <v>Cốt đơn</v>
      </c>
      <c r="K52" s="155">
        <f t="shared" ref="K52" si="20">IF(J52="Cốt kép",IF(S55*G52&gt;=2*F54,(S55*$D$8*E54*G52/$D$11)+($D$12*M55/$D$11),ABS(D52)*10^4/($D$11*(G52-F54))),(ABS(D52)*10^4)/($D$11*I52*G52))</f>
        <v>17.328463203463205</v>
      </c>
      <c r="L52" s="163" t="s">
        <v>88</v>
      </c>
      <c r="M52" s="25">
        <v>3</v>
      </c>
      <c r="N52" s="24">
        <v>22</v>
      </c>
      <c r="O52" s="25">
        <v>2</v>
      </c>
      <c r="P52" s="24">
        <v>22</v>
      </c>
      <c r="Q52" s="25"/>
      <c r="R52" s="24"/>
      <c r="S52" s="38" t="s">
        <v>91</v>
      </c>
      <c r="T52" s="164" t="str">
        <f>IF(M53&gt;=K52,"OK","Not OK")</f>
        <v>OK</v>
      </c>
      <c r="U52" s="72" t="s">
        <v>93</v>
      </c>
      <c r="V52" s="150">
        <f t="shared" ref="V52" si="21">M53/E54/G52*100</f>
        <v>0.47996554429844063</v>
      </c>
    </row>
    <row r="53" spans="1:22" ht="18" customHeight="1">
      <c r="A53" s="160"/>
      <c r="B53" s="149"/>
      <c r="C53" s="151"/>
      <c r="D53" s="152"/>
      <c r="E53" s="154"/>
      <c r="F53" s="158"/>
      <c r="G53" s="154"/>
      <c r="H53" s="155"/>
      <c r="I53" s="156"/>
      <c r="J53" s="153"/>
      <c r="K53" s="155"/>
      <c r="L53" s="163"/>
      <c r="M53" s="153">
        <f>(M52*N52^2+O52*P52^2+Q52*R52^2)*PI()/4/100</f>
        <v>19.006635554218249</v>
      </c>
      <c r="N53" s="153"/>
      <c r="O53" s="153"/>
      <c r="P53" s="153"/>
      <c r="Q53" s="153"/>
      <c r="R53" s="153"/>
      <c r="S53" s="39" t="str">
        <f>IF(M55="Không tính","-",IF(((ABS(D52)*10^4-$D$12*M55*(G52-F54))/($D$8*E54*G52^2))&lt;$M$9,(ABS(D52)*10^4-$D$12*M55*(G52-F54))/($D$8*E54*G52^2),"Tăng Asc"))</f>
        <v>-</v>
      </c>
      <c r="T53" s="164"/>
      <c r="U53" s="73" t="str">
        <f>IF(OR(S53="-",S53="Tăng Asc"),"-",(0.5*(1+SQRT(1-2*S53))))</f>
        <v>-</v>
      </c>
      <c r="V53" s="150"/>
    </row>
    <row r="54" spans="1:22" ht="18" customHeight="1">
      <c r="A54" s="160"/>
      <c r="B54" s="149"/>
      <c r="C54" s="151"/>
      <c r="D54" s="152"/>
      <c r="E54" s="154">
        <v>30</v>
      </c>
      <c r="F54" s="157">
        <v>3</v>
      </c>
      <c r="G54" s="154"/>
      <c r="H54" s="155"/>
      <c r="I54" s="156"/>
      <c r="J54" s="153"/>
      <c r="K54" s="155"/>
      <c r="L54" s="163" t="s">
        <v>89</v>
      </c>
      <c r="M54" s="25"/>
      <c r="N54" s="24"/>
      <c r="O54" s="25"/>
      <c r="P54" s="24"/>
      <c r="Q54" s="25"/>
      <c r="R54" s="24"/>
      <c r="S54" s="40" t="s">
        <v>98</v>
      </c>
      <c r="T54" s="164"/>
      <c r="U54" s="162">
        <f>M53/K52</f>
        <v>1.0968448460230247</v>
      </c>
      <c r="V54" s="150"/>
    </row>
    <row r="55" spans="1:22" ht="18" customHeight="1">
      <c r="A55" s="160"/>
      <c r="B55" s="149"/>
      <c r="C55" s="151"/>
      <c r="D55" s="152"/>
      <c r="E55" s="154"/>
      <c r="F55" s="158"/>
      <c r="G55" s="154"/>
      <c r="H55" s="155"/>
      <c r="I55" s="156"/>
      <c r="J55" s="153"/>
      <c r="K55" s="155"/>
      <c r="L55" s="163"/>
      <c r="M55" s="153" t="str">
        <f>IF(J52="Cốt kép",(M54*N54^2+O54*P54^2+Q54*R54^2)*PI()/4/100,"Không tính")</f>
        <v>Không tính</v>
      </c>
      <c r="N55" s="153"/>
      <c r="O55" s="153"/>
      <c r="P55" s="153"/>
      <c r="Q55" s="153"/>
      <c r="R55" s="153"/>
      <c r="S55" s="38" t="str">
        <f>IF(OR(S53="-",S53="Tăng Asc"),"-",2*(1-U53))</f>
        <v>-</v>
      </c>
      <c r="T55" s="164"/>
      <c r="U55" s="162"/>
      <c r="V55" s="150"/>
    </row>
    <row r="56" spans="1:22" ht="18" customHeight="1">
      <c r="A56" s="160"/>
      <c r="B56" s="149"/>
      <c r="C56" s="151" t="s">
        <v>141</v>
      </c>
      <c r="D56" s="152">
        <v>758.024</v>
      </c>
      <c r="E56" s="154">
        <v>135</v>
      </c>
      <c r="F56" s="157">
        <v>3</v>
      </c>
      <c r="G56" s="154">
        <f>E56-F56</f>
        <v>132</v>
      </c>
      <c r="H56" s="155">
        <f t="shared" ref="H56" si="22">(ABS(D56)*10^4)/($I$8*$D$8*E58*G56^2)</f>
        <v>8.2629803168523711E-2</v>
      </c>
      <c r="I56" s="156">
        <f>IF(H56&gt;0.5,"Tăng tiết diện",ROUND(0.5*(1+SQRT(1-2*H56)),2))</f>
        <v>0.96</v>
      </c>
      <c r="J56" s="153" t="str">
        <f>IF($M$9&gt;H56,"Cốt đơn","Cốt kép")</f>
        <v>Cốt đơn</v>
      </c>
      <c r="K56" s="155">
        <f t="shared" ref="K56" si="23">IF(J56="Cốt kép",IF(S59*G56&gt;=2*F58,(S59*$D$8*E58*G56/$D$11)+($D$12*M59/$D$11),ABS(D56)*10^4/($D$11*(G56-F58))),(ABS(D56)*10^4)/($D$11*I56*G56))</f>
        <v>17.091089466089468</v>
      </c>
      <c r="L56" s="163" t="s">
        <v>88</v>
      </c>
      <c r="M56" s="25">
        <v>3</v>
      </c>
      <c r="N56" s="24">
        <v>22</v>
      </c>
      <c r="O56" s="25">
        <v>2</v>
      </c>
      <c r="P56" s="24">
        <v>22</v>
      </c>
      <c r="Q56" s="25"/>
      <c r="R56" s="24"/>
      <c r="S56" s="38" t="s">
        <v>91</v>
      </c>
      <c r="T56" s="164" t="str">
        <f>IF(M57&gt;=K56,"OK","Not OK")</f>
        <v>OK</v>
      </c>
      <c r="U56" s="72" t="s">
        <v>93</v>
      </c>
      <c r="V56" s="150">
        <f t="shared" ref="V56" si="24">M57/E58/G56*100</f>
        <v>0.47996554429844063</v>
      </c>
    </row>
    <row r="57" spans="1:22" ht="18" customHeight="1">
      <c r="A57" s="160"/>
      <c r="B57" s="149"/>
      <c r="C57" s="151"/>
      <c r="D57" s="152"/>
      <c r="E57" s="154"/>
      <c r="F57" s="158"/>
      <c r="G57" s="154"/>
      <c r="H57" s="155"/>
      <c r="I57" s="156"/>
      <c r="J57" s="153"/>
      <c r="K57" s="155"/>
      <c r="L57" s="163"/>
      <c r="M57" s="153">
        <f>(M56*N56^2+O56*P56^2+Q56*R56^2)*PI()/4/100</f>
        <v>19.006635554218249</v>
      </c>
      <c r="N57" s="153"/>
      <c r="O57" s="153"/>
      <c r="P57" s="153"/>
      <c r="Q57" s="153"/>
      <c r="R57" s="153"/>
      <c r="S57" s="39" t="str">
        <f>IF(M59="Không tính","-",IF(((ABS(D56)*10^4-$D$12*M59*(G56-F58))/($D$8*E58*G56^2))&lt;$M$9,(ABS(D56)*10^4-$D$12*M59*(G56-F58))/($D$8*E58*G56^2),"Tăng Asc"))</f>
        <v>-</v>
      </c>
      <c r="T57" s="164"/>
      <c r="U57" s="73" t="str">
        <f>IF(OR(S57="-",S57="Tăng Asc"),"-",(0.5*(1+SQRT(1-2*S57))))</f>
        <v>-</v>
      </c>
      <c r="V57" s="150"/>
    </row>
    <row r="58" spans="1:22" ht="18" customHeight="1">
      <c r="A58" s="160"/>
      <c r="B58" s="149"/>
      <c r="C58" s="151"/>
      <c r="D58" s="152"/>
      <c r="E58" s="154">
        <v>30</v>
      </c>
      <c r="F58" s="157">
        <v>3</v>
      </c>
      <c r="G58" s="154"/>
      <c r="H58" s="155"/>
      <c r="I58" s="156"/>
      <c r="J58" s="153"/>
      <c r="K58" s="155"/>
      <c r="L58" s="163" t="s">
        <v>89</v>
      </c>
      <c r="M58" s="25"/>
      <c r="N58" s="24"/>
      <c r="O58" s="25"/>
      <c r="P58" s="24"/>
      <c r="Q58" s="25"/>
      <c r="R58" s="24"/>
      <c r="S58" s="40" t="s">
        <v>98</v>
      </c>
      <c r="T58" s="164"/>
      <c r="U58" s="162">
        <f>M57/K56</f>
        <v>1.1120786414423391</v>
      </c>
      <c r="V58" s="150"/>
    </row>
    <row r="59" spans="1:22" ht="18" customHeight="1">
      <c r="A59" s="160"/>
      <c r="B59" s="149"/>
      <c r="C59" s="151"/>
      <c r="D59" s="152"/>
      <c r="E59" s="154"/>
      <c r="F59" s="158"/>
      <c r="G59" s="154"/>
      <c r="H59" s="155"/>
      <c r="I59" s="156"/>
      <c r="J59" s="153"/>
      <c r="K59" s="155"/>
      <c r="L59" s="163"/>
      <c r="M59" s="153" t="str">
        <f>IF(J56="Cốt kép",(M58*N58^2+O58*P58^2+Q58*R58^2)*PI()/4/100,"Không tính")</f>
        <v>Không tính</v>
      </c>
      <c r="N59" s="153"/>
      <c r="O59" s="153"/>
      <c r="P59" s="153"/>
      <c r="Q59" s="153"/>
      <c r="R59" s="153"/>
      <c r="S59" s="38" t="str">
        <f>IF(OR(S57="-",S57="Tăng Asc"),"-",2*(1-U57))</f>
        <v>-</v>
      </c>
      <c r="T59" s="164"/>
      <c r="U59" s="162"/>
      <c r="V59" s="150"/>
    </row>
    <row r="60" spans="1:22" ht="18" customHeight="1">
      <c r="A60" s="160"/>
      <c r="B60" s="149" t="s">
        <v>145</v>
      </c>
      <c r="C60" s="151" t="s">
        <v>140</v>
      </c>
      <c r="D60" s="152">
        <v>-2652.1819999999998</v>
      </c>
      <c r="E60" s="154">
        <v>100</v>
      </c>
      <c r="F60" s="157">
        <v>3</v>
      </c>
      <c r="G60" s="154">
        <f>E60-F60</f>
        <v>97</v>
      </c>
      <c r="H60" s="155">
        <f t="shared" ref="H60" si="25">(ABS(D60)*10^4)/($I$8*$D$8*E62*G60^2)</f>
        <v>0.22944822052059799</v>
      </c>
      <c r="I60" s="156">
        <f>IF(H60&gt;0.5,"Tăng tiết diện",ROUND(0.5*(1+SQRT(1-2*H60)),2))</f>
        <v>0.87</v>
      </c>
      <c r="J60" s="153" t="str">
        <f>IF($M$9&gt;H60,"Cốt đơn","Cốt kép")</f>
        <v>Cốt đơn</v>
      </c>
      <c r="K60" s="155">
        <f t="shared" ref="K60" si="26">IF(J60="Cốt kép",IF(S63*G60&gt;=2*F62,(S63*$D$8*E62*G60/$D$11)+($D$12*M63/$D$11),ABS(D60)*10^4/($D$11*(G60-F62))),(ABS(D60)*10^4)/($D$11*I60*G60))</f>
        <v>89.793374299595399</v>
      </c>
      <c r="L60" s="163" t="s">
        <v>88</v>
      </c>
      <c r="M60" s="25">
        <v>5</v>
      </c>
      <c r="N60" s="24">
        <v>25</v>
      </c>
      <c r="O60" s="25">
        <v>9</v>
      </c>
      <c r="P60" s="24">
        <v>28</v>
      </c>
      <c r="Q60" s="25"/>
      <c r="R60" s="24"/>
      <c r="S60" s="38" t="s">
        <v>91</v>
      </c>
      <c r="T60" s="164" t="str">
        <f>IF(M61&gt;=K60,"OK","Not OK")</f>
        <v>Not OK</v>
      </c>
      <c r="U60" s="72" t="s">
        <v>93</v>
      </c>
      <c r="V60" s="150">
        <f t="shared" ref="V60" si="27">M61/E62/G60*100</f>
        <v>1.1776345657657468</v>
      </c>
    </row>
    <row r="61" spans="1:22" ht="18" customHeight="1">
      <c r="A61" s="160"/>
      <c r="B61" s="149"/>
      <c r="C61" s="151"/>
      <c r="D61" s="152"/>
      <c r="E61" s="154"/>
      <c r="F61" s="158"/>
      <c r="G61" s="154"/>
      <c r="H61" s="155"/>
      <c r="I61" s="156"/>
      <c r="J61" s="153"/>
      <c r="K61" s="155"/>
      <c r="L61" s="163"/>
      <c r="M61" s="153">
        <f>(M60*N60^2+O60*P60^2+Q60*R60^2)*PI()/4/100</f>
        <v>79.961387015494211</v>
      </c>
      <c r="N61" s="153"/>
      <c r="O61" s="153"/>
      <c r="P61" s="153"/>
      <c r="Q61" s="153"/>
      <c r="R61" s="153"/>
      <c r="S61" s="39" t="str">
        <f>IF(M63="Không tính","-",IF(((ABS(D60)*10^4-$D$12*M63*(G60-F62))/($D$8*E62*G60^2))&lt;$M$9,(ABS(D60)*10^4-$D$12*M63*(G60-F62))/($D$8*E62*G60^2),"Tăng Asc"))</f>
        <v>-</v>
      </c>
      <c r="T61" s="164"/>
      <c r="U61" s="73" t="str">
        <f>IF(OR(S61="-",S61="Tăng Asc"),"-",(0.5*(1+SQRT(1-2*S61))))</f>
        <v>-</v>
      </c>
      <c r="V61" s="150"/>
    </row>
    <row r="62" spans="1:22" ht="18" customHeight="1">
      <c r="A62" s="160"/>
      <c r="B62" s="149"/>
      <c r="C62" s="151"/>
      <c r="D62" s="152"/>
      <c r="E62" s="154">
        <v>70</v>
      </c>
      <c r="F62" s="157">
        <v>3</v>
      </c>
      <c r="G62" s="154"/>
      <c r="H62" s="155"/>
      <c r="I62" s="156"/>
      <c r="J62" s="153"/>
      <c r="K62" s="155"/>
      <c r="L62" s="163" t="s">
        <v>89</v>
      </c>
      <c r="M62" s="25"/>
      <c r="N62" s="24"/>
      <c r="O62" s="25"/>
      <c r="P62" s="24"/>
      <c r="Q62" s="25"/>
      <c r="R62" s="24"/>
      <c r="S62" s="40" t="s">
        <v>98</v>
      </c>
      <c r="T62" s="164"/>
      <c r="U62" s="162">
        <f>M61/K60</f>
        <v>0.89050431214115211</v>
      </c>
      <c r="V62" s="150"/>
    </row>
    <row r="63" spans="1:22" ht="18" customHeight="1">
      <c r="A63" s="160"/>
      <c r="B63" s="149"/>
      <c r="C63" s="151"/>
      <c r="D63" s="152"/>
      <c r="E63" s="154"/>
      <c r="F63" s="158"/>
      <c r="G63" s="154"/>
      <c r="H63" s="155"/>
      <c r="I63" s="156"/>
      <c r="J63" s="153"/>
      <c r="K63" s="155"/>
      <c r="L63" s="163"/>
      <c r="M63" s="153" t="str">
        <f>IF(J60="Cốt kép",(M62*N62^2+O62*P62^2+Q62*R62^2)*PI()/4/100,"Không tính")</f>
        <v>Không tính</v>
      </c>
      <c r="N63" s="153"/>
      <c r="O63" s="153"/>
      <c r="P63" s="153"/>
      <c r="Q63" s="153"/>
      <c r="R63" s="153"/>
      <c r="S63" s="38" t="str">
        <f>IF(OR(S61="-",S61="Tăng Asc"),"-",2*(1-U61))</f>
        <v>-</v>
      </c>
      <c r="T63" s="164"/>
      <c r="U63" s="162"/>
      <c r="V63" s="150"/>
    </row>
    <row r="64" spans="1:22" ht="18" customHeight="1">
      <c r="A64" s="160"/>
      <c r="B64" s="149"/>
      <c r="C64" s="151" t="s">
        <v>141</v>
      </c>
      <c r="D64" s="152">
        <v>1821.3150000000001</v>
      </c>
      <c r="E64" s="154">
        <v>100</v>
      </c>
      <c r="F64" s="157">
        <v>3</v>
      </c>
      <c r="G64" s="154">
        <f>E64-F64</f>
        <v>97</v>
      </c>
      <c r="H64" s="155">
        <f t="shared" ref="H64" si="28">(ABS(D64)*10^4)/($I$8*$D$8*E66*G64^2)</f>
        <v>0.15756742401444282</v>
      </c>
      <c r="I64" s="156">
        <f>IF(H64&gt;0.5,"Tăng tiết diện",ROUND(0.5*(1+SQRT(1-2*H64)),2))</f>
        <v>0.91</v>
      </c>
      <c r="J64" s="153" t="str">
        <f>IF($M$9&gt;H64,"Cốt đơn","Cốt kép")</f>
        <v>Cốt đơn</v>
      </c>
      <c r="K64" s="155">
        <f t="shared" ref="K64" si="29">IF(J64="Cốt kép",IF(S67*G64&gt;=2*F66,(S67*$D$8*E66*G64/$D$11)+($D$12*M67/$D$11),ABS(D64)*10^4/($D$11*(G64-F66))),(ABS(D64)*10^4)/($D$11*I64*G64))</f>
        <v>58.952726213403679</v>
      </c>
      <c r="L64" s="163" t="s">
        <v>88</v>
      </c>
      <c r="M64" s="25">
        <v>5</v>
      </c>
      <c r="N64" s="24">
        <v>25</v>
      </c>
      <c r="O64" s="25">
        <v>9</v>
      </c>
      <c r="P64" s="24">
        <v>22</v>
      </c>
      <c r="Q64" s="25"/>
      <c r="R64" s="24"/>
      <c r="S64" s="38" t="s">
        <v>91</v>
      </c>
      <c r="T64" s="164" t="str">
        <f>IF(M65&gt;=K64,"OK","Not OK")</f>
        <v>Not OK</v>
      </c>
      <c r="U64" s="72" t="s">
        <v>93</v>
      </c>
      <c r="V64" s="150">
        <f t="shared" ref="V64" si="30">M65/E66/G64*100</f>
        <v>0.86532601772847006</v>
      </c>
    </row>
    <row r="65" spans="1:22" ht="18" customHeight="1">
      <c r="A65" s="160"/>
      <c r="B65" s="149"/>
      <c r="C65" s="151"/>
      <c r="D65" s="152"/>
      <c r="E65" s="154"/>
      <c r="F65" s="158"/>
      <c r="G65" s="154"/>
      <c r="H65" s="155"/>
      <c r="I65" s="156"/>
      <c r="J65" s="153"/>
      <c r="K65" s="155"/>
      <c r="L65" s="163"/>
      <c r="M65" s="153">
        <f>(M64*N64^2+O64*P64^2+Q64*R64^2)*PI()/4/100</f>
        <v>58.755636603763108</v>
      </c>
      <c r="N65" s="153"/>
      <c r="O65" s="153"/>
      <c r="P65" s="153"/>
      <c r="Q65" s="153"/>
      <c r="R65" s="153"/>
      <c r="S65" s="39" t="str">
        <f>IF(M67="Không tính","-",IF(((ABS(D64)*10^4-$D$12*M67*(G64-F66))/($D$8*E66*G64^2))&lt;$M$9,(ABS(D64)*10^4-$D$12*M67*(G64-F66))/($D$8*E66*G64^2),"Tăng Asc"))</f>
        <v>-</v>
      </c>
      <c r="T65" s="164"/>
      <c r="U65" s="73" t="str">
        <f>IF(OR(S65="-",S65="Tăng Asc"),"-",(0.5*(1+SQRT(1-2*S65))))</f>
        <v>-</v>
      </c>
      <c r="V65" s="150"/>
    </row>
    <row r="66" spans="1:22" ht="18" customHeight="1">
      <c r="A66" s="160"/>
      <c r="B66" s="149"/>
      <c r="C66" s="151"/>
      <c r="D66" s="152"/>
      <c r="E66" s="154">
        <v>70</v>
      </c>
      <c r="F66" s="157">
        <v>3</v>
      </c>
      <c r="G66" s="154"/>
      <c r="H66" s="155"/>
      <c r="I66" s="156"/>
      <c r="J66" s="153"/>
      <c r="K66" s="155"/>
      <c r="L66" s="163" t="s">
        <v>89</v>
      </c>
      <c r="M66" s="25"/>
      <c r="N66" s="24"/>
      <c r="O66" s="25"/>
      <c r="P66" s="24"/>
      <c r="Q66" s="25"/>
      <c r="R66" s="24"/>
      <c r="S66" s="40" t="s">
        <v>98</v>
      </c>
      <c r="T66" s="164"/>
      <c r="U66" s="162">
        <f>M65/K64</f>
        <v>0.99665681941616879</v>
      </c>
      <c r="V66" s="150"/>
    </row>
    <row r="67" spans="1:22" ht="18" customHeight="1">
      <c r="A67" s="161"/>
      <c r="B67" s="149"/>
      <c r="C67" s="151"/>
      <c r="D67" s="152"/>
      <c r="E67" s="154"/>
      <c r="F67" s="158"/>
      <c r="G67" s="154"/>
      <c r="H67" s="155"/>
      <c r="I67" s="156"/>
      <c r="J67" s="153"/>
      <c r="K67" s="155"/>
      <c r="L67" s="163"/>
      <c r="M67" s="153" t="str">
        <f>IF(J64="Cốt kép",(M66*N66^2+O66*P66^2+Q66*R66^2)*PI()/4/100,"Không tính")</f>
        <v>Không tính</v>
      </c>
      <c r="N67" s="153"/>
      <c r="O67" s="153"/>
      <c r="P67" s="153"/>
      <c r="Q67" s="153"/>
      <c r="R67" s="153"/>
      <c r="S67" s="38" t="str">
        <f>IF(OR(S65="-",S65="Tăng Asc"),"-",2*(1-U65))</f>
        <v>-</v>
      </c>
      <c r="T67" s="164"/>
      <c r="U67" s="162"/>
      <c r="V67" s="150"/>
    </row>
    <row r="68" spans="1:22" ht="18" customHeight="1">
      <c r="V68" s="148"/>
    </row>
    <row r="69" spans="1:22" ht="18" customHeight="1">
      <c r="V69" s="148"/>
    </row>
    <row r="70" spans="1:22" ht="18" customHeight="1">
      <c r="V70" s="148"/>
    </row>
    <row r="71" spans="1:22" ht="18" customHeight="1">
      <c r="V71" s="148"/>
    </row>
    <row r="72" spans="1:22" ht="18" customHeight="1">
      <c r="V72" s="148"/>
    </row>
    <row r="73" spans="1:22" ht="18" customHeight="1">
      <c r="V73" s="148"/>
    </row>
    <row r="74" spans="1:22" ht="18" customHeight="1">
      <c r="V74" s="148"/>
    </row>
    <row r="75" spans="1:22" ht="18" customHeight="1">
      <c r="V75" s="148"/>
    </row>
    <row r="76" spans="1:22" ht="18" customHeight="1">
      <c r="V76" s="148"/>
    </row>
    <row r="77" spans="1:22" ht="18" customHeight="1">
      <c r="V77" s="148"/>
    </row>
    <row r="78" spans="1:22" ht="18" customHeight="1">
      <c r="V78" s="148"/>
    </row>
    <row r="79" spans="1:22" ht="18" customHeight="1">
      <c r="V79" s="148"/>
    </row>
  </sheetData>
  <mergeCells count="247">
    <mergeCell ref="D60:D63"/>
    <mergeCell ref="T32:T35"/>
    <mergeCell ref="M33:R33"/>
    <mergeCell ref="E34:E35"/>
    <mergeCell ref="C36:C39"/>
    <mergeCell ref="L36:L37"/>
    <mergeCell ref="E38:E39"/>
    <mergeCell ref="F38:F39"/>
    <mergeCell ref="L38:L39"/>
    <mergeCell ref="C32:C35"/>
    <mergeCell ref="D32:D35"/>
    <mergeCell ref="E32:E33"/>
    <mergeCell ref="F32:F33"/>
    <mergeCell ref="G32:G35"/>
    <mergeCell ref="K32:K35"/>
    <mergeCell ref="L32:L33"/>
    <mergeCell ref="C52:C55"/>
    <mergeCell ref="D52:D55"/>
    <mergeCell ref="E52:E53"/>
    <mergeCell ref="L60:L61"/>
    <mergeCell ref="T60:T63"/>
    <mergeCell ref="M61:R61"/>
    <mergeCell ref="E62:E63"/>
    <mergeCell ref="F62:F63"/>
    <mergeCell ref="A1:K2"/>
    <mergeCell ref="L1:T2"/>
    <mergeCell ref="U22:U23"/>
    <mergeCell ref="C60:C63"/>
    <mergeCell ref="J17:J19"/>
    <mergeCell ref="K17:K18"/>
    <mergeCell ref="M8:N8"/>
    <mergeCell ref="M9:N9"/>
    <mergeCell ref="L17:S17"/>
    <mergeCell ref="L18:S18"/>
    <mergeCell ref="L19:S19"/>
    <mergeCell ref="J16:S16"/>
    <mergeCell ref="T16:T19"/>
    <mergeCell ref="C16:C19"/>
    <mergeCell ref="B16:B19"/>
    <mergeCell ref="A16:A19"/>
    <mergeCell ref="B11:B13"/>
    <mergeCell ref="D16:D17"/>
    <mergeCell ref="E16:G16"/>
    <mergeCell ref="T20:T23"/>
    <mergeCell ref="E60:E61"/>
    <mergeCell ref="F60:F61"/>
    <mergeCell ref="T24:T27"/>
    <mergeCell ref="F20:F21"/>
    <mergeCell ref="M27:R27"/>
    <mergeCell ref="D24:D27"/>
    <mergeCell ref="E24:E25"/>
    <mergeCell ref="E26:E27"/>
    <mergeCell ref="G24:G27"/>
    <mergeCell ref="H24:H27"/>
    <mergeCell ref="E22:E23"/>
    <mergeCell ref="G20:G23"/>
    <mergeCell ref="H20:H23"/>
    <mergeCell ref="I20:I23"/>
    <mergeCell ref="F22:F23"/>
    <mergeCell ref="F24:F25"/>
    <mergeCell ref="D36:D39"/>
    <mergeCell ref="E36:E37"/>
    <mergeCell ref="F36:F37"/>
    <mergeCell ref="G36:G39"/>
    <mergeCell ref="H36:H39"/>
    <mergeCell ref="I36:I39"/>
    <mergeCell ref="J36:J39"/>
    <mergeCell ref="F26:F27"/>
    <mergeCell ref="K20:K23"/>
    <mergeCell ref="G17:G18"/>
    <mergeCell ref="H16:I16"/>
    <mergeCell ref="H17:H19"/>
    <mergeCell ref="I17:I19"/>
    <mergeCell ref="L20:L21"/>
    <mergeCell ref="L22:L23"/>
    <mergeCell ref="L24:L25"/>
    <mergeCell ref="M21:R21"/>
    <mergeCell ref="M23:R23"/>
    <mergeCell ref="M25:R25"/>
    <mergeCell ref="C48:C51"/>
    <mergeCell ref="D48:D51"/>
    <mergeCell ref="E48:E49"/>
    <mergeCell ref="F48:F49"/>
    <mergeCell ref="G48:G51"/>
    <mergeCell ref="H48:H51"/>
    <mergeCell ref="I48:I51"/>
    <mergeCell ref="J48:J51"/>
    <mergeCell ref="K48:K51"/>
    <mergeCell ref="E50:E51"/>
    <mergeCell ref="F50:F51"/>
    <mergeCell ref="C20:C23"/>
    <mergeCell ref="D20:D23"/>
    <mergeCell ref="E20:E21"/>
    <mergeCell ref="F34:F35"/>
    <mergeCell ref="L34:L35"/>
    <mergeCell ref="M35:R35"/>
    <mergeCell ref="M37:R37"/>
    <mergeCell ref="M39:R39"/>
    <mergeCell ref="M47:R47"/>
    <mergeCell ref="I24:I27"/>
    <mergeCell ref="J24:J27"/>
    <mergeCell ref="K24:K27"/>
    <mergeCell ref="E28:E29"/>
    <mergeCell ref="F28:F29"/>
    <mergeCell ref="G28:G31"/>
    <mergeCell ref="H28:H31"/>
    <mergeCell ref="I28:I31"/>
    <mergeCell ref="L26:L27"/>
    <mergeCell ref="C24:C27"/>
    <mergeCell ref="C44:C47"/>
    <mergeCell ref="D44:D47"/>
    <mergeCell ref="E44:E45"/>
    <mergeCell ref="F44:F45"/>
    <mergeCell ref="J20:J23"/>
    <mergeCell ref="I52:I55"/>
    <mergeCell ref="M49:R49"/>
    <mergeCell ref="L50:L51"/>
    <mergeCell ref="M51:R51"/>
    <mergeCell ref="J52:J55"/>
    <mergeCell ref="K52:K55"/>
    <mergeCell ref="L52:L53"/>
    <mergeCell ref="T52:T55"/>
    <mergeCell ref="M53:R53"/>
    <mergeCell ref="T48:T51"/>
    <mergeCell ref="L48:L49"/>
    <mergeCell ref="U26:U27"/>
    <mergeCell ref="U34:U35"/>
    <mergeCell ref="U38:U39"/>
    <mergeCell ref="U50:U51"/>
    <mergeCell ref="K40:K43"/>
    <mergeCell ref="L40:L41"/>
    <mergeCell ref="T40:T43"/>
    <mergeCell ref="M41:R41"/>
    <mergeCell ref="L42:L43"/>
    <mergeCell ref="U42:U43"/>
    <mergeCell ref="M43:R43"/>
    <mergeCell ref="K44:K47"/>
    <mergeCell ref="L44:L45"/>
    <mergeCell ref="T44:T47"/>
    <mergeCell ref="M45:R45"/>
    <mergeCell ref="L46:L47"/>
    <mergeCell ref="U46:U47"/>
    <mergeCell ref="T36:T39"/>
    <mergeCell ref="T28:T31"/>
    <mergeCell ref="M29:R29"/>
    <mergeCell ref="U30:U31"/>
    <mergeCell ref="L28:L29"/>
    <mergeCell ref="L30:L31"/>
    <mergeCell ref="K36:K39"/>
    <mergeCell ref="C56:C59"/>
    <mergeCell ref="D56:D59"/>
    <mergeCell ref="E56:E57"/>
    <mergeCell ref="F56:F57"/>
    <mergeCell ref="G56:G59"/>
    <mergeCell ref="H56:H59"/>
    <mergeCell ref="I56:I59"/>
    <mergeCell ref="J56:J59"/>
    <mergeCell ref="K56:K59"/>
    <mergeCell ref="E58:E59"/>
    <mergeCell ref="F58:F59"/>
    <mergeCell ref="T64:T67"/>
    <mergeCell ref="M65:R65"/>
    <mergeCell ref="E66:E67"/>
    <mergeCell ref="F66:F67"/>
    <mergeCell ref="L66:L67"/>
    <mergeCell ref="U66:U67"/>
    <mergeCell ref="M67:R67"/>
    <mergeCell ref="G60:G63"/>
    <mergeCell ref="H60:H63"/>
    <mergeCell ref="I60:I63"/>
    <mergeCell ref="J60:J63"/>
    <mergeCell ref="K60:K63"/>
    <mergeCell ref="L62:L63"/>
    <mergeCell ref="U62:U63"/>
    <mergeCell ref="M63:R63"/>
    <mergeCell ref="F30:F31"/>
    <mergeCell ref="J32:J35"/>
    <mergeCell ref="A20:A67"/>
    <mergeCell ref="U54:U55"/>
    <mergeCell ref="L56:L57"/>
    <mergeCell ref="T56:T59"/>
    <mergeCell ref="M57:R57"/>
    <mergeCell ref="L58:L59"/>
    <mergeCell ref="U58:U59"/>
    <mergeCell ref="M59:R59"/>
    <mergeCell ref="E54:E55"/>
    <mergeCell ref="F54:F55"/>
    <mergeCell ref="L54:L55"/>
    <mergeCell ref="M55:R55"/>
    <mergeCell ref="C64:C67"/>
    <mergeCell ref="D64:D67"/>
    <mergeCell ref="E64:E65"/>
    <mergeCell ref="F64:F65"/>
    <mergeCell ref="G64:G67"/>
    <mergeCell ref="H64:H67"/>
    <mergeCell ref="I64:I67"/>
    <mergeCell ref="J64:J67"/>
    <mergeCell ref="K64:K67"/>
    <mergeCell ref="L64:L65"/>
    <mergeCell ref="V68:V71"/>
    <mergeCell ref="G44:G47"/>
    <mergeCell ref="H44:H47"/>
    <mergeCell ref="I44:I47"/>
    <mergeCell ref="M31:R31"/>
    <mergeCell ref="H32:H35"/>
    <mergeCell ref="I32:I35"/>
    <mergeCell ref="C40:C43"/>
    <mergeCell ref="D40:D43"/>
    <mergeCell ref="E40:E41"/>
    <mergeCell ref="F40:F41"/>
    <mergeCell ref="G40:G43"/>
    <mergeCell ref="H40:H43"/>
    <mergeCell ref="I40:I43"/>
    <mergeCell ref="J40:J43"/>
    <mergeCell ref="E42:E43"/>
    <mergeCell ref="F42:F43"/>
    <mergeCell ref="K28:K31"/>
    <mergeCell ref="F52:F53"/>
    <mergeCell ref="G52:G55"/>
    <mergeCell ref="H52:H55"/>
    <mergeCell ref="E46:E47"/>
    <mergeCell ref="F46:F47"/>
    <mergeCell ref="E30:E31"/>
    <mergeCell ref="V72:V75"/>
    <mergeCell ref="V76:V79"/>
    <mergeCell ref="B20:B27"/>
    <mergeCell ref="B28:B35"/>
    <mergeCell ref="B36:B43"/>
    <mergeCell ref="B44:B51"/>
    <mergeCell ref="B52:B59"/>
    <mergeCell ref="B60:B67"/>
    <mergeCell ref="V56:V59"/>
    <mergeCell ref="V60:V63"/>
    <mergeCell ref="V64:V67"/>
    <mergeCell ref="V20:V23"/>
    <mergeCell ref="V24:V27"/>
    <mergeCell ref="V28:V31"/>
    <mergeCell ref="V32:V35"/>
    <mergeCell ref="V36:V39"/>
    <mergeCell ref="V40:V43"/>
    <mergeCell ref="V44:V47"/>
    <mergeCell ref="V48:V51"/>
    <mergeCell ref="V52:V55"/>
    <mergeCell ref="C28:C31"/>
    <mergeCell ref="D28:D31"/>
    <mergeCell ref="J28:J31"/>
    <mergeCell ref="J44:J47"/>
  </mergeCells>
  <dataValidations disablePrompts="1" count="5">
    <dataValidation type="list" allowBlank="1" showInputMessage="1" showErrorMessage="1" sqref="J8:J10 I10" xr:uid="{00000000-0002-0000-0200-000000000000}">
      <formula1>#REF!</formula1>
    </dataValidation>
    <dataValidation type="list" allowBlank="1" showInputMessage="1" showErrorMessage="1" sqref="T4" xr:uid="{00000000-0002-0000-0200-000001000000}">
      <formula1>$AU$1:$AU$2</formula1>
    </dataValidation>
    <dataValidation type="list" allowBlank="1" showInputMessage="1" showErrorMessage="1" sqref="I11" xr:uid="{00000000-0002-0000-0200-000002000000}">
      <formula1>$AV$1:$AV$2</formula1>
    </dataValidation>
    <dataValidation type="list" allowBlank="1" showInputMessage="1" showErrorMessage="1" sqref="I8" xr:uid="{00000000-0002-0000-0200-000003000000}">
      <formula1>$AW$1:$AW$3</formula1>
    </dataValidation>
    <dataValidation type="list" allowBlank="1" showInputMessage="1" showErrorMessage="1" sqref="I9" xr:uid="{00000000-0002-0000-0200-000004000000}">
      <formula1>$AX$1:$AX$3</formula1>
    </dataValidation>
  </dataValidations>
  <printOptions horizontalCentered="1"/>
  <pageMargins left="0.7" right="0.25" top="0.25" bottom="0.25" header="0.3" footer="0.3"/>
  <pageSetup paperSize="9" scale="5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</vt:lpstr>
      <vt:lpstr>TinhNhanhChiuCat</vt:lpstr>
      <vt:lpstr>TinhToan</vt:lpstr>
      <vt:lpstr>TinhToan!Print_Area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APC</dc:creator>
  <cp:lastModifiedBy>Cao Minh Thành</cp:lastModifiedBy>
  <cp:lastPrinted>2018-06-16T02:49:15Z</cp:lastPrinted>
  <dcterms:created xsi:type="dcterms:W3CDTF">2016-07-27T06:33:46Z</dcterms:created>
  <dcterms:modified xsi:type="dcterms:W3CDTF">2020-07-20T07:55:23Z</dcterms:modified>
</cp:coreProperties>
</file>