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rajatmathur/OneDrive/Masters/Fall-2017/Indep Study/Independent_Study_rajatdem/"/>
    </mc:Choice>
  </mc:AlternateContent>
  <bookViews>
    <workbookView xWindow="0" yWindow="460" windowWidth="27840" windowHeight="17540" tabRatio="500" activeTab="2"/>
  </bookViews>
  <sheets>
    <sheet name="Data" sheetId="1" r:id="rId1"/>
    <sheet name="Sheet1" sheetId="13" state="hidden" r:id="rId2"/>
    <sheet name="Validations" sheetId="11" r:id="rId3"/>
    <sheet name="Plots" sheetId="7" r:id="rId4"/>
    <sheet name="t-tests" sheetId="12"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0" i="12" l="1"/>
  <c r="E59" i="12"/>
  <c r="E58" i="12"/>
  <c r="E57" i="12"/>
  <c r="E56" i="12"/>
  <c r="E55" i="12"/>
  <c r="E54" i="12"/>
  <c r="E53" i="12"/>
  <c r="E52" i="12"/>
  <c r="E51" i="12"/>
  <c r="E50" i="12"/>
  <c r="E49" i="12"/>
  <c r="E48" i="12"/>
  <c r="E47" i="12"/>
  <c r="E46" i="12"/>
  <c r="E45" i="12"/>
  <c r="E44" i="12"/>
  <c r="E43" i="12"/>
  <c r="E42" i="12"/>
  <c r="E41" i="12"/>
  <c r="E40" i="12"/>
  <c r="E39" i="12"/>
  <c r="E38" i="12"/>
  <c r="E37" i="12"/>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2" i="11"/>
  <c r="C2" i="11"/>
  <c r="D2" i="11"/>
  <c r="E2" i="11"/>
  <c r="G2" i="11"/>
  <c r="H2" i="11"/>
  <c r="I2" i="11"/>
  <c r="J2" i="11"/>
  <c r="K2" i="11"/>
  <c r="C3" i="11"/>
  <c r="D3" i="11"/>
  <c r="E3" i="11"/>
  <c r="G3" i="11"/>
  <c r="H3" i="11"/>
  <c r="I3" i="11"/>
  <c r="J3" i="11"/>
  <c r="K3" i="11"/>
  <c r="C4" i="11"/>
  <c r="D4" i="11"/>
  <c r="E4" i="11"/>
  <c r="G4" i="11"/>
  <c r="H4" i="11"/>
  <c r="I4" i="11"/>
  <c r="J4" i="11"/>
  <c r="K4" i="11"/>
  <c r="C5" i="11"/>
  <c r="D5" i="11"/>
  <c r="E5" i="11"/>
  <c r="G5" i="11"/>
  <c r="H5" i="11"/>
  <c r="I5" i="11"/>
  <c r="J5" i="11"/>
  <c r="K5" i="11"/>
  <c r="C6" i="11"/>
  <c r="D6" i="11"/>
  <c r="E6" i="11"/>
  <c r="G6" i="11"/>
  <c r="H6" i="11"/>
  <c r="I6" i="11"/>
  <c r="J6" i="11"/>
  <c r="K6" i="11"/>
  <c r="C7" i="11"/>
  <c r="D7" i="11"/>
  <c r="E7" i="11"/>
  <c r="G7" i="11"/>
  <c r="H7" i="11"/>
  <c r="I7" i="11"/>
  <c r="J7" i="11"/>
  <c r="K7" i="11"/>
  <c r="C8" i="11"/>
  <c r="D8" i="11"/>
  <c r="E8" i="11"/>
  <c r="G8" i="11"/>
  <c r="H8" i="11"/>
  <c r="I8" i="11"/>
  <c r="J8" i="11"/>
  <c r="K8" i="11"/>
  <c r="C9" i="11"/>
  <c r="D9" i="11"/>
  <c r="E9" i="11"/>
  <c r="G9" i="11"/>
  <c r="H9" i="11"/>
  <c r="I9" i="11"/>
  <c r="J9" i="11"/>
  <c r="K9" i="11"/>
  <c r="C10" i="11"/>
  <c r="D10" i="11"/>
  <c r="E10" i="11"/>
  <c r="G10" i="11"/>
  <c r="H10" i="11"/>
  <c r="I10" i="11"/>
  <c r="J10" i="11"/>
  <c r="K10" i="11"/>
  <c r="C11" i="11"/>
  <c r="D11" i="11"/>
  <c r="E11" i="11"/>
  <c r="G11" i="11"/>
  <c r="H11" i="11"/>
  <c r="I11" i="11"/>
  <c r="J11" i="11"/>
  <c r="K11" i="11"/>
  <c r="C12" i="11"/>
  <c r="D12" i="11"/>
  <c r="E12" i="11"/>
  <c r="G12" i="11"/>
  <c r="H12" i="11"/>
  <c r="I12" i="11"/>
  <c r="J12" i="11"/>
  <c r="K12" i="11"/>
  <c r="C13" i="11"/>
  <c r="D13" i="11"/>
  <c r="E13" i="11"/>
  <c r="G13" i="11"/>
  <c r="H13" i="11"/>
  <c r="I13" i="11"/>
  <c r="J13" i="11"/>
  <c r="K13" i="11"/>
  <c r="C14" i="11"/>
  <c r="D14" i="11"/>
  <c r="E14" i="11"/>
  <c r="G14" i="11"/>
  <c r="H14" i="11"/>
  <c r="I14" i="11"/>
  <c r="J14" i="11"/>
  <c r="K14" i="11"/>
  <c r="C15" i="11"/>
  <c r="D15" i="11"/>
  <c r="E15" i="11"/>
  <c r="G15" i="11"/>
  <c r="H15" i="11"/>
  <c r="I15" i="11"/>
  <c r="J15" i="11"/>
  <c r="K15" i="11"/>
  <c r="C16" i="11"/>
  <c r="D16" i="11"/>
  <c r="E16" i="11"/>
  <c r="G16" i="11"/>
  <c r="H16" i="11"/>
  <c r="I16" i="11"/>
  <c r="J16" i="11"/>
  <c r="K16" i="11"/>
  <c r="C17" i="11"/>
  <c r="D17" i="11"/>
  <c r="E17" i="11"/>
  <c r="G17" i="11"/>
  <c r="H17" i="11"/>
  <c r="I17" i="11"/>
  <c r="J17" i="11"/>
  <c r="K17" i="11"/>
  <c r="C18" i="11"/>
  <c r="D18" i="11"/>
  <c r="E18" i="11"/>
  <c r="G18" i="11"/>
  <c r="H18" i="11"/>
  <c r="I18" i="11"/>
  <c r="J18" i="11"/>
  <c r="K18" i="11"/>
  <c r="C19" i="11"/>
  <c r="D19" i="11"/>
  <c r="E19" i="11"/>
  <c r="G19" i="11"/>
  <c r="H19" i="11"/>
  <c r="I19" i="11"/>
  <c r="J19" i="11"/>
  <c r="K19" i="11"/>
  <c r="C20" i="11"/>
  <c r="D20" i="11"/>
  <c r="E20" i="11"/>
  <c r="G20" i="11"/>
  <c r="H20" i="11"/>
  <c r="I20" i="11"/>
  <c r="J20" i="11"/>
  <c r="K20" i="11"/>
  <c r="C21" i="11"/>
  <c r="D21" i="11"/>
  <c r="E21" i="11"/>
  <c r="G21" i="11"/>
  <c r="H21" i="11"/>
  <c r="I21" i="11"/>
  <c r="J21" i="11"/>
  <c r="K21" i="11"/>
  <c r="C22" i="11"/>
  <c r="D22" i="11"/>
  <c r="E22" i="11"/>
  <c r="G22" i="11"/>
  <c r="H22" i="11"/>
  <c r="I22" i="11"/>
  <c r="J22" i="11"/>
  <c r="K22" i="11"/>
  <c r="C23" i="11"/>
  <c r="D23" i="11"/>
  <c r="E23" i="11"/>
  <c r="G23" i="11"/>
  <c r="H23" i="11"/>
  <c r="I23" i="11"/>
  <c r="J23" i="11"/>
  <c r="K23" i="11"/>
  <c r="C24" i="11"/>
  <c r="D24" i="11"/>
  <c r="E24" i="11"/>
  <c r="G24" i="11"/>
  <c r="H24" i="11"/>
  <c r="I24" i="11"/>
  <c r="J24" i="11"/>
  <c r="K24" i="11"/>
  <c r="C25" i="11"/>
  <c r="D25" i="11"/>
  <c r="E25" i="11"/>
  <c r="G25" i="11"/>
  <c r="H25" i="11"/>
  <c r="I25" i="11"/>
  <c r="J25" i="11"/>
  <c r="K25" i="11"/>
  <c r="C26" i="11"/>
  <c r="D26" i="11"/>
  <c r="E26" i="11"/>
  <c r="G26" i="11"/>
  <c r="H26" i="11"/>
  <c r="I26" i="11"/>
  <c r="J26" i="11"/>
  <c r="K26" i="11"/>
  <c r="C27" i="11"/>
  <c r="D27" i="11"/>
  <c r="E27" i="11"/>
  <c r="G27" i="11"/>
  <c r="H27" i="11"/>
  <c r="I27" i="11"/>
  <c r="J27" i="11"/>
  <c r="K27" i="11"/>
  <c r="C28" i="11"/>
  <c r="D28" i="11"/>
  <c r="E28" i="11"/>
  <c r="G28" i="11"/>
  <c r="H28" i="11"/>
  <c r="I28" i="11"/>
  <c r="J28" i="11"/>
  <c r="K28" i="11"/>
  <c r="C29" i="11"/>
  <c r="D29" i="11"/>
  <c r="E29" i="11"/>
  <c r="G29" i="11"/>
  <c r="H29" i="11"/>
  <c r="I29" i="11"/>
  <c r="J29" i="11"/>
  <c r="K29" i="11"/>
  <c r="C30" i="11"/>
  <c r="D30" i="11"/>
  <c r="E30" i="11"/>
  <c r="G30" i="11"/>
  <c r="H30" i="11"/>
  <c r="I30" i="11"/>
  <c r="J30" i="11"/>
  <c r="K30" i="11"/>
  <c r="G2" i="1"/>
  <c r="B2" i="13"/>
  <c r="C2" i="13"/>
  <c r="G3" i="1"/>
  <c r="B3" i="13"/>
  <c r="C3" i="13"/>
  <c r="G4" i="1"/>
  <c r="B4" i="13"/>
  <c r="C4" i="13"/>
  <c r="G5" i="1"/>
  <c r="B5" i="13"/>
  <c r="C5" i="13"/>
  <c r="G6" i="1"/>
  <c r="B6" i="13"/>
  <c r="C6" i="13"/>
  <c r="G7" i="1"/>
  <c r="B7" i="13"/>
  <c r="C7" i="13"/>
  <c r="G8" i="1"/>
  <c r="B8" i="13"/>
  <c r="C8" i="13"/>
  <c r="G9" i="1"/>
  <c r="B9" i="13"/>
  <c r="C9" i="13"/>
  <c r="G10" i="1"/>
  <c r="B10" i="13"/>
  <c r="C10" i="13"/>
  <c r="G11" i="1"/>
  <c r="B11" i="13"/>
  <c r="C11" i="13"/>
  <c r="G12" i="1"/>
  <c r="B12" i="13"/>
  <c r="C12" i="13"/>
  <c r="G13" i="1"/>
  <c r="B13" i="13"/>
  <c r="C13" i="13"/>
  <c r="G14" i="1"/>
  <c r="B14" i="13"/>
  <c r="C14" i="13"/>
  <c r="G15" i="1"/>
  <c r="B15" i="13"/>
  <c r="C15" i="13"/>
  <c r="G16" i="1"/>
  <c r="B16" i="13"/>
  <c r="C16" i="13"/>
  <c r="G17" i="1"/>
  <c r="B17" i="13"/>
  <c r="C17" i="13"/>
  <c r="G18" i="1"/>
  <c r="B18" i="13"/>
  <c r="C18" i="13"/>
  <c r="G19" i="1"/>
  <c r="B19" i="13"/>
  <c r="C19" i="13"/>
  <c r="G20" i="1"/>
  <c r="B20" i="13"/>
  <c r="C20" i="13"/>
  <c r="G21" i="1"/>
  <c r="B21" i="13"/>
  <c r="C21" i="13"/>
  <c r="G22" i="1"/>
  <c r="B22" i="13"/>
  <c r="C22" i="13"/>
  <c r="G23" i="1"/>
  <c r="B23" i="13"/>
  <c r="C23" i="13"/>
  <c r="G24" i="1"/>
  <c r="B24" i="13"/>
  <c r="C24" i="13"/>
  <c r="G25" i="1"/>
  <c r="B25" i="13"/>
  <c r="C25" i="13"/>
  <c r="G26" i="1"/>
  <c r="B26" i="13"/>
  <c r="C26" i="13"/>
  <c r="G27" i="1"/>
  <c r="B27" i="13"/>
  <c r="C27" i="13"/>
  <c r="G28" i="1"/>
  <c r="B28" i="13"/>
  <c r="C28" i="13"/>
  <c r="G29" i="1"/>
  <c r="B29" i="13"/>
  <c r="C29" i="13"/>
  <c r="G30" i="1"/>
  <c r="B30" i="13"/>
  <c r="C30" i="13"/>
  <c r="C32" i="13"/>
  <c r="M12" i="11"/>
  <c r="N12" i="11"/>
  <c r="M2" i="11"/>
  <c r="N2" i="11"/>
  <c r="M3" i="11"/>
  <c r="N3" i="11"/>
  <c r="M4" i="11"/>
  <c r="N4" i="11"/>
  <c r="M5" i="11"/>
  <c r="N5" i="11"/>
  <c r="M6" i="11"/>
  <c r="N6" i="11"/>
  <c r="M7" i="11"/>
  <c r="N7" i="11"/>
  <c r="M8" i="11"/>
  <c r="N8" i="11"/>
  <c r="M9" i="11"/>
  <c r="N9" i="11"/>
  <c r="M10" i="11"/>
  <c r="N10" i="11"/>
  <c r="M11" i="11"/>
  <c r="N11" i="11"/>
  <c r="M13" i="11"/>
  <c r="N13" i="11"/>
  <c r="M14" i="11"/>
  <c r="N14" i="11"/>
  <c r="M15" i="11"/>
  <c r="N15" i="11"/>
  <c r="M16" i="11"/>
  <c r="N16" i="11"/>
  <c r="M17" i="11"/>
  <c r="N17" i="11"/>
  <c r="M18" i="11"/>
  <c r="N18" i="11"/>
  <c r="M19" i="11"/>
  <c r="N19" i="11"/>
  <c r="M20" i="11"/>
  <c r="N20" i="11"/>
  <c r="M21" i="11"/>
  <c r="N21" i="11"/>
  <c r="M22" i="11"/>
  <c r="N22" i="11"/>
  <c r="M23" i="11"/>
  <c r="N23" i="11"/>
  <c r="M24" i="11"/>
  <c r="N24" i="11"/>
  <c r="M25" i="11"/>
  <c r="N25" i="11"/>
  <c r="M26" i="11"/>
  <c r="N26" i="11"/>
  <c r="M27" i="11"/>
  <c r="N27" i="11"/>
  <c r="M28" i="11"/>
  <c r="N28" i="11"/>
  <c r="M29" i="11"/>
  <c r="N29" i="11"/>
  <c r="M30" i="11"/>
  <c r="N30" i="11"/>
  <c r="N32" i="11"/>
  <c r="H11" i="12"/>
  <c r="H10" i="12"/>
  <c r="H9" i="12"/>
  <c r="H8" i="12"/>
  <c r="H7" i="12"/>
  <c r="G2" i="12"/>
  <c r="G3" i="12"/>
  <c r="G4" i="12"/>
  <c r="G5" i="12"/>
  <c r="G6" i="12"/>
  <c r="G7" i="12"/>
  <c r="G8" i="12"/>
  <c r="G9" i="12"/>
  <c r="G10" i="12"/>
  <c r="G11" i="12"/>
  <c r="H2" i="12"/>
  <c r="H3" i="12"/>
  <c r="H4" i="12"/>
  <c r="H5" i="12"/>
  <c r="H6" i="1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2" i="7"/>
  <c r="S32" i="7"/>
  <c r="H18" i="1"/>
  <c r="J18" i="1"/>
  <c r="M18" i="1"/>
  <c r="N18" i="1"/>
  <c r="O18" i="1"/>
  <c r="P18" i="1"/>
  <c r="H19" i="1"/>
  <c r="J19" i="1"/>
  <c r="M19" i="1"/>
  <c r="N19" i="1"/>
  <c r="O19" i="1"/>
  <c r="P19" i="1"/>
  <c r="H20" i="1"/>
  <c r="J20" i="1"/>
  <c r="M20" i="1"/>
  <c r="N20" i="1"/>
  <c r="O20" i="1"/>
  <c r="P20" i="1"/>
  <c r="H21" i="1"/>
  <c r="J21" i="1"/>
  <c r="M21" i="1"/>
  <c r="N21" i="1"/>
  <c r="O21" i="1"/>
  <c r="P21" i="1"/>
  <c r="H22" i="1"/>
  <c r="J22" i="1"/>
  <c r="M22" i="1"/>
  <c r="N22" i="1"/>
  <c r="O22" i="1"/>
  <c r="P22" i="1"/>
  <c r="H23" i="1"/>
  <c r="J23" i="1"/>
  <c r="M23" i="1"/>
  <c r="N23" i="1"/>
  <c r="O23" i="1"/>
  <c r="P23" i="1"/>
  <c r="H24" i="1"/>
  <c r="J24" i="1"/>
  <c r="M24" i="1"/>
  <c r="N24" i="1"/>
  <c r="O24" i="1"/>
  <c r="P24" i="1"/>
  <c r="H25" i="1"/>
  <c r="J25" i="1"/>
  <c r="M25" i="1"/>
  <c r="N25" i="1"/>
  <c r="O25" i="1"/>
  <c r="P25" i="1"/>
  <c r="H26" i="1"/>
  <c r="J26" i="1"/>
  <c r="M26" i="1"/>
  <c r="N26" i="1"/>
  <c r="O26" i="1"/>
  <c r="P26" i="1"/>
  <c r="H27" i="1"/>
  <c r="J27" i="1"/>
  <c r="M27" i="1"/>
  <c r="N27" i="1"/>
  <c r="O27" i="1"/>
  <c r="P27" i="1"/>
  <c r="H28" i="1"/>
  <c r="J28" i="1"/>
  <c r="M28" i="1"/>
  <c r="N28" i="1"/>
  <c r="O28" i="1"/>
  <c r="P28" i="1"/>
  <c r="H29" i="1"/>
  <c r="J29" i="1"/>
  <c r="M29" i="1"/>
  <c r="N29" i="1"/>
  <c r="O29" i="1"/>
  <c r="P29" i="1"/>
  <c r="H30" i="1"/>
  <c r="J30" i="1"/>
  <c r="M30" i="1"/>
  <c r="N30" i="1"/>
  <c r="O30" i="1"/>
  <c r="P30" i="1"/>
  <c r="H8" i="1"/>
  <c r="J8" i="1"/>
  <c r="M8" i="1"/>
  <c r="N8" i="1"/>
  <c r="O8" i="1"/>
  <c r="P8" i="1"/>
  <c r="H9" i="1"/>
  <c r="J9" i="1"/>
  <c r="M9" i="1"/>
  <c r="N9" i="1"/>
  <c r="O9" i="1"/>
  <c r="P9" i="1"/>
  <c r="H10" i="1"/>
  <c r="J10" i="1"/>
  <c r="M10" i="1"/>
  <c r="N10" i="1"/>
  <c r="O10" i="1"/>
  <c r="P10" i="1"/>
  <c r="H11" i="1"/>
  <c r="J11" i="1"/>
  <c r="M11" i="1"/>
  <c r="N11" i="1"/>
  <c r="O11" i="1"/>
  <c r="P11" i="1"/>
  <c r="H12" i="1"/>
  <c r="J12" i="1"/>
  <c r="M12" i="1"/>
  <c r="N12" i="1"/>
  <c r="O12" i="1"/>
  <c r="P12" i="1"/>
  <c r="H13" i="1"/>
  <c r="J13" i="1"/>
  <c r="M13" i="1"/>
  <c r="N13" i="1"/>
  <c r="O13" i="1"/>
  <c r="P13" i="1"/>
  <c r="H14" i="1"/>
  <c r="J14" i="1"/>
  <c r="M14" i="1"/>
  <c r="N14" i="1"/>
  <c r="O14" i="1"/>
  <c r="P14" i="1"/>
  <c r="H15" i="1"/>
  <c r="J15" i="1"/>
  <c r="M15" i="1"/>
  <c r="N15" i="1"/>
  <c r="O15" i="1"/>
  <c r="P15" i="1"/>
  <c r="H16" i="1"/>
  <c r="J16" i="1"/>
  <c r="M16" i="1"/>
  <c r="N16" i="1"/>
  <c r="O16" i="1"/>
  <c r="P16" i="1"/>
  <c r="H17" i="1"/>
  <c r="J17" i="1"/>
  <c r="M17" i="1"/>
  <c r="N17" i="1"/>
  <c r="O17" i="1"/>
  <c r="P17" i="1"/>
  <c r="H3" i="1"/>
  <c r="J3" i="1"/>
  <c r="M3" i="1"/>
  <c r="N3" i="1"/>
  <c r="O3" i="1"/>
  <c r="P3" i="1"/>
  <c r="H4" i="1"/>
  <c r="J4" i="1"/>
  <c r="M4" i="1"/>
  <c r="N4" i="1"/>
  <c r="O4" i="1"/>
  <c r="P4" i="1"/>
  <c r="H5" i="1"/>
  <c r="J5" i="1"/>
  <c r="M5" i="1"/>
  <c r="N5" i="1"/>
  <c r="O5" i="1"/>
  <c r="P5" i="1"/>
  <c r="H6" i="1"/>
  <c r="J6" i="1"/>
  <c r="M6" i="1"/>
  <c r="N6" i="1"/>
  <c r="O6" i="1"/>
  <c r="P6" i="1"/>
  <c r="H7" i="1"/>
  <c r="J7" i="1"/>
  <c r="M7" i="1"/>
  <c r="N7" i="1"/>
  <c r="O7" i="1"/>
  <c r="P7" i="1"/>
  <c r="H2" i="1"/>
  <c r="J2" i="1"/>
  <c r="O2" i="1"/>
  <c r="M2" i="1"/>
  <c r="N2" i="1"/>
  <c r="P2" i="1"/>
</calcChain>
</file>

<file path=xl/sharedStrings.xml><?xml version="1.0" encoding="utf-8"?>
<sst xmlns="http://schemas.openxmlformats.org/spreadsheetml/2006/main" count="126" uniqueCount="94">
  <si>
    <t>Desired Speed</t>
  </si>
  <si>
    <t>T[0]:</t>
  </si>
  <si>
    <t>Ramp-Up Time</t>
  </si>
  <si>
    <t>T[n]</t>
  </si>
  <si>
    <t>Distance</t>
  </si>
  <si>
    <t>T[Last Full Speed]</t>
  </si>
  <si>
    <t>Ramp-Down Time</t>
  </si>
  <si>
    <t>Avg Ramp Up Speed</t>
  </si>
  <si>
    <t>File Name</t>
  </si>
  <si>
    <t>Ramp Up Distance [m]</t>
  </si>
  <si>
    <t>Avg Ramp Down Speed</t>
  </si>
  <si>
    <t>Ramp Down Distance [m]</t>
  </si>
  <si>
    <t>p80_1006.log</t>
  </si>
  <si>
    <t>y = 1.3766x + 0.7991
R² = 0.69716</t>
  </si>
  <si>
    <t>Distance at Full Speed</t>
  </si>
  <si>
    <t>Time at Full Speed (secs)</t>
  </si>
  <si>
    <t>Average Speed (Stable)</t>
  </si>
  <si>
    <t>y = 0.2821x - 0.0428
R² = 0.83664</t>
  </si>
  <si>
    <t>y = 0.4215x + 0.0162</t>
  </si>
  <si>
    <t>p20_1001.log</t>
  </si>
  <si>
    <t>p25_1001.log</t>
  </si>
  <si>
    <t>p30_1001.log</t>
  </si>
  <si>
    <t>p35_1001.log</t>
  </si>
  <si>
    <t>p40_1001.log</t>
  </si>
  <si>
    <t>p45_1001.log</t>
  </si>
  <si>
    <t>p50_1001.log</t>
  </si>
  <si>
    <t>p55_1001.log</t>
  </si>
  <si>
    <t>p60_1001.log</t>
  </si>
  <si>
    <t>p62_1001.log</t>
  </si>
  <si>
    <t>p70_1001.log</t>
  </si>
  <si>
    <t>p75_1001.log</t>
  </si>
  <si>
    <t>p20_1005.log</t>
  </si>
  <si>
    <t>p25_1005.log</t>
  </si>
  <si>
    <t>p30_1005.log</t>
  </si>
  <si>
    <t>p35_1005.log</t>
  </si>
  <si>
    <t>p40_1005.log</t>
  </si>
  <si>
    <t>p45_1005.log</t>
  </si>
  <si>
    <t>p50_1005.log</t>
  </si>
  <si>
    <t>p55_1005.log</t>
  </si>
  <si>
    <t>p60_1005.log</t>
  </si>
  <si>
    <t>p65_1005.log</t>
  </si>
  <si>
    <t>p70_1005.log</t>
  </si>
  <si>
    <t>p75_1005.log</t>
  </si>
  <si>
    <t>p80_1005.log</t>
  </si>
  <si>
    <t>p65_1006.log</t>
  </si>
  <si>
    <t>p45_1006.log</t>
  </si>
  <si>
    <t>p40_1006.log</t>
  </si>
  <si>
    <t>T[First Full Speed]</t>
  </si>
  <si>
    <t>Total Motion Time</t>
  </si>
  <si>
    <t>Time Predicted by the Model</t>
  </si>
  <si>
    <t>Mean Error</t>
  </si>
  <si>
    <t>Error [Observed - Predicted by Model]</t>
  </si>
  <si>
    <t>Ramp Up Time</t>
  </si>
  <si>
    <t>Ramp Up Speed</t>
  </si>
  <si>
    <t>Ramp Down Time</t>
  </si>
  <si>
    <t>Ramp Down Speed</t>
  </si>
  <si>
    <t>T[FULL Speed]</t>
  </si>
  <si>
    <t>Mean</t>
  </si>
  <si>
    <t>SD</t>
  </si>
  <si>
    <t>SEM</t>
  </si>
  <si>
    <t>N</t>
  </si>
  <si>
    <t>  Group</t>
  </si>
  <si>
    <t>5       </t>
  </si>
  <si>
    <t>5    </t>
  </si>
  <si>
    <t>The two-tailed P value equals 0.1524 </t>
  </si>
  <si>
    <t> Group</t>
  </si>
  <si>
    <t>5   </t>
  </si>
  <si>
    <t>Absolute Error in % (Error/Total Motion Time)</t>
  </si>
  <si>
    <t>Average % Error</t>
  </si>
  <si>
    <t>  Group 2: (0.2m/s)</t>
  </si>
  <si>
    <t>  Group 1: (0.7m/s)</t>
  </si>
  <si>
    <t>The two-tailed P value equals 0.6690 </t>
  </si>
  <si>
    <t>Total Time from LOOCV model</t>
  </si>
  <si>
    <t>% Error: (e/Observed Total Time)</t>
  </si>
  <si>
    <t>Average Training Error in Model in % of Observed Total Time:</t>
  </si>
  <si>
    <r>
      <rPr>
        <b/>
        <i/>
        <sz val="12"/>
        <color theme="1"/>
        <rFont val="Calibri"/>
        <family val="2"/>
        <scheme val="minor"/>
      </rPr>
      <t>Note:</t>
    </r>
    <r>
      <rPr>
        <sz val="12"/>
        <color theme="1"/>
        <rFont val="Calibri"/>
        <family val="2"/>
        <scheme val="minor"/>
      </rPr>
      <t xml:space="preserve"> Leave one out Cross Validation technique was used for each row of data. A model was built using the 28 rows of data to estimate the entire motion and tested on the remaining row of. This was done for each of the 29 rows in the table.
Ramp-Up time, Ramp-down sped and Ramp-Up speed were calculated using the linear regressiion equation generated from the data set*.
Ramp-Down time was estimated by using the average ramp-down time of the data set*.
*: </t>
    </r>
    <r>
      <rPr>
        <i/>
        <sz val="12"/>
        <color theme="1"/>
        <rFont val="Calibri"/>
        <family val="2"/>
        <scheme val="minor"/>
      </rPr>
      <t>data set refers to the 28 rows of data used to train the model.</t>
    </r>
  </si>
  <si>
    <t>Desired Speed(S)</t>
  </si>
  <si>
    <t>Desired Speed (S)</t>
  </si>
  <si>
    <r>
      <t>Null Hypothesis:</t>
    </r>
    <r>
      <rPr>
        <sz val="11"/>
        <color theme="1"/>
        <rFont val="Andale Mono"/>
      </rPr>
      <t xml:space="preserve"> The ramp-up time is independent of the desired speed (S) provided as an input.</t>
    </r>
  </si>
  <si>
    <r>
      <t xml:space="preserve">Null Hypothesis: </t>
    </r>
    <r>
      <rPr>
        <sz val="11"/>
        <color theme="1"/>
        <rFont val="Andale Mono"/>
      </rPr>
      <t>The ramp-down time is independent of the desired speed (S) provided as an input.</t>
    </r>
  </si>
  <si>
    <t>By conventional criteria, this difference is considered to be not statistically significant to reject the Null Hypothesis</t>
  </si>
  <si>
    <t>By conventional criteria, this difference is considered to be statistically significant to reject the Null Hypothesis</t>
  </si>
  <si>
    <t>Absolute Error (Observed Total Time - Total Time from model)</t>
  </si>
  <si>
    <r>
      <t>Ovserved Total Time</t>
    </r>
    <r>
      <rPr>
        <b/>
        <vertAlign val="superscript"/>
        <sz val="12"/>
        <color theme="1"/>
        <rFont val="Calibri (Body)"/>
      </rPr>
      <t>+</t>
    </r>
    <r>
      <rPr>
        <b/>
        <sz val="12"/>
        <color theme="1"/>
        <rFont val="Calibri"/>
        <family val="2"/>
        <scheme val="minor"/>
      </rPr>
      <t xml:space="preserve"> </t>
    </r>
  </si>
  <si>
    <t>12       </t>
  </si>
  <si>
    <t>12   </t>
  </si>
  <si>
    <t>  Group 1: (8.1m) </t>
  </si>
  <si>
    <t>  Group 2: (15.1m)</t>
  </si>
  <si>
    <r>
      <t xml:space="preserve">Null Hypothesis: </t>
    </r>
    <r>
      <rPr>
        <sz val="11"/>
        <color theme="1"/>
        <rFont val="Andale Mono"/>
      </rPr>
      <t>The ramp-down time is independent of the total distance (D) provided as an input.</t>
    </r>
  </si>
  <si>
    <t>The two-tailed P value equals 0.4676 </t>
  </si>
  <si>
    <t>By conventional criteria, this difference is considered to be not statistically significant. </t>
  </si>
  <si>
    <t>Ramp-Down Motion: Dependence on Desired Speed (S)</t>
  </si>
  <si>
    <t>Ramp-Up Tests: Dependence on Desired Speed (S)</t>
  </si>
  <si>
    <t>Ramp-Up Tests: Dependence on Total Distance (D)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</si>
</sst>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9"/>
      <color rgb="FF595959"/>
      <name val="Calibri"/>
      <family val="2"/>
      <scheme val="minor"/>
    </font>
    <font>
      <b/>
      <i/>
      <sz val="12"/>
      <color theme="1"/>
      <name val="Calibri"/>
      <family val="2"/>
      <scheme val="minor"/>
    </font>
    <font>
      <sz val="11"/>
      <color theme="1"/>
      <name val="Andale Mono"/>
    </font>
    <font>
      <sz val="13"/>
      <color rgb="FF494949"/>
      <name val="Helvetica"/>
    </font>
    <font>
      <b/>
      <sz val="11"/>
      <color theme="1"/>
      <name val="Andale Mono"/>
      <family val="2"/>
    </font>
    <font>
      <i/>
      <sz val="11"/>
      <color theme="1"/>
      <name val="Andale Mono"/>
      <family val="2"/>
    </font>
    <font>
      <i/>
      <sz val="12"/>
      <color theme="1"/>
      <name val="Calibri"/>
      <family val="2"/>
      <scheme val="minor"/>
    </font>
    <font>
      <b/>
      <vertAlign val="superscript"/>
      <sz val="12"/>
      <color theme="1"/>
      <name val="Calibri (Body)"/>
    </font>
  </fonts>
  <fills count="10">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AFFBB"/>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style="medium">
        <color auto="1"/>
      </bottom>
      <diagonal/>
    </border>
  </borders>
  <cellStyleXfs count="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1" fillId="0" borderId="0" xfId="0" applyFont="1"/>
    <xf numFmtId="0" fontId="4" fillId="0" borderId="0" xfId="0" applyFont="1"/>
    <xf numFmtId="0" fontId="5" fillId="0" borderId="0" xfId="0" applyFont="1" applyAlignment="1">
      <alignment horizontal="center" vertical="center" readingOrder="1"/>
    </xf>
    <xf numFmtId="0" fontId="6" fillId="0" borderId="0" xfId="0" applyFont="1"/>
    <xf numFmtId="0" fontId="0" fillId="2" borderId="1" xfId="0" applyFill="1" applyBorder="1"/>
    <xf numFmtId="0" fontId="0" fillId="3" borderId="1" xfId="0" applyFill="1" applyBorder="1"/>
    <xf numFmtId="0" fontId="4" fillId="3" borderId="1" xfId="0" applyFont="1" applyFill="1" applyBorder="1"/>
    <xf numFmtId="0" fontId="0" fillId="4" borderId="1" xfId="0" applyFill="1" applyBorder="1"/>
    <xf numFmtId="0" fontId="4" fillId="4" borderId="1" xfId="0" applyFont="1" applyFill="1" applyBorder="1"/>
    <xf numFmtId="0" fontId="0" fillId="5" borderId="1" xfId="0" applyFill="1" applyBorder="1"/>
    <xf numFmtId="0" fontId="1" fillId="0" borderId="0" xfId="0" applyFont="1" applyAlignment="1">
      <alignment horizontal="left" indent="1"/>
    </xf>
    <xf numFmtId="0" fontId="0" fillId="0" borderId="0" xfId="0" applyFont="1"/>
    <xf numFmtId="0" fontId="7" fillId="0" borderId="0" xfId="0" applyFont="1"/>
    <xf numFmtId="0" fontId="7" fillId="6" borderId="1" xfId="0" applyFont="1" applyFill="1" applyBorder="1"/>
    <xf numFmtId="0" fontId="8" fillId="0" borderId="0" xfId="0" applyFont="1"/>
    <xf numFmtId="0" fontId="7" fillId="7" borderId="1" xfId="0" applyFont="1" applyFill="1" applyBorder="1"/>
    <xf numFmtId="0" fontId="0" fillId="8" borderId="1" xfId="0" applyFill="1" applyBorder="1"/>
    <xf numFmtId="0" fontId="1" fillId="0" borderId="0" xfId="0" applyFont="1" applyFill="1" applyBorder="1"/>
    <xf numFmtId="0" fontId="6" fillId="4" borderId="1" xfId="0" applyFont="1" applyFill="1" applyBorder="1" applyAlignment="1">
      <alignment wrapText="1"/>
    </xf>
    <xf numFmtId="0" fontId="0" fillId="6" borderId="1" xfId="0" applyFill="1" applyBorder="1"/>
    <xf numFmtId="0" fontId="6" fillId="6" borderId="1" xfId="0" applyFont="1" applyFill="1" applyBorder="1" applyAlignment="1">
      <alignment vertical="center"/>
    </xf>
    <xf numFmtId="0" fontId="10" fillId="0" borderId="0" xfId="0" applyFont="1"/>
    <xf numFmtId="0" fontId="0" fillId="7" borderId="1" xfId="0" applyFill="1" applyBorder="1"/>
    <xf numFmtId="0" fontId="0" fillId="9" borderId="1" xfId="0" applyFill="1" applyBorder="1"/>
    <xf numFmtId="0" fontId="9" fillId="0" borderId="0" xfId="0" applyFont="1"/>
    <xf numFmtId="0" fontId="1" fillId="0" borderId="0" xfId="0" applyFont="1" applyFill="1" applyAlignment="1">
      <alignment vertical="center" wrapText="1"/>
    </xf>
    <xf numFmtId="0" fontId="1" fillId="0" borderId="1" xfId="0" applyFont="1" applyFill="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5" borderId="7" xfId="0" applyFill="1" applyBorder="1"/>
    <xf numFmtId="0" fontId="0" fillId="4" borderId="7" xfId="0" applyFill="1" applyBorder="1"/>
    <xf numFmtId="0" fontId="1" fillId="0" borderId="5" xfId="0" applyFont="1" applyBorder="1"/>
    <xf numFmtId="0" fontId="1" fillId="0" borderId="8" xfId="0" applyFont="1" applyBorder="1"/>
    <xf numFmtId="0" fontId="1" fillId="0" borderId="6" xfId="0" applyFont="1" applyBorder="1"/>
    <xf numFmtId="0" fontId="0" fillId="0" borderId="1" xfId="0" applyFill="1" applyBorder="1"/>
    <xf numFmtId="0" fontId="7" fillId="0" borderId="1" xfId="0" applyFont="1" applyFill="1" applyBorder="1"/>
    <xf numFmtId="0" fontId="0" fillId="0" borderId="0" xfId="0" applyAlignment="1">
      <alignment horizontal="left" vertical="center" wrapText="1"/>
    </xf>
    <xf numFmtId="0" fontId="9" fillId="6" borderId="2" xfId="0" applyFont="1" applyFill="1" applyBorder="1" applyAlignment="1">
      <alignment horizontal="center"/>
    </xf>
    <xf numFmtId="0" fontId="9" fillId="6" borderId="3" xfId="0" applyFont="1" applyFill="1" applyBorder="1" applyAlignment="1">
      <alignment horizontal="center"/>
    </xf>
    <xf numFmtId="0" fontId="9" fillId="6" borderId="4" xfId="0" applyFont="1" applyFill="1" applyBorder="1" applyAlignment="1">
      <alignment horizontal="center"/>
    </xf>
    <xf numFmtId="0" fontId="9" fillId="7" borderId="2" xfId="0" applyFont="1" applyFill="1" applyBorder="1" applyAlignment="1">
      <alignment horizontal="center"/>
    </xf>
    <xf numFmtId="0" fontId="9" fillId="7" borderId="3" xfId="0" applyFont="1" applyFill="1" applyBorder="1" applyAlignment="1">
      <alignment horizontal="center"/>
    </xf>
    <xf numFmtId="0" fontId="9" fillId="7" borderId="4" xfId="0" applyFont="1" applyFill="1" applyBorder="1" applyAlignment="1">
      <alignment horizontal="center"/>
    </xf>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s>
  <dxfs count="0"/>
  <tableStyles count="0" defaultTableStyle="TableStyleMedium9" defaultPivotStyle="PivotStyleMedium7"/>
  <colors>
    <mruColors>
      <color rgb="FFFAFF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tx>
            <c:strRef>
              <c:f>Data!$H$1</c:f>
              <c:strCache>
                <c:ptCount val="1"/>
                <c:pt idx="0">
                  <c:v>Ramp-Up Time</c:v>
                </c:pt>
              </c:strCache>
            </c:strRef>
          </c:tx>
          <c:spPr>
            <a:ln w="31750" cap="rnd">
              <a:noFill/>
              <a:round/>
            </a:ln>
            <a:effectLst/>
          </c:spPr>
          <c:marker>
            <c:symbol val="circle"/>
            <c:size val="5"/>
            <c:spPr>
              <a:solidFill>
                <a:schemeClr val="accent3"/>
              </a:solidFill>
              <a:ln w="9525">
                <a:solidFill>
                  <a:schemeClr val="accent1"/>
                </a:solidFill>
              </a:ln>
              <a:effectLst/>
            </c:spPr>
          </c:marker>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1"/>
            <c:dispEq val="1"/>
            <c:trendlineLbl>
              <c:layout>
                <c:manualLayout>
                  <c:x val="0.0755463471307031"/>
                  <c:y val="-0.200317378035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Data!$A$2:$A$30</c:f>
              <c:numCache>
                <c:formatCode>General</c:formatCode>
                <c:ptCount val="29"/>
                <c:pt idx="0">
                  <c:v>0.2</c:v>
                </c:pt>
                <c:pt idx="1">
                  <c:v>0.25</c:v>
                </c:pt>
                <c:pt idx="2">
                  <c:v>0.3</c:v>
                </c:pt>
                <c:pt idx="3">
                  <c:v>0.35</c:v>
                </c:pt>
                <c:pt idx="4">
                  <c:v>0.4</c:v>
                </c:pt>
                <c:pt idx="5">
                  <c:v>0.45</c:v>
                </c:pt>
                <c:pt idx="6">
                  <c:v>0.5</c:v>
                </c:pt>
                <c:pt idx="7">
                  <c:v>0.55</c:v>
                </c:pt>
                <c:pt idx="8">
                  <c:v>0.6</c:v>
                </c:pt>
                <c:pt idx="9">
                  <c:v>0.62</c:v>
                </c:pt>
                <c:pt idx="10">
                  <c:v>0.7</c:v>
                </c:pt>
                <c:pt idx="11">
                  <c:v>0.75</c:v>
                </c:pt>
                <c:pt idx="12">
                  <c:v>0.2</c:v>
                </c:pt>
                <c:pt idx="13">
                  <c:v>0.25</c:v>
                </c:pt>
                <c:pt idx="14">
                  <c:v>0.3</c:v>
                </c:pt>
                <c:pt idx="15">
                  <c:v>0.35</c:v>
                </c:pt>
                <c:pt idx="16">
                  <c:v>0.4</c:v>
                </c:pt>
                <c:pt idx="17">
                  <c:v>0.45</c:v>
                </c:pt>
                <c:pt idx="18">
                  <c:v>0.5</c:v>
                </c:pt>
                <c:pt idx="19">
                  <c:v>0.55</c:v>
                </c:pt>
                <c:pt idx="20">
                  <c:v>0.6</c:v>
                </c:pt>
                <c:pt idx="21">
                  <c:v>0.65</c:v>
                </c:pt>
                <c:pt idx="22">
                  <c:v>0.7</c:v>
                </c:pt>
                <c:pt idx="23">
                  <c:v>0.75</c:v>
                </c:pt>
                <c:pt idx="24">
                  <c:v>0.8</c:v>
                </c:pt>
                <c:pt idx="25">
                  <c:v>0.8</c:v>
                </c:pt>
                <c:pt idx="26">
                  <c:v>0.65</c:v>
                </c:pt>
                <c:pt idx="27">
                  <c:v>0.4</c:v>
                </c:pt>
                <c:pt idx="28">
                  <c:v>0.45</c:v>
                </c:pt>
              </c:numCache>
            </c:numRef>
          </c:xVal>
          <c:yVal>
            <c:numRef>
              <c:f>Data!$H$2:$H$30</c:f>
              <c:numCache>
                <c:formatCode>General</c:formatCode>
                <c:ptCount val="29"/>
                <c:pt idx="0">
                  <c:v>0.994</c:v>
                </c:pt>
                <c:pt idx="1">
                  <c:v>1.083999999999996</c:v>
                </c:pt>
                <c:pt idx="2">
                  <c:v>1.196000000000001</c:v>
                </c:pt>
                <c:pt idx="3">
                  <c:v>1.349</c:v>
                </c:pt>
                <c:pt idx="4">
                  <c:v>1.340999999999997</c:v>
                </c:pt>
                <c:pt idx="5">
                  <c:v>1.457000000000008</c:v>
                </c:pt>
                <c:pt idx="6">
                  <c:v>1.382999999999999</c:v>
                </c:pt>
                <c:pt idx="7">
                  <c:v>2.040999999999997</c:v>
                </c:pt>
                <c:pt idx="8">
                  <c:v>1.92</c:v>
                </c:pt>
                <c:pt idx="9">
                  <c:v>1.789000000000001</c:v>
                </c:pt>
                <c:pt idx="10">
                  <c:v>1.979999999999999</c:v>
                </c:pt>
                <c:pt idx="11">
                  <c:v>1.737999999999999</c:v>
                </c:pt>
                <c:pt idx="12">
                  <c:v>1.122</c:v>
                </c:pt>
                <c:pt idx="13">
                  <c:v>1.064999999999998</c:v>
                </c:pt>
                <c:pt idx="14">
                  <c:v>1.248999999999999</c:v>
                </c:pt>
                <c:pt idx="15">
                  <c:v>1.439</c:v>
                </c:pt>
                <c:pt idx="16">
                  <c:v>1.424999999999997</c:v>
                </c:pt>
                <c:pt idx="17">
                  <c:v>1.148</c:v>
                </c:pt>
                <c:pt idx="18">
                  <c:v>1.494</c:v>
                </c:pt>
                <c:pt idx="19">
                  <c:v>1.528000000000002</c:v>
                </c:pt>
                <c:pt idx="20">
                  <c:v>1.514000000000003</c:v>
                </c:pt>
                <c:pt idx="21">
                  <c:v>1.548000000000002</c:v>
                </c:pt>
                <c:pt idx="22">
                  <c:v>1.956999999999997</c:v>
                </c:pt>
                <c:pt idx="23">
                  <c:v>1.657999999999998</c:v>
                </c:pt>
                <c:pt idx="24">
                  <c:v>1.710999999999998</c:v>
                </c:pt>
                <c:pt idx="25">
                  <c:v>1.742000000000001</c:v>
                </c:pt>
                <c:pt idx="26">
                  <c:v>1.798999999999978</c:v>
                </c:pt>
                <c:pt idx="27">
                  <c:v>1.169</c:v>
                </c:pt>
                <c:pt idx="28">
                  <c:v>1.255000000000003</c:v>
                </c:pt>
              </c:numCache>
            </c:numRef>
          </c:yVal>
          <c:smooth val="0"/>
        </c:ser>
        <c:dLbls>
          <c:showLegendKey val="0"/>
          <c:showVal val="0"/>
          <c:showCatName val="0"/>
          <c:showSerName val="0"/>
          <c:showPercent val="0"/>
          <c:showBubbleSize val="0"/>
        </c:dLbls>
        <c:axId val="-1185420256"/>
        <c:axId val="-1185416512"/>
      </c:scatterChart>
      <c:valAx>
        <c:axId val="-1185420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Desired Speed (m/sec)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16512"/>
        <c:crosses val="autoZero"/>
        <c:crossBetween val="midCat"/>
      </c:valAx>
      <c:valAx>
        <c:axId val="-118541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Ramp</a:t>
                </a:r>
                <a:r>
                  <a:rPr lang="en-US" baseline="0"/>
                  <a:t> Up  Time (sec)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20256"/>
        <c:crosses val="autoZero"/>
        <c:crossBetween val="midCat"/>
      </c:valAx>
      <c:spPr>
        <a:noFill/>
        <a:ln>
          <a:noFill/>
        </a:ln>
        <a:effectLst/>
      </c:spPr>
    </c:plotArea>
    <c:legend>
      <c:legendPos val="b"/>
      <c:legendEntry>
        <c:idx val="0"/>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Ramp Up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841642607174103"/>
          <c:y val="0.199490740740741"/>
          <c:w val="0.861256002206181"/>
          <c:h val="0.700054316127151"/>
        </c:manualLayout>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0755774289514"/>
                  <c:y val="-0.3685987168270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Data!$A$2:$A$30</c:f>
              <c:numCache>
                <c:formatCode>General</c:formatCode>
                <c:ptCount val="29"/>
                <c:pt idx="0">
                  <c:v>0.2</c:v>
                </c:pt>
                <c:pt idx="1">
                  <c:v>0.25</c:v>
                </c:pt>
                <c:pt idx="2">
                  <c:v>0.3</c:v>
                </c:pt>
                <c:pt idx="3">
                  <c:v>0.35</c:v>
                </c:pt>
                <c:pt idx="4">
                  <c:v>0.4</c:v>
                </c:pt>
                <c:pt idx="5">
                  <c:v>0.45</c:v>
                </c:pt>
                <c:pt idx="6">
                  <c:v>0.5</c:v>
                </c:pt>
                <c:pt idx="7">
                  <c:v>0.55</c:v>
                </c:pt>
                <c:pt idx="8">
                  <c:v>0.6</c:v>
                </c:pt>
                <c:pt idx="9">
                  <c:v>0.62</c:v>
                </c:pt>
                <c:pt idx="10">
                  <c:v>0.7</c:v>
                </c:pt>
                <c:pt idx="11">
                  <c:v>0.75</c:v>
                </c:pt>
                <c:pt idx="12">
                  <c:v>0.2</c:v>
                </c:pt>
                <c:pt idx="13">
                  <c:v>0.25</c:v>
                </c:pt>
                <c:pt idx="14">
                  <c:v>0.3</c:v>
                </c:pt>
                <c:pt idx="15">
                  <c:v>0.35</c:v>
                </c:pt>
                <c:pt idx="16">
                  <c:v>0.4</c:v>
                </c:pt>
                <c:pt idx="17">
                  <c:v>0.45</c:v>
                </c:pt>
                <c:pt idx="18">
                  <c:v>0.5</c:v>
                </c:pt>
                <c:pt idx="19">
                  <c:v>0.55</c:v>
                </c:pt>
                <c:pt idx="20">
                  <c:v>0.6</c:v>
                </c:pt>
                <c:pt idx="21">
                  <c:v>0.65</c:v>
                </c:pt>
                <c:pt idx="22">
                  <c:v>0.7</c:v>
                </c:pt>
                <c:pt idx="23">
                  <c:v>0.75</c:v>
                </c:pt>
                <c:pt idx="24">
                  <c:v>0.8</c:v>
                </c:pt>
                <c:pt idx="25">
                  <c:v>0.8</c:v>
                </c:pt>
                <c:pt idx="26">
                  <c:v>0.65</c:v>
                </c:pt>
                <c:pt idx="27">
                  <c:v>0.4</c:v>
                </c:pt>
                <c:pt idx="28">
                  <c:v>0.45</c:v>
                </c:pt>
              </c:numCache>
            </c:numRef>
          </c:xVal>
          <c:yVal>
            <c:numRef>
              <c:f>Data!$I$2:$I$30</c:f>
              <c:numCache>
                <c:formatCode>General</c:formatCode>
                <c:ptCount val="29"/>
                <c:pt idx="0">
                  <c:v>0.03</c:v>
                </c:pt>
                <c:pt idx="1">
                  <c:v>0.037</c:v>
                </c:pt>
                <c:pt idx="2">
                  <c:v>0.054</c:v>
                </c:pt>
                <c:pt idx="3">
                  <c:v>0.056</c:v>
                </c:pt>
                <c:pt idx="4">
                  <c:v>0.0642</c:v>
                </c:pt>
                <c:pt idx="5">
                  <c:v>0.078</c:v>
                </c:pt>
                <c:pt idx="6">
                  <c:v>0.1</c:v>
                </c:pt>
                <c:pt idx="7">
                  <c:v>0.0925</c:v>
                </c:pt>
                <c:pt idx="8">
                  <c:v>0.0821</c:v>
                </c:pt>
                <c:pt idx="9">
                  <c:v>0.0882</c:v>
                </c:pt>
                <c:pt idx="10">
                  <c:v>0.154</c:v>
                </c:pt>
                <c:pt idx="11">
                  <c:v>0.191</c:v>
                </c:pt>
                <c:pt idx="12">
                  <c:v>0.018</c:v>
                </c:pt>
                <c:pt idx="13">
                  <c:v>0.017</c:v>
                </c:pt>
                <c:pt idx="14">
                  <c:v>0.038</c:v>
                </c:pt>
                <c:pt idx="15">
                  <c:v>0.048</c:v>
                </c:pt>
                <c:pt idx="16">
                  <c:v>0.087</c:v>
                </c:pt>
                <c:pt idx="17">
                  <c:v>0.11</c:v>
                </c:pt>
                <c:pt idx="18">
                  <c:v>0.095</c:v>
                </c:pt>
                <c:pt idx="19">
                  <c:v>0.074</c:v>
                </c:pt>
                <c:pt idx="20">
                  <c:v>0.15</c:v>
                </c:pt>
                <c:pt idx="21">
                  <c:v>0.127</c:v>
                </c:pt>
                <c:pt idx="22">
                  <c:v>0.121</c:v>
                </c:pt>
                <c:pt idx="23">
                  <c:v>0.188</c:v>
                </c:pt>
                <c:pt idx="24">
                  <c:v>0.239</c:v>
                </c:pt>
                <c:pt idx="25">
                  <c:v>0.201</c:v>
                </c:pt>
                <c:pt idx="26">
                  <c:v>0.12</c:v>
                </c:pt>
                <c:pt idx="27">
                  <c:v>0.081</c:v>
                </c:pt>
                <c:pt idx="28">
                  <c:v>0.101</c:v>
                </c:pt>
              </c:numCache>
            </c:numRef>
          </c:yVal>
          <c:smooth val="0"/>
        </c:ser>
        <c:dLbls>
          <c:showLegendKey val="0"/>
          <c:showVal val="0"/>
          <c:showCatName val="0"/>
          <c:showSerName val="0"/>
          <c:showPercent val="0"/>
          <c:showBubbleSize val="0"/>
        </c:dLbls>
        <c:axId val="-1184306048"/>
        <c:axId val="-1184302288"/>
      </c:scatterChart>
      <c:valAx>
        <c:axId val="-118430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Desired Speed</a:t>
                </a:r>
                <a:r>
                  <a:rPr lang="en-US" baseline="0"/>
                  <a:t> (m/sec)</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02288"/>
        <c:crosses val="autoZero"/>
        <c:crossBetween val="midCat"/>
      </c:valAx>
      <c:valAx>
        <c:axId val="-118430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Ramp Up Speed (m/sec)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06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Ramp Down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00914391302758435"/>
                  <c:y val="-0.2608244557665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Data!$A$2:$A$30</c:f>
              <c:numCache>
                <c:formatCode>General</c:formatCode>
                <c:ptCount val="29"/>
                <c:pt idx="0">
                  <c:v>0.2</c:v>
                </c:pt>
                <c:pt idx="1">
                  <c:v>0.25</c:v>
                </c:pt>
                <c:pt idx="2">
                  <c:v>0.3</c:v>
                </c:pt>
                <c:pt idx="3">
                  <c:v>0.35</c:v>
                </c:pt>
                <c:pt idx="4">
                  <c:v>0.4</c:v>
                </c:pt>
                <c:pt idx="5">
                  <c:v>0.45</c:v>
                </c:pt>
                <c:pt idx="6">
                  <c:v>0.5</c:v>
                </c:pt>
                <c:pt idx="7">
                  <c:v>0.55</c:v>
                </c:pt>
                <c:pt idx="8">
                  <c:v>0.6</c:v>
                </c:pt>
                <c:pt idx="9">
                  <c:v>0.62</c:v>
                </c:pt>
                <c:pt idx="10">
                  <c:v>0.7</c:v>
                </c:pt>
                <c:pt idx="11">
                  <c:v>0.75</c:v>
                </c:pt>
                <c:pt idx="12">
                  <c:v>0.2</c:v>
                </c:pt>
                <c:pt idx="13">
                  <c:v>0.25</c:v>
                </c:pt>
                <c:pt idx="14">
                  <c:v>0.3</c:v>
                </c:pt>
                <c:pt idx="15">
                  <c:v>0.35</c:v>
                </c:pt>
                <c:pt idx="16">
                  <c:v>0.4</c:v>
                </c:pt>
                <c:pt idx="17">
                  <c:v>0.45</c:v>
                </c:pt>
                <c:pt idx="18">
                  <c:v>0.5</c:v>
                </c:pt>
                <c:pt idx="19">
                  <c:v>0.55</c:v>
                </c:pt>
                <c:pt idx="20">
                  <c:v>0.6</c:v>
                </c:pt>
                <c:pt idx="21">
                  <c:v>0.65</c:v>
                </c:pt>
                <c:pt idx="22">
                  <c:v>0.7</c:v>
                </c:pt>
                <c:pt idx="23">
                  <c:v>0.75</c:v>
                </c:pt>
                <c:pt idx="24">
                  <c:v>0.8</c:v>
                </c:pt>
                <c:pt idx="25">
                  <c:v>0.8</c:v>
                </c:pt>
                <c:pt idx="26">
                  <c:v>0.65</c:v>
                </c:pt>
                <c:pt idx="27">
                  <c:v>0.4</c:v>
                </c:pt>
                <c:pt idx="28">
                  <c:v>0.45</c:v>
                </c:pt>
              </c:numCache>
            </c:numRef>
          </c:xVal>
          <c:yVal>
            <c:numRef>
              <c:f>Data!$L$2:$L$30</c:f>
              <c:numCache>
                <c:formatCode>General</c:formatCode>
                <c:ptCount val="29"/>
                <c:pt idx="0">
                  <c:v>0.11</c:v>
                </c:pt>
                <c:pt idx="1">
                  <c:v>0.111</c:v>
                </c:pt>
                <c:pt idx="2">
                  <c:v>0.096</c:v>
                </c:pt>
                <c:pt idx="3">
                  <c:v>0.134</c:v>
                </c:pt>
                <c:pt idx="4">
                  <c:v>0.173</c:v>
                </c:pt>
                <c:pt idx="5">
                  <c:v>0.135</c:v>
                </c:pt>
                <c:pt idx="6">
                  <c:v>0.165</c:v>
                </c:pt>
                <c:pt idx="7">
                  <c:v>0.206</c:v>
                </c:pt>
                <c:pt idx="8">
                  <c:v>0.32</c:v>
                </c:pt>
                <c:pt idx="9">
                  <c:v>0.219</c:v>
                </c:pt>
                <c:pt idx="10">
                  <c:v>0.24</c:v>
                </c:pt>
                <c:pt idx="11">
                  <c:v>0.365</c:v>
                </c:pt>
                <c:pt idx="12">
                  <c:v>0.149</c:v>
                </c:pt>
                <c:pt idx="13">
                  <c:v>0.127</c:v>
                </c:pt>
                <c:pt idx="14">
                  <c:v>0.159</c:v>
                </c:pt>
                <c:pt idx="15">
                  <c:v>0.178</c:v>
                </c:pt>
                <c:pt idx="16">
                  <c:v>0.266</c:v>
                </c:pt>
                <c:pt idx="17">
                  <c:v>0.216</c:v>
                </c:pt>
                <c:pt idx="18">
                  <c:v>0.225</c:v>
                </c:pt>
                <c:pt idx="19">
                  <c:v>0.241</c:v>
                </c:pt>
                <c:pt idx="20">
                  <c:v>0.382</c:v>
                </c:pt>
                <c:pt idx="21">
                  <c:v>0.274</c:v>
                </c:pt>
                <c:pt idx="22">
                  <c:v>0.356</c:v>
                </c:pt>
                <c:pt idx="23">
                  <c:v>0.31</c:v>
                </c:pt>
                <c:pt idx="24">
                  <c:v>0.393</c:v>
                </c:pt>
                <c:pt idx="25">
                  <c:v>0.298</c:v>
                </c:pt>
                <c:pt idx="26">
                  <c:v>0.373</c:v>
                </c:pt>
                <c:pt idx="27">
                  <c:v>0.185</c:v>
                </c:pt>
                <c:pt idx="28">
                  <c:v>0.1622</c:v>
                </c:pt>
              </c:numCache>
            </c:numRef>
          </c:yVal>
          <c:smooth val="0"/>
        </c:ser>
        <c:dLbls>
          <c:showLegendKey val="0"/>
          <c:showVal val="0"/>
          <c:showCatName val="0"/>
          <c:showSerName val="0"/>
          <c:showPercent val="0"/>
          <c:showBubbleSize val="0"/>
        </c:dLbls>
        <c:axId val="-1184291408"/>
        <c:axId val="-1184288336"/>
      </c:scatterChart>
      <c:valAx>
        <c:axId val="-1184291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Desired Speed</a:t>
                </a:r>
                <a:r>
                  <a:rPr lang="en-US" baseline="0"/>
                  <a:t> (m/sec)</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88336"/>
        <c:crosses val="autoZero"/>
        <c:crossBetween val="midCat"/>
      </c:valAx>
      <c:valAx>
        <c:axId val="-118428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Ramp</a:t>
                </a:r>
                <a:r>
                  <a:rPr lang="en-US" baseline="0"/>
                  <a:t> Down Speed (m.sec)</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91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Ramp-Down Time: Avg</a:t>
            </a:r>
            <a:r>
              <a:rPr lang="en-US" baseline="0"/>
              <a:t> - 2.</a:t>
            </a:r>
            <a:r>
              <a:rPr lang="hr-HR" sz="1400" b="0" i="0" u="none" strike="noStrike" baseline="0">
                <a:effectLst/>
              </a:rPr>
              <a:t>642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Data!$K$1</c:f>
              <c:strCache>
                <c:ptCount val="1"/>
                <c:pt idx="0">
                  <c:v>Ramp-Down Time</c:v>
                </c:pt>
              </c:strCache>
            </c:strRef>
          </c:tx>
          <c:spPr>
            <a:ln w="31750" cap="rnd">
              <a:noFill/>
              <a:round/>
            </a:ln>
            <a:effectLst/>
          </c:spPr>
          <c:marker>
            <c:symbol val="circle"/>
            <c:size val="5"/>
            <c:spPr>
              <a:solidFill>
                <a:schemeClr val="accent1"/>
              </a:solidFill>
              <a:ln w="9525">
                <a:solidFill>
                  <a:schemeClr val="accent1"/>
                </a:solidFill>
              </a:ln>
              <a:effectLst/>
            </c:spPr>
          </c:marker>
          <c:xVal>
            <c:numRef>
              <c:f>Data!$A$2:$A$30</c:f>
              <c:numCache>
                <c:formatCode>General</c:formatCode>
                <c:ptCount val="29"/>
                <c:pt idx="0">
                  <c:v>0.2</c:v>
                </c:pt>
                <c:pt idx="1">
                  <c:v>0.25</c:v>
                </c:pt>
                <c:pt idx="2">
                  <c:v>0.3</c:v>
                </c:pt>
                <c:pt idx="3">
                  <c:v>0.35</c:v>
                </c:pt>
                <c:pt idx="4">
                  <c:v>0.4</c:v>
                </c:pt>
                <c:pt idx="5">
                  <c:v>0.45</c:v>
                </c:pt>
                <c:pt idx="6">
                  <c:v>0.5</c:v>
                </c:pt>
                <c:pt idx="7">
                  <c:v>0.55</c:v>
                </c:pt>
                <c:pt idx="8">
                  <c:v>0.6</c:v>
                </c:pt>
                <c:pt idx="9">
                  <c:v>0.62</c:v>
                </c:pt>
                <c:pt idx="10">
                  <c:v>0.7</c:v>
                </c:pt>
                <c:pt idx="11">
                  <c:v>0.75</c:v>
                </c:pt>
                <c:pt idx="12">
                  <c:v>0.2</c:v>
                </c:pt>
                <c:pt idx="13">
                  <c:v>0.25</c:v>
                </c:pt>
                <c:pt idx="14">
                  <c:v>0.3</c:v>
                </c:pt>
                <c:pt idx="15">
                  <c:v>0.35</c:v>
                </c:pt>
                <c:pt idx="16">
                  <c:v>0.4</c:v>
                </c:pt>
                <c:pt idx="17">
                  <c:v>0.45</c:v>
                </c:pt>
                <c:pt idx="18">
                  <c:v>0.5</c:v>
                </c:pt>
                <c:pt idx="19">
                  <c:v>0.55</c:v>
                </c:pt>
                <c:pt idx="20">
                  <c:v>0.6</c:v>
                </c:pt>
                <c:pt idx="21">
                  <c:v>0.65</c:v>
                </c:pt>
                <c:pt idx="22">
                  <c:v>0.7</c:v>
                </c:pt>
                <c:pt idx="23">
                  <c:v>0.75</c:v>
                </c:pt>
                <c:pt idx="24">
                  <c:v>0.8</c:v>
                </c:pt>
                <c:pt idx="25">
                  <c:v>0.8</c:v>
                </c:pt>
                <c:pt idx="26">
                  <c:v>0.65</c:v>
                </c:pt>
                <c:pt idx="27">
                  <c:v>0.4</c:v>
                </c:pt>
                <c:pt idx="28">
                  <c:v>0.45</c:v>
                </c:pt>
              </c:numCache>
            </c:numRef>
          </c:xVal>
          <c:yVal>
            <c:numRef>
              <c:f>Data!$K$2:$K$30</c:f>
              <c:numCache>
                <c:formatCode>General</c:formatCode>
                <c:ptCount val="29"/>
                <c:pt idx="0">
                  <c:v>3.003999999999991</c:v>
                </c:pt>
                <c:pt idx="1">
                  <c:v>3.349999999999994</c:v>
                </c:pt>
                <c:pt idx="2">
                  <c:v>2.422000000000004</c:v>
                </c:pt>
                <c:pt idx="3">
                  <c:v>2.771999999999998</c:v>
                </c:pt>
                <c:pt idx="4">
                  <c:v>3.018000000000001</c:v>
                </c:pt>
                <c:pt idx="5">
                  <c:v>3.164999999999992</c:v>
                </c:pt>
                <c:pt idx="6">
                  <c:v>2.374000000000002</c:v>
                </c:pt>
                <c:pt idx="7">
                  <c:v>3.348000000000006</c:v>
                </c:pt>
                <c:pt idx="8">
                  <c:v>2.573999999999998</c:v>
                </c:pt>
                <c:pt idx="9">
                  <c:v>3.192999999999998</c:v>
                </c:pt>
                <c:pt idx="10">
                  <c:v>2.552</c:v>
                </c:pt>
                <c:pt idx="11">
                  <c:v>1.961000000000002</c:v>
                </c:pt>
                <c:pt idx="12">
                  <c:v>2.39</c:v>
                </c:pt>
                <c:pt idx="13">
                  <c:v>2.552000000000007</c:v>
                </c:pt>
                <c:pt idx="14">
                  <c:v>3.159999999999997</c:v>
                </c:pt>
                <c:pt idx="15">
                  <c:v>2.582999999999998</c:v>
                </c:pt>
                <c:pt idx="16">
                  <c:v>2.009</c:v>
                </c:pt>
                <c:pt idx="17">
                  <c:v>2.763999999999996</c:v>
                </c:pt>
                <c:pt idx="18">
                  <c:v>2.571000000000005</c:v>
                </c:pt>
                <c:pt idx="19">
                  <c:v>2.606999999999999</c:v>
                </c:pt>
                <c:pt idx="20">
                  <c:v>1.956000000000003</c:v>
                </c:pt>
                <c:pt idx="21">
                  <c:v>2.550999999999995</c:v>
                </c:pt>
                <c:pt idx="22">
                  <c:v>2.585000000000001</c:v>
                </c:pt>
                <c:pt idx="23">
                  <c:v>2.972000000000001</c:v>
                </c:pt>
                <c:pt idx="24">
                  <c:v>2.361000000000004</c:v>
                </c:pt>
                <c:pt idx="25">
                  <c:v>3.161000000000001</c:v>
                </c:pt>
                <c:pt idx="26">
                  <c:v>1.776999999999987</c:v>
                </c:pt>
                <c:pt idx="27">
                  <c:v>2.756</c:v>
                </c:pt>
                <c:pt idx="28">
                  <c:v>2.153999999999996</c:v>
                </c:pt>
              </c:numCache>
            </c:numRef>
          </c:yVal>
          <c:smooth val="0"/>
        </c:ser>
        <c:dLbls>
          <c:showLegendKey val="0"/>
          <c:showVal val="0"/>
          <c:showCatName val="0"/>
          <c:showSerName val="0"/>
          <c:showPercent val="0"/>
          <c:showBubbleSize val="0"/>
        </c:dLbls>
        <c:axId val="-1184262048"/>
        <c:axId val="-1184258288"/>
      </c:scatterChart>
      <c:valAx>
        <c:axId val="-1184262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Desired</a:t>
                </a:r>
                <a:r>
                  <a:rPr lang="en-US" baseline="0"/>
                  <a:t> Spped (m/sec)</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58288"/>
        <c:crosses val="autoZero"/>
        <c:crossBetween val="midCat"/>
      </c:valAx>
      <c:valAx>
        <c:axId val="-118425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Ramp Down 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62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787894</xdr:colOff>
      <xdr:row>13</xdr:row>
      <xdr:rowOff>58689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786848</xdr:colOff>
      <xdr:row>13</xdr:row>
      <xdr:rowOff>96631</xdr:rowOff>
    </xdr:from>
    <xdr:to>
      <xdr:col>14</xdr:col>
      <xdr:colOff>248478</xdr:colOff>
      <xdr:row>28</xdr:row>
      <xdr:rowOff>55217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789056</xdr:colOff>
      <xdr:row>0</xdr:row>
      <xdr:rowOff>0</xdr:rowOff>
    </xdr:from>
    <xdr:to>
      <xdr:col>14</xdr:col>
      <xdr:colOff>245317</xdr:colOff>
      <xdr:row>13</xdr:row>
      <xdr:rowOff>123379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169333</xdr:colOff>
      <xdr:row>13</xdr:row>
      <xdr:rowOff>59266</xdr:rowOff>
    </xdr:from>
    <xdr:to>
      <xdr:col>6</xdr:col>
      <xdr:colOff>778933</xdr:colOff>
      <xdr:row>26</xdr:row>
      <xdr:rowOff>194733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topLeftCell="A22" zoomScale="125" zoomScaleNormal="75" workbookViewId="0">
      <pane xSplit="1" topLeftCell="B1" activePane="topRight" state="frozen"/>
      <selection pane="topRight" activeCell="G9" sqref="A1:Q30"/>
    </sheetView>
  </sheetViews>
  <sheetFormatPr baseColWidth="10" defaultRowHeight="16" x14ac:dyDescent="0.2"/>
  <cols>
    <col min="1" max="1" width="13.6640625" customWidth="1"/>
    <col min="4" max="4" width="14.33203125" customWidth="1"/>
    <col min="5" max="5" width="17.1640625" customWidth="1"/>
    <col min="7" max="7" width="21.33203125" customWidth="1"/>
    <col min="8" max="8" width="18.6640625" customWidth="1"/>
    <col min="9" max="9" width="19.83203125" customWidth="1"/>
    <col min="10" max="10" width="23.83203125" customWidth="1"/>
    <col min="11" max="11" width="16.1640625" customWidth="1"/>
    <col min="12" max="12" width="21.1640625" customWidth="1"/>
    <col min="13" max="13" width="26.83203125" customWidth="1"/>
    <col min="14" max="14" width="20.83203125" customWidth="1"/>
    <col min="15" max="16" width="26.83203125" customWidth="1"/>
    <col min="17" max="17" width="13.5" customWidth="1"/>
  </cols>
  <sheetData>
    <row r="1" spans="1:22" x14ac:dyDescent="0.2">
      <c r="A1" s="1" t="s">
        <v>77</v>
      </c>
      <c r="B1" s="1" t="s">
        <v>4</v>
      </c>
      <c r="C1" s="1" t="s">
        <v>1</v>
      </c>
      <c r="D1" s="1" t="s">
        <v>47</v>
      </c>
      <c r="E1" s="1" t="s">
        <v>5</v>
      </c>
      <c r="F1" s="1" t="s">
        <v>3</v>
      </c>
      <c r="G1" s="1" t="s">
        <v>48</v>
      </c>
      <c r="H1" s="1" t="s">
        <v>2</v>
      </c>
      <c r="I1" s="1" t="s">
        <v>7</v>
      </c>
      <c r="J1" s="1" t="s">
        <v>9</v>
      </c>
      <c r="K1" s="1" t="s">
        <v>6</v>
      </c>
      <c r="L1" s="1" t="s">
        <v>10</v>
      </c>
      <c r="M1" s="1" t="s">
        <v>11</v>
      </c>
      <c r="N1" s="1" t="s">
        <v>14</v>
      </c>
      <c r="O1" s="1" t="s">
        <v>15</v>
      </c>
      <c r="P1" s="1" t="s">
        <v>16</v>
      </c>
      <c r="Q1" s="1" t="s">
        <v>8</v>
      </c>
      <c r="U1" s="1"/>
      <c r="V1" s="1"/>
    </row>
    <row r="2" spans="1:22" x14ac:dyDescent="0.2">
      <c r="A2" s="10">
        <v>0.2</v>
      </c>
      <c r="B2" s="10">
        <v>8.1</v>
      </c>
      <c r="C2">
        <v>29.129000000000001</v>
      </c>
      <c r="D2">
        <v>30.123000000000001</v>
      </c>
      <c r="E2">
        <v>69.433000000000007</v>
      </c>
      <c r="F2">
        <v>72.436999999999998</v>
      </c>
      <c r="G2">
        <f t="shared" ref="G2:G30" si="0">F2-C2</f>
        <v>43.307999999999993</v>
      </c>
      <c r="H2" s="8">
        <f t="shared" ref="H2:H30" si="1">D2-C2</f>
        <v>0.99399999999999977</v>
      </c>
      <c r="I2" s="8">
        <v>0.03</v>
      </c>
      <c r="J2" s="8">
        <f t="shared" ref="J2:J30" si="2">H2*I2</f>
        <v>2.9819999999999992E-2</v>
      </c>
      <c r="K2" s="6">
        <f t="shared" ref="K2:K30" si="3">F2-E2</f>
        <v>3.0039999999999907</v>
      </c>
      <c r="L2" s="6">
        <v>0.11</v>
      </c>
      <c r="M2" s="6">
        <f t="shared" ref="M2:M13" si="4">L2*K2</f>
        <v>0.33043999999999896</v>
      </c>
      <c r="N2" s="5">
        <f t="shared" ref="N2:N30" si="5">B2-J2-M2</f>
        <v>7.7397399999999994</v>
      </c>
      <c r="O2" s="5">
        <f t="shared" ref="O2:O30" si="6">E2-D2</f>
        <v>39.31</v>
      </c>
      <c r="P2" s="5">
        <f t="shared" ref="P2:P30" si="7">N2/O2</f>
        <v>0.19688984991096412</v>
      </c>
      <c r="Q2" t="s">
        <v>19</v>
      </c>
    </row>
    <row r="3" spans="1:22" x14ac:dyDescent="0.2">
      <c r="A3" s="10">
        <v>0.25</v>
      </c>
      <c r="B3" s="10">
        <v>8.1</v>
      </c>
      <c r="C3">
        <v>33.557000000000002</v>
      </c>
      <c r="D3">
        <v>34.640999999999998</v>
      </c>
      <c r="E3">
        <v>66.561000000000007</v>
      </c>
      <c r="F3">
        <v>69.911000000000001</v>
      </c>
      <c r="G3">
        <f t="shared" si="0"/>
        <v>36.353999999999999</v>
      </c>
      <c r="H3" s="8">
        <f t="shared" si="1"/>
        <v>1.0839999999999961</v>
      </c>
      <c r="I3" s="8">
        <v>3.6999999999999998E-2</v>
      </c>
      <c r="J3" s="8">
        <f t="shared" si="2"/>
        <v>4.0107999999999852E-2</v>
      </c>
      <c r="K3" s="6">
        <f t="shared" si="3"/>
        <v>3.3499999999999943</v>
      </c>
      <c r="L3" s="6">
        <v>0.111</v>
      </c>
      <c r="M3" s="6">
        <f t="shared" si="4"/>
        <v>0.37184999999999935</v>
      </c>
      <c r="N3" s="5">
        <f t="shared" si="5"/>
        <v>7.6880420000000003</v>
      </c>
      <c r="O3" s="5">
        <f t="shared" si="6"/>
        <v>31.920000000000009</v>
      </c>
      <c r="P3" s="5">
        <f t="shared" si="7"/>
        <v>0.24085344611528817</v>
      </c>
      <c r="Q3" t="s">
        <v>20</v>
      </c>
    </row>
    <row r="4" spans="1:22" x14ac:dyDescent="0.2">
      <c r="A4" s="10">
        <v>0.3</v>
      </c>
      <c r="B4" s="10">
        <v>8.1</v>
      </c>
      <c r="C4">
        <v>31.321000000000002</v>
      </c>
      <c r="D4">
        <v>32.517000000000003</v>
      </c>
      <c r="E4">
        <v>58.421999999999997</v>
      </c>
      <c r="F4">
        <v>60.844000000000001</v>
      </c>
      <c r="G4">
        <f t="shared" si="0"/>
        <v>29.523</v>
      </c>
      <c r="H4" s="8">
        <f t="shared" si="1"/>
        <v>1.1960000000000015</v>
      </c>
      <c r="I4" s="8">
        <v>5.3999999999999999E-2</v>
      </c>
      <c r="J4" s="8">
        <f t="shared" si="2"/>
        <v>6.4584000000000086E-2</v>
      </c>
      <c r="K4" s="6">
        <f t="shared" si="3"/>
        <v>2.4220000000000041</v>
      </c>
      <c r="L4" s="6">
        <v>9.6000000000000002E-2</v>
      </c>
      <c r="M4" s="6">
        <f t="shared" si="4"/>
        <v>0.23251200000000041</v>
      </c>
      <c r="N4" s="5">
        <f t="shared" si="5"/>
        <v>7.802903999999999</v>
      </c>
      <c r="O4" s="5">
        <f t="shared" si="6"/>
        <v>25.904999999999994</v>
      </c>
      <c r="P4" s="5">
        <f t="shared" si="7"/>
        <v>0.30121227562246672</v>
      </c>
      <c r="Q4" t="s">
        <v>21</v>
      </c>
    </row>
    <row r="5" spans="1:22" x14ac:dyDescent="0.2">
      <c r="A5" s="10">
        <v>0.35</v>
      </c>
      <c r="B5" s="10">
        <v>8.1</v>
      </c>
      <c r="C5">
        <v>28.829000000000001</v>
      </c>
      <c r="D5">
        <v>30.178000000000001</v>
      </c>
      <c r="E5">
        <v>51.9</v>
      </c>
      <c r="F5">
        <v>54.671999999999997</v>
      </c>
      <c r="G5">
        <f t="shared" si="0"/>
        <v>25.842999999999996</v>
      </c>
      <c r="H5" s="8">
        <f t="shared" si="1"/>
        <v>1.3490000000000002</v>
      </c>
      <c r="I5" s="8">
        <v>5.6000000000000001E-2</v>
      </c>
      <c r="J5" s="8">
        <f t="shared" si="2"/>
        <v>7.5544000000000014E-2</v>
      </c>
      <c r="K5" s="6">
        <f t="shared" si="3"/>
        <v>2.7719999999999985</v>
      </c>
      <c r="L5" s="6">
        <v>0.13400000000000001</v>
      </c>
      <c r="M5" s="6">
        <f t="shared" si="4"/>
        <v>0.37144799999999983</v>
      </c>
      <c r="N5" s="5">
        <f t="shared" si="5"/>
        <v>7.6530079999999989</v>
      </c>
      <c r="O5" s="5">
        <f t="shared" si="6"/>
        <v>21.721999999999998</v>
      </c>
      <c r="P5" s="5">
        <f t="shared" si="7"/>
        <v>0.35231599300248595</v>
      </c>
      <c r="Q5" t="s">
        <v>22</v>
      </c>
    </row>
    <row r="6" spans="1:22" x14ac:dyDescent="0.2">
      <c r="A6" s="10">
        <v>0.4</v>
      </c>
      <c r="B6" s="10">
        <v>8.1</v>
      </c>
      <c r="C6">
        <v>26.957000000000001</v>
      </c>
      <c r="D6">
        <v>28.297999999999998</v>
      </c>
      <c r="E6">
        <v>47.079000000000001</v>
      </c>
      <c r="F6">
        <v>50.097000000000001</v>
      </c>
      <c r="G6">
        <f t="shared" si="0"/>
        <v>23.14</v>
      </c>
      <c r="H6" s="8">
        <f t="shared" si="1"/>
        <v>1.3409999999999975</v>
      </c>
      <c r="I6" s="8">
        <v>6.4199999999999993E-2</v>
      </c>
      <c r="J6" s="8">
        <f t="shared" si="2"/>
        <v>8.6092199999999827E-2</v>
      </c>
      <c r="K6" s="6">
        <f t="shared" si="3"/>
        <v>3.0180000000000007</v>
      </c>
      <c r="L6" s="6">
        <v>0.17299999999999999</v>
      </c>
      <c r="M6" s="6">
        <f t="shared" si="4"/>
        <v>0.52211400000000008</v>
      </c>
      <c r="N6" s="5">
        <f t="shared" si="5"/>
        <v>7.4917937999999999</v>
      </c>
      <c r="O6" s="5">
        <f t="shared" si="6"/>
        <v>18.781000000000002</v>
      </c>
      <c r="P6" s="5">
        <f t="shared" si="7"/>
        <v>0.39890281667642824</v>
      </c>
      <c r="Q6" s="2" t="s">
        <v>23</v>
      </c>
    </row>
    <row r="7" spans="1:22" x14ac:dyDescent="0.2">
      <c r="A7" s="10">
        <v>0.45</v>
      </c>
      <c r="B7" s="10">
        <v>8.1</v>
      </c>
      <c r="C7">
        <v>85.811999999999998</v>
      </c>
      <c r="D7">
        <v>87.269000000000005</v>
      </c>
      <c r="E7">
        <v>104.188</v>
      </c>
      <c r="F7">
        <v>107.35299999999999</v>
      </c>
      <c r="G7">
        <f t="shared" si="0"/>
        <v>21.540999999999997</v>
      </c>
      <c r="H7" s="8">
        <f t="shared" si="1"/>
        <v>1.4570000000000078</v>
      </c>
      <c r="I7" s="8">
        <v>7.8E-2</v>
      </c>
      <c r="J7" s="8">
        <f t="shared" si="2"/>
        <v>0.11364600000000061</v>
      </c>
      <c r="K7" s="6">
        <f t="shared" si="3"/>
        <v>3.164999999999992</v>
      </c>
      <c r="L7" s="6">
        <v>0.13500000000000001</v>
      </c>
      <c r="M7" s="6">
        <f t="shared" si="4"/>
        <v>0.42727499999999896</v>
      </c>
      <c r="N7" s="5">
        <f t="shared" si="5"/>
        <v>7.5590789999999997</v>
      </c>
      <c r="O7" s="5">
        <f t="shared" si="6"/>
        <v>16.918999999999997</v>
      </c>
      <c r="P7" s="5">
        <f t="shared" si="7"/>
        <v>0.44678048348011118</v>
      </c>
      <c r="Q7" s="2" t="s">
        <v>24</v>
      </c>
    </row>
    <row r="8" spans="1:22" x14ac:dyDescent="0.2">
      <c r="A8" s="10">
        <v>0.5</v>
      </c>
      <c r="B8" s="10">
        <v>8.1</v>
      </c>
      <c r="C8">
        <v>30.556000000000001</v>
      </c>
      <c r="D8">
        <v>31.939</v>
      </c>
      <c r="E8">
        <v>47.238</v>
      </c>
      <c r="F8">
        <v>49.612000000000002</v>
      </c>
      <c r="G8">
        <f t="shared" si="0"/>
        <v>19.056000000000001</v>
      </c>
      <c r="H8" s="8">
        <f t="shared" si="1"/>
        <v>1.3829999999999991</v>
      </c>
      <c r="I8" s="8">
        <v>0.1</v>
      </c>
      <c r="J8" s="8">
        <f t="shared" si="2"/>
        <v>0.13829999999999992</v>
      </c>
      <c r="K8" s="6">
        <f t="shared" si="3"/>
        <v>2.3740000000000023</v>
      </c>
      <c r="L8" s="6">
        <v>0.16500000000000001</v>
      </c>
      <c r="M8" s="6">
        <f t="shared" si="4"/>
        <v>0.39171000000000039</v>
      </c>
      <c r="N8" s="5">
        <f t="shared" si="5"/>
        <v>7.5699899999999989</v>
      </c>
      <c r="O8" s="5">
        <f t="shared" si="6"/>
        <v>15.298999999999999</v>
      </c>
      <c r="P8" s="5">
        <f t="shared" si="7"/>
        <v>0.494802928295967</v>
      </c>
      <c r="Q8" t="s">
        <v>25</v>
      </c>
    </row>
    <row r="9" spans="1:22" x14ac:dyDescent="0.2">
      <c r="A9" s="10">
        <v>0.55000000000000004</v>
      </c>
      <c r="B9" s="10">
        <v>8.1</v>
      </c>
      <c r="C9">
        <v>48.304000000000002</v>
      </c>
      <c r="D9">
        <v>50.344999999999999</v>
      </c>
      <c r="E9">
        <v>63.354999999999997</v>
      </c>
      <c r="F9">
        <v>66.703000000000003</v>
      </c>
      <c r="G9">
        <f t="shared" si="0"/>
        <v>18.399000000000001</v>
      </c>
      <c r="H9" s="8">
        <f t="shared" si="1"/>
        <v>2.0409999999999968</v>
      </c>
      <c r="I9" s="8">
        <v>9.2499999999999999E-2</v>
      </c>
      <c r="J9" s="8">
        <f t="shared" si="2"/>
        <v>0.1887924999999997</v>
      </c>
      <c r="K9" s="6">
        <f t="shared" si="3"/>
        <v>3.3480000000000061</v>
      </c>
      <c r="L9" s="6">
        <v>0.20599999999999999</v>
      </c>
      <c r="M9" s="6">
        <f t="shared" si="4"/>
        <v>0.68968800000000119</v>
      </c>
      <c r="N9" s="5">
        <f t="shared" si="5"/>
        <v>7.2215194999999985</v>
      </c>
      <c r="O9" s="5">
        <f t="shared" si="6"/>
        <v>13.009999999999998</v>
      </c>
      <c r="P9" s="5">
        <f t="shared" si="7"/>
        <v>0.5550745196003074</v>
      </c>
      <c r="Q9" s="2" t="s">
        <v>26</v>
      </c>
    </row>
    <row r="10" spans="1:22" x14ac:dyDescent="0.2">
      <c r="A10" s="10">
        <v>0.6</v>
      </c>
      <c r="B10" s="10">
        <v>8.1</v>
      </c>
      <c r="C10">
        <v>12.756</v>
      </c>
      <c r="D10">
        <v>14.676</v>
      </c>
      <c r="E10">
        <v>26.442</v>
      </c>
      <c r="F10">
        <v>29.015999999999998</v>
      </c>
      <c r="G10">
        <f t="shared" si="0"/>
        <v>16.259999999999998</v>
      </c>
      <c r="H10" s="8">
        <f t="shared" si="1"/>
        <v>1.92</v>
      </c>
      <c r="I10" s="8">
        <v>8.2100000000000006E-2</v>
      </c>
      <c r="J10" s="8">
        <f t="shared" si="2"/>
        <v>0.15763199999999999</v>
      </c>
      <c r="K10" s="6">
        <f t="shared" si="3"/>
        <v>2.5739999999999981</v>
      </c>
      <c r="L10" s="6">
        <v>0.32</v>
      </c>
      <c r="M10" s="6">
        <f t="shared" si="4"/>
        <v>0.82367999999999941</v>
      </c>
      <c r="N10" s="5">
        <f t="shared" si="5"/>
        <v>7.1186880000000006</v>
      </c>
      <c r="O10" s="5">
        <f t="shared" si="6"/>
        <v>11.766</v>
      </c>
      <c r="P10" s="5">
        <f t="shared" si="7"/>
        <v>0.60502192758796536</v>
      </c>
      <c r="Q10" s="2" t="s">
        <v>27</v>
      </c>
    </row>
    <row r="11" spans="1:22" x14ac:dyDescent="0.2">
      <c r="A11" s="10">
        <v>0.62</v>
      </c>
      <c r="B11" s="10">
        <v>8.1</v>
      </c>
      <c r="C11">
        <v>28.821999999999999</v>
      </c>
      <c r="D11">
        <v>30.611000000000001</v>
      </c>
      <c r="E11">
        <v>42.262</v>
      </c>
      <c r="F11">
        <v>45.454999999999998</v>
      </c>
      <c r="G11">
        <f t="shared" si="0"/>
        <v>16.632999999999999</v>
      </c>
      <c r="H11" s="8">
        <f t="shared" si="1"/>
        <v>1.7890000000000015</v>
      </c>
      <c r="I11" s="8">
        <v>8.8200000000000001E-2</v>
      </c>
      <c r="J11" s="8">
        <f t="shared" si="2"/>
        <v>0.15778980000000012</v>
      </c>
      <c r="K11" s="6">
        <f t="shared" si="3"/>
        <v>3.1929999999999978</v>
      </c>
      <c r="L11" s="6">
        <v>0.219</v>
      </c>
      <c r="M11" s="6">
        <f t="shared" si="4"/>
        <v>0.69926699999999953</v>
      </c>
      <c r="N11" s="5">
        <f t="shared" si="5"/>
        <v>7.2429432</v>
      </c>
      <c r="O11" s="5">
        <f t="shared" si="6"/>
        <v>11.651</v>
      </c>
      <c r="P11" s="5">
        <f t="shared" si="7"/>
        <v>0.6216585014161875</v>
      </c>
      <c r="Q11" s="2" t="s">
        <v>28</v>
      </c>
    </row>
    <row r="12" spans="1:22" x14ac:dyDescent="0.2">
      <c r="A12" s="10">
        <v>0.7</v>
      </c>
      <c r="B12" s="10">
        <v>8.1</v>
      </c>
      <c r="C12">
        <v>12.403</v>
      </c>
      <c r="D12">
        <v>14.382999999999999</v>
      </c>
      <c r="E12">
        <v>24.66</v>
      </c>
      <c r="F12">
        <v>27.212</v>
      </c>
      <c r="G12">
        <f t="shared" si="0"/>
        <v>14.808999999999999</v>
      </c>
      <c r="H12" s="8">
        <f t="shared" si="1"/>
        <v>1.9799999999999986</v>
      </c>
      <c r="I12" s="8">
        <v>0.154</v>
      </c>
      <c r="J12" s="8">
        <f t="shared" si="2"/>
        <v>0.3049199999999998</v>
      </c>
      <c r="K12" s="6">
        <f t="shared" si="3"/>
        <v>2.5519999999999996</v>
      </c>
      <c r="L12" s="6">
        <v>0.24</v>
      </c>
      <c r="M12" s="6">
        <f t="shared" si="4"/>
        <v>0.61247999999999991</v>
      </c>
      <c r="N12" s="5">
        <f t="shared" si="5"/>
        <v>7.1825999999999999</v>
      </c>
      <c r="O12" s="5">
        <f t="shared" si="6"/>
        <v>10.277000000000001</v>
      </c>
      <c r="P12" s="5">
        <f t="shared" si="7"/>
        <v>0.69890045733190609</v>
      </c>
      <c r="Q12" s="2" t="s">
        <v>29</v>
      </c>
    </row>
    <row r="13" spans="1:22" x14ac:dyDescent="0.2">
      <c r="A13" s="10">
        <v>0.75</v>
      </c>
      <c r="B13" s="10">
        <v>8.1</v>
      </c>
      <c r="C13">
        <v>18.686</v>
      </c>
      <c r="D13">
        <v>20.423999999999999</v>
      </c>
      <c r="E13">
        <v>29.866</v>
      </c>
      <c r="F13">
        <v>31.827000000000002</v>
      </c>
      <c r="G13">
        <f t="shared" si="0"/>
        <v>13.141000000000002</v>
      </c>
      <c r="H13" s="8">
        <f t="shared" si="1"/>
        <v>1.7379999999999995</v>
      </c>
      <c r="I13" s="8">
        <v>0.191</v>
      </c>
      <c r="J13" s="8">
        <f t="shared" si="2"/>
        <v>0.33195799999999992</v>
      </c>
      <c r="K13" s="6">
        <f t="shared" si="3"/>
        <v>1.9610000000000021</v>
      </c>
      <c r="L13" s="6">
        <v>0.36499999999999999</v>
      </c>
      <c r="M13" s="6">
        <f t="shared" si="4"/>
        <v>0.71576500000000076</v>
      </c>
      <c r="N13" s="5">
        <f t="shared" si="5"/>
        <v>7.0522769999999984</v>
      </c>
      <c r="O13" s="5">
        <f t="shared" si="6"/>
        <v>9.4420000000000002</v>
      </c>
      <c r="P13" s="5">
        <f t="shared" si="7"/>
        <v>0.74690499894090212</v>
      </c>
      <c r="Q13" s="2" t="s">
        <v>30</v>
      </c>
    </row>
    <row r="14" spans="1:22" x14ac:dyDescent="0.2">
      <c r="A14" s="10">
        <v>0.2</v>
      </c>
      <c r="B14" s="10">
        <v>15.1</v>
      </c>
      <c r="C14">
        <v>22.838000000000001</v>
      </c>
      <c r="D14">
        <v>23.96</v>
      </c>
      <c r="E14">
        <v>97.992000000000004</v>
      </c>
      <c r="F14">
        <v>100.38200000000001</v>
      </c>
      <c r="G14">
        <f t="shared" si="0"/>
        <v>77.544000000000011</v>
      </c>
      <c r="H14" s="8">
        <f t="shared" si="1"/>
        <v>1.1219999999999999</v>
      </c>
      <c r="I14" s="9">
        <v>1.7999999999999999E-2</v>
      </c>
      <c r="J14" s="8">
        <f t="shared" si="2"/>
        <v>2.0195999999999995E-2</v>
      </c>
      <c r="K14" s="6">
        <f t="shared" si="3"/>
        <v>2.3900000000000006</v>
      </c>
      <c r="L14" s="7">
        <v>0.14899999999999999</v>
      </c>
      <c r="M14" s="6">
        <f t="shared" ref="M14:M30" si="8">K14*L14</f>
        <v>0.35611000000000009</v>
      </c>
      <c r="N14" s="5">
        <f t="shared" si="5"/>
        <v>14.723694</v>
      </c>
      <c r="O14" s="5">
        <f t="shared" si="6"/>
        <v>74.032000000000011</v>
      </c>
      <c r="P14" s="5">
        <f t="shared" si="7"/>
        <v>0.19888283444996754</v>
      </c>
      <c r="Q14" s="2" t="s">
        <v>31</v>
      </c>
    </row>
    <row r="15" spans="1:22" x14ac:dyDescent="0.2">
      <c r="A15" s="10">
        <v>0.25</v>
      </c>
      <c r="B15" s="10">
        <v>15.1</v>
      </c>
      <c r="C15">
        <v>49.301000000000002</v>
      </c>
      <c r="D15">
        <v>50.366</v>
      </c>
      <c r="E15">
        <v>109.375</v>
      </c>
      <c r="F15">
        <v>111.92700000000001</v>
      </c>
      <c r="G15">
        <f t="shared" si="0"/>
        <v>62.626000000000005</v>
      </c>
      <c r="H15" s="8">
        <f t="shared" si="1"/>
        <v>1.0649999999999977</v>
      </c>
      <c r="I15" s="8">
        <v>1.7000000000000001E-2</v>
      </c>
      <c r="J15" s="8">
        <f t="shared" si="2"/>
        <v>1.8104999999999961E-2</v>
      </c>
      <c r="K15" s="6">
        <f t="shared" si="3"/>
        <v>2.5520000000000067</v>
      </c>
      <c r="L15" s="6">
        <v>0.127</v>
      </c>
      <c r="M15" s="6">
        <f t="shared" si="8"/>
        <v>0.32410400000000084</v>
      </c>
      <c r="N15" s="5">
        <f t="shared" si="5"/>
        <v>14.757790999999999</v>
      </c>
      <c r="O15" s="5">
        <f t="shared" si="6"/>
        <v>59.009</v>
      </c>
      <c r="P15" s="5">
        <f t="shared" si="7"/>
        <v>0.25009390093036654</v>
      </c>
      <c r="Q15" s="2" t="s">
        <v>32</v>
      </c>
    </row>
    <row r="16" spans="1:22" x14ac:dyDescent="0.2">
      <c r="A16" s="10">
        <v>0.3</v>
      </c>
      <c r="B16" s="10">
        <v>15.1</v>
      </c>
      <c r="C16">
        <v>27.677</v>
      </c>
      <c r="D16">
        <v>28.925999999999998</v>
      </c>
      <c r="E16">
        <v>77.866</v>
      </c>
      <c r="F16">
        <v>81.025999999999996</v>
      </c>
      <c r="G16">
        <f t="shared" si="0"/>
        <v>53.348999999999997</v>
      </c>
      <c r="H16" s="8">
        <f t="shared" si="1"/>
        <v>1.2489999999999988</v>
      </c>
      <c r="I16" s="8">
        <v>3.7999999999999999E-2</v>
      </c>
      <c r="J16" s="8">
        <f t="shared" si="2"/>
        <v>4.7461999999999956E-2</v>
      </c>
      <c r="K16" s="6">
        <f t="shared" si="3"/>
        <v>3.1599999999999966</v>
      </c>
      <c r="L16" s="6">
        <v>0.159</v>
      </c>
      <c r="M16" s="6">
        <f t="shared" si="8"/>
        <v>0.50243999999999944</v>
      </c>
      <c r="N16" s="5">
        <f t="shared" si="5"/>
        <v>14.550098</v>
      </c>
      <c r="O16" s="5">
        <f t="shared" si="6"/>
        <v>48.94</v>
      </c>
      <c r="P16" s="5">
        <f t="shared" si="7"/>
        <v>0.29730482223130367</v>
      </c>
      <c r="Q16" s="2" t="s">
        <v>33</v>
      </c>
    </row>
    <row r="17" spans="1:17" x14ac:dyDescent="0.2">
      <c r="A17" s="10">
        <v>0.35</v>
      </c>
      <c r="B17" s="10">
        <v>15.1</v>
      </c>
      <c r="C17">
        <v>32.947000000000003</v>
      </c>
      <c r="D17">
        <v>34.386000000000003</v>
      </c>
      <c r="E17">
        <v>76.052999999999997</v>
      </c>
      <c r="F17">
        <v>78.635999999999996</v>
      </c>
      <c r="G17">
        <f t="shared" si="0"/>
        <v>45.688999999999993</v>
      </c>
      <c r="H17" s="8">
        <f t="shared" si="1"/>
        <v>1.4390000000000001</v>
      </c>
      <c r="I17" s="8">
        <v>4.8000000000000001E-2</v>
      </c>
      <c r="J17" s="8">
        <f t="shared" si="2"/>
        <v>6.9072000000000008E-2</v>
      </c>
      <c r="K17" s="6">
        <f t="shared" si="3"/>
        <v>2.5829999999999984</v>
      </c>
      <c r="L17" s="6">
        <v>0.17799999999999999</v>
      </c>
      <c r="M17" s="6">
        <f t="shared" si="8"/>
        <v>0.45977399999999968</v>
      </c>
      <c r="N17" s="5">
        <f t="shared" si="5"/>
        <v>14.571154</v>
      </c>
      <c r="O17" s="5">
        <f t="shared" si="6"/>
        <v>41.666999999999994</v>
      </c>
      <c r="P17" s="5">
        <f t="shared" si="7"/>
        <v>0.34970489836081314</v>
      </c>
      <c r="Q17" s="2" t="s">
        <v>34</v>
      </c>
    </row>
    <row r="18" spans="1:17" x14ac:dyDescent="0.2">
      <c r="A18" s="10">
        <v>0.4</v>
      </c>
      <c r="B18" s="10">
        <v>15.1</v>
      </c>
      <c r="C18">
        <v>29.76</v>
      </c>
      <c r="D18">
        <v>31.184999999999999</v>
      </c>
      <c r="E18">
        <v>67.069999999999993</v>
      </c>
      <c r="F18">
        <v>69.078999999999994</v>
      </c>
      <c r="G18">
        <f t="shared" si="0"/>
        <v>39.318999999999988</v>
      </c>
      <c r="H18" s="8">
        <f t="shared" si="1"/>
        <v>1.4249999999999972</v>
      </c>
      <c r="I18" s="8">
        <v>8.6999999999999994E-2</v>
      </c>
      <c r="J18" s="8">
        <f t="shared" si="2"/>
        <v>0.12397499999999974</v>
      </c>
      <c r="K18" s="6">
        <f t="shared" si="3"/>
        <v>2.0090000000000003</v>
      </c>
      <c r="L18" s="6">
        <v>0.26600000000000001</v>
      </c>
      <c r="M18" s="6">
        <f t="shared" si="8"/>
        <v>0.53439400000000015</v>
      </c>
      <c r="N18" s="5">
        <f t="shared" si="5"/>
        <v>14.441630999999999</v>
      </c>
      <c r="O18" s="5">
        <f t="shared" si="6"/>
        <v>35.884999999999991</v>
      </c>
      <c r="P18" s="5">
        <f t="shared" si="7"/>
        <v>0.40244199526264463</v>
      </c>
      <c r="Q18" s="2" t="s">
        <v>35</v>
      </c>
    </row>
    <row r="19" spans="1:17" x14ac:dyDescent="0.2">
      <c r="A19" s="10">
        <v>0.45</v>
      </c>
      <c r="B19" s="10">
        <v>15.1</v>
      </c>
      <c r="C19">
        <v>25.042000000000002</v>
      </c>
      <c r="D19">
        <v>26.19</v>
      </c>
      <c r="E19">
        <v>57.618000000000002</v>
      </c>
      <c r="F19">
        <v>60.381999999999998</v>
      </c>
      <c r="G19">
        <f t="shared" si="0"/>
        <v>35.339999999999996</v>
      </c>
      <c r="H19" s="8">
        <f t="shared" si="1"/>
        <v>1.1479999999999997</v>
      </c>
      <c r="I19" s="8">
        <v>0.11</v>
      </c>
      <c r="J19" s="8">
        <f t="shared" si="2"/>
        <v>0.12627999999999998</v>
      </c>
      <c r="K19" s="6">
        <f t="shared" si="3"/>
        <v>2.7639999999999958</v>
      </c>
      <c r="L19" s="6">
        <v>0.216</v>
      </c>
      <c r="M19" s="6">
        <f t="shared" si="8"/>
        <v>0.59702399999999911</v>
      </c>
      <c r="N19" s="5">
        <f t="shared" si="5"/>
        <v>14.376696000000001</v>
      </c>
      <c r="O19" s="5">
        <f t="shared" si="6"/>
        <v>31.428000000000001</v>
      </c>
      <c r="P19" s="5">
        <f t="shared" si="7"/>
        <v>0.45744864452080947</v>
      </c>
      <c r="Q19" s="2" t="s">
        <v>36</v>
      </c>
    </row>
    <row r="20" spans="1:17" x14ac:dyDescent="0.2">
      <c r="A20" s="10">
        <v>0.5</v>
      </c>
      <c r="B20" s="10">
        <v>15.1</v>
      </c>
      <c r="C20">
        <v>27.036000000000001</v>
      </c>
      <c r="D20">
        <v>28.53</v>
      </c>
      <c r="E20">
        <v>57.384999999999998</v>
      </c>
      <c r="F20">
        <v>59.956000000000003</v>
      </c>
      <c r="G20">
        <f t="shared" si="0"/>
        <v>32.92</v>
      </c>
      <c r="H20" s="8">
        <f t="shared" si="1"/>
        <v>1.4939999999999998</v>
      </c>
      <c r="I20" s="8">
        <v>9.5000000000000001E-2</v>
      </c>
      <c r="J20" s="8">
        <f t="shared" si="2"/>
        <v>0.14192999999999997</v>
      </c>
      <c r="K20" s="6">
        <f t="shared" si="3"/>
        <v>2.5710000000000051</v>
      </c>
      <c r="L20" s="6">
        <v>0.22500000000000001</v>
      </c>
      <c r="M20" s="6">
        <f t="shared" si="8"/>
        <v>0.57847500000000118</v>
      </c>
      <c r="N20" s="5">
        <f t="shared" si="5"/>
        <v>14.379594999999998</v>
      </c>
      <c r="O20" s="5">
        <f t="shared" si="6"/>
        <v>28.854999999999997</v>
      </c>
      <c r="P20" s="5">
        <f t="shared" si="7"/>
        <v>0.49833980246057874</v>
      </c>
      <c r="Q20" s="2" t="s">
        <v>37</v>
      </c>
    </row>
    <row r="21" spans="1:17" x14ac:dyDescent="0.2">
      <c r="A21" s="10">
        <v>0.55000000000000004</v>
      </c>
      <c r="B21" s="10">
        <v>15.1</v>
      </c>
      <c r="C21">
        <v>25.178999999999998</v>
      </c>
      <c r="D21">
        <v>26.707000000000001</v>
      </c>
      <c r="E21">
        <v>52.706000000000003</v>
      </c>
      <c r="F21">
        <v>55.313000000000002</v>
      </c>
      <c r="G21">
        <f t="shared" si="0"/>
        <v>30.134000000000004</v>
      </c>
      <c r="H21" s="8">
        <f t="shared" si="1"/>
        <v>1.5280000000000022</v>
      </c>
      <c r="I21" s="8">
        <v>7.3999999999999996E-2</v>
      </c>
      <c r="J21" s="8">
        <f t="shared" si="2"/>
        <v>0.11307200000000016</v>
      </c>
      <c r="K21" s="6">
        <f t="shared" si="3"/>
        <v>2.6069999999999993</v>
      </c>
      <c r="L21" s="6">
        <v>0.24099999999999999</v>
      </c>
      <c r="M21" s="6">
        <f t="shared" si="8"/>
        <v>0.62828699999999982</v>
      </c>
      <c r="N21" s="5">
        <f t="shared" si="5"/>
        <v>14.358640999999999</v>
      </c>
      <c r="O21" s="5">
        <f t="shared" si="6"/>
        <v>25.999000000000002</v>
      </c>
      <c r="P21" s="5">
        <f t="shared" si="7"/>
        <v>0.55227666448709556</v>
      </c>
      <c r="Q21" s="2" t="s">
        <v>38</v>
      </c>
    </row>
    <row r="22" spans="1:17" x14ac:dyDescent="0.2">
      <c r="A22" s="10">
        <v>0.6</v>
      </c>
      <c r="B22" s="10">
        <v>15.1</v>
      </c>
      <c r="C22">
        <v>30.425999999999998</v>
      </c>
      <c r="D22">
        <v>31.94</v>
      </c>
      <c r="E22">
        <v>55.451999999999998</v>
      </c>
      <c r="F22">
        <v>57.408000000000001</v>
      </c>
      <c r="G22">
        <f t="shared" si="0"/>
        <v>26.982000000000003</v>
      </c>
      <c r="H22" s="8">
        <f t="shared" si="1"/>
        <v>1.5140000000000029</v>
      </c>
      <c r="I22" s="8">
        <v>0.15</v>
      </c>
      <c r="J22" s="8">
        <f t="shared" si="2"/>
        <v>0.22710000000000041</v>
      </c>
      <c r="K22" s="6">
        <f t="shared" si="3"/>
        <v>1.9560000000000031</v>
      </c>
      <c r="L22" s="6">
        <v>0.38200000000000001</v>
      </c>
      <c r="M22" s="6">
        <f t="shared" si="8"/>
        <v>0.74719200000000119</v>
      </c>
      <c r="N22" s="5">
        <f t="shared" si="5"/>
        <v>14.125707999999998</v>
      </c>
      <c r="O22" s="5">
        <f t="shared" si="6"/>
        <v>23.511999999999997</v>
      </c>
      <c r="P22" s="5">
        <f t="shared" si="7"/>
        <v>0.60078717250765568</v>
      </c>
      <c r="Q22" s="2" t="s">
        <v>39</v>
      </c>
    </row>
    <row r="23" spans="1:17" x14ac:dyDescent="0.2">
      <c r="A23" s="10">
        <v>0.65</v>
      </c>
      <c r="B23" s="10">
        <v>15.1</v>
      </c>
      <c r="C23">
        <v>33.823999999999998</v>
      </c>
      <c r="D23">
        <v>35.372</v>
      </c>
      <c r="E23">
        <v>57.06</v>
      </c>
      <c r="F23">
        <v>59.610999999999997</v>
      </c>
      <c r="G23">
        <f t="shared" si="0"/>
        <v>25.786999999999999</v>
      </c>
      <c r="H23" s="8">
        <f t="shared" si="1"/>
        <v>1.5480000000000018</v>
      </c>
      <c r="I23" s="8">
        <v>0.127</v>
      </c>
      <c r="J23" s="8">
        <f t="shared" si="2"/>
        <v>0.19659600000000024</v>
      </c>
      <c r="K23" s="6">
        <f t="shared" si="3"/>
        <v>2.5509999999999948</v>
      </c>
      <c r="L23" s="6">
        <v>0.27400000000000002</v>
      </c>
      <c r="M23" s="6">
        <f t="shared" si="8"/>
        <v>0.69897399999999865</v>
      </c>
      <c r="N23" s="5">
        <f t="shared" si="5"/>
        <v>14.204430000000002</v>
      </c>
      <c r="O23" s="5">
        <f t="shared" si="6"/>
        <v>21.688000000000002</v>
      </c>
      <c r="P23" s="5">
        <f t="shared" si="7"/>
        <v>0.65494420877904835</v>
      </c>
      <c r="Q23" s="2" t="s">
        <v>40</v>
      </c>
    </row>
    <row r="24" spans="1:17" x14ac:dyDescent="0.2">
      <c r="A24" s="10">
        <v>0.7</v>
      </c>
      <c r="B24" s="10">
        <v>15.1</v>
      </c>
      <c r="C24">
        <v>21.658000000000001</v>
      </c>
      <c r="D24">
        <v>23.614999999999998</v>
      </c>
      <c r="E24">
        <v>43.567999999999998</v>
      </c>
      <c r="F24">
        <v>46.152999999999999</v>
      </c>
      <c r="G24">
        <f t="shared" si="0"/>
        <v>24.494999999999997</v>
      </c>
      <c r="H24" s="8">
        <f t="shared" si="1"/>
        <v>1.9569999999999972</v>
      </c>
      <c r="I24" s="8">
        <v>0.121</v>
      </c>
      <c r="J24" s="8">
        <f t="shared" si="2"/>
        <v>0.23679699999999965</v>
      </c>
      <c r="K24" s="6">
        <f t="shared" si="3"/>
        <v>2.5850000000000009</v>
      </c>
      <c r="L24" s="6">
        <v>0.35599999999999998</v>
      </c>
      <c r="M24" s="6">
        <f t="shared" si="8"/>
        <v>0.9202600000000003</v>
      </c>
      <c r="N24" s="5">
        <f t="shared" si="5"/>
        <v>13.942943</v>
      </c>
      <c r="O24" s="5">
        <f t="shared" si="6"/>
        <v>19.952999999999999</v>
      </c>
      <c r="P24" s="5">
        <f t="shared" si="7"/>
        <v>0.69878930486643609</v>
      </c>
      <c r="Q24" s="2" t="s">
        <v>41</v>
      </c>
    </row>
    <row r="25" spans="1:17" x14ac:dyDescent="0.2">
      <c r="A25" s="10">
        <v>0.75</v>
      </c>
      <c r="B25" s="10">
        <v>15.1</v>
      </c>
      <c r="C25">
        <v>24.452000000000002</v>
      </c>
      <c r="D25">
        <v>26.11</v>
      </c>
      <c r="E25">
        <v>44.552999999999997</v>
      </c>
      <c r="F25">
        <v>47.524999999999999</v>
      </c>
      <c r="G25">
        <f t="shared" si="0"/>
        <v>23.072999999999997</v>
      </c>
      <c r="H25" s="8">
        <f t="shared" si="1"/>
        <v>1.6579999999999977</v>
      </c>
      <c r="I25" s="8">
        <v>0.188</v>
      </c>
      <c r="J25" s="8">
        <f t="shared" si="2"/>
        <v>0.31170399999999959</v>
      </c>
      <c r="K25" s="6">
        <f t="shared" si="3"/>
        <v>2.9720000000000013</v>
      </c>
      <c r="L25" s="6">
        <v>0.31</v>
      </c>
      <c r="M25" s="6">
        <f t="shared" si="8"/>
        <v>0.92132000000000036</v>
      </c>
      <c r="N25" s="5">
        <f t="shared" si="5"/>
        <v>13.866976000000001</v>
      </c>
      <c r="O25" s="5">
        <f t="shared" si="6"/>
        <v>18.442999999999998</v>
      </c>
      <c r="P25" s="5">
        <f t="shared" si="7"/>
        <v>0.75188288239440448</v>
      </c>
      <c r="Q25" s="2" t="s">
        <v>42</v>
      </c>
    </row>
    <row r="26" spans="1:17" x14ac:dyDescent="0.2">
      <c r="A26" s="10">
        <v>0.8</v>
      </c>
      <c r="B26" s="10">
        <v>15.1</v>
      </c>
      <c r="C26">
        <v>34.633000000000003</v>
      </c>
      <c r="D26">
        <v>36.344000000000001</v>
      </c>
      <c r="E26">
        <v>53.610999999999997</v>
      </c>
      <c r="F26">
        <v>55.972000000000001</v>
      </c>
      <c r="G26">
        <f t="shared" si="0"/>
        <v>21.338999999999999</v>
      </c>
      <c r="H26" s="8">
        <f t="shared" si="1"/>
        <v>1.7109999999999985</v>
      </c>
      <c r="I26" s="8">
        <v>0.23899999999999999</v>
      </c>
      <c r="J26" s="8">
        <f t="shared" si="2"/>
        <v>0.40892899999999965</v>
      </c>
      <c r="K26" s="6">
        <f t="shared" si="3"/>
        <v>2.3610000000000042</v>
      </c>
      <c r="L26" s="6">
        <v>0.39300000000000002</v>
      </c>
      <c r="M26" s="6">
        <f t="shared" si="8"/>
        <v>0.92787300000000172</v>
      </c>
      <c r="N26" s="5">
        <f t="shared" si="5"/>
        <v>13.763197999999999</v>
      </c>
      <c r="O26" s="5">
        <f t="shared" si="6"/>
        <v>17.266999999999996</v>
      </c>
      <c r="P26" s="5">
        <f t="shared" si="7"/>
        <v>0.79708102160189975</v>
      </c>
      <c r="Q26" s="2" t="s">
        <v>43</v>
      </c>
    </row>
    <row r="27" spans="1:17" x14ac:dyDescent="0.2">
      <c r="A27" s="10">
        <v>0.8</v>
      </c>
      <c r="B27" s="10">
        <v>10.1</v>
      </c>
      <c r="C27">
        <v>31.977</v>
      </c>
      <c r="D27">
        <v>33.719000000000001</v>
      </c>
      <c r="E27">
        <v>44.725999999999999</v>
      </c>
      <c r="F27">
        <v>47.887</v>
      </c>
      <c r="G27">
        <f t="shared" si="0"/>
        <v>15.91</v>
      </c>
      <c r="H27" s="8">
        <f t="shared" si="1"/>
        <v>1.7420000000000009</v>
      </c>
      <c r="I27" s="8">
        <v>0.20100000000000001</v>
      </c>
      <c r="J27" s="8">
        <f t="shared" si="2"/>
        <v>0.35014200000000018</v>
      </c>
      <c r="K27" s="6">
        <f t="shared" si="3"/>
        <v>3.1610000000000014</v>
      </c>
      <c r="L27" s="6">
        <v>0.29799999999999999</v>
      </c>
      <c r="M27" s="6">
        <f t="shared" si="8"/>
        <v>0.94197800000000032</v>
      </c>
      <c r="N27" s="5">
        <f t="shared" si="5"/>
        <v>8.807879999999999</v>
      </c>
      <c r="O27" s="5">
        <f t="shared" si="6"/>
        <v>11.006999999999998</v>
      </c>
      <c r="P27" s="5">
        <f t="shared" si="7"/>
        <v>0.80020714091032985</v>
      </c>
      <c r="Q27" t="s">
        <v>12</v>
      </c>
    </row>
    <row r="28" spans="1:17" x14ac:dyDescent="0.2">
      <c r="A28" s="10">
        <v>0.65</v>
      </c>
      <c r="B28" s="10">
        <v>10.1</v>
      </c>
      <c r="C28">
        <v>291.053</v>
      </c>
      <c r="D28">
        <v>292.85199999999998</v>
      </c>
      <c r="E28">
        <v>306.99799999999999</v>
      </c>
      <c r="F28">
        <v>308.77499999999998</v>
      </c>
      <c r="G28">
        <f t="shared" si="0"/>
        <v>17.72199999999998</v>
      </c>
      <c r="H28" s="8">
        <f t="shared" si="1"/>
        <v>1.7989999999999782</v>
      </c>
      <c r="I28" s="8">
        <v>0.12</v>
      </c>
      <c r="J28" s="8">
        <f t="shared" si="2"/>
        <v>0.21587999999999738</v>
      </c>
      <c r="K28" s="6">
        <f t="shared" si="3"/>
        <v>1.7769999999999868</v>
      </c>
      <c r="L28" s="6">
        <v>0.373</v>
      </c>
      <c r="M28" s="6">
        <f t="shared" si="8"/>
        <v>0.66282099999999511</v>
      </c>
      <c r="N28" s="5">
        <f t="shared" si="5"/>
        <v>9.2212990000000072</v>
      </c>
      <c r="O28" s="5">
        <f t="shared" si="6"/>
        <v>14.146000000000015</v>
      </c>
      <c r="P28" s="5">
        <f t="shared" si="7"/>
        <v>0.65186618125265072</v>
      </c>
      <c r="Q28" s="2" t="s">
        <v>44</v>
      </c>
    </row>
    <row r="29" spans="1:17" x14ac:dyDescent="0.2">
      <c r="A29" s="10">
        <v>0.4</v>
      </c>
      <c r="B29" s="10">
        <v>10.1</v>
      </c>
      <c r="C29">
        <v>26.841999999999999</v>
      </c>
      <c r="D29">
        <v>28.010999999999999</v>
      </c>
      <c r="E29">
        <v>52.006999999999998</v>
      </c>
      <c r="F29">
        <v>54.762999999999998</v>
      </c>
      <c r="G29">
        <f t="shared" si="0"/>
        <v>27.920999999999999</v>
      </c>
      <c r="H29" s="8">
        <f t="shared" si="1"/>
        <v>1.1690000000000005</v>
      </c>
      <c r="I29" s="8">
        <v>8.1000000000000003E-2</v>
      </c>
      <c r="J29" s="8">
        <f t="shared" si="2"/>
        <v>9.4689000000000037E-2</v>
      </c>
      <c r="K29" s="6">
        <f t="shared" si="3"/>
        <v>2.7560000000000002</v>
      </c>
      <c r="L29" s="6">
        <v>0.185</v>
      </c>
      <c r="M29" s="6">
        <f t="shared" si="8"/>
        <v>0.50986000000000009</v>
      </c>
      <c r="N29" s="5">
        <f t="shared" si="5"/>
        <v>9.4954509999999992</v>
      </c>
      <c r="O29" s="5">
        <f t="shared" si="6"/>
        <v>23.995999999999999</v>
      </c>
      <c r="P29" s="5">
        <f t="shared" si="7"/>
        <v>0.39570974329054842</v>
      </c>
      <c r="Q29" s="2" t="s">
        <v>46</v>
      </c>
    </row>
    <row r="30" spans="1:17" x14ac:dyDescent="0.2">
      <c r="A30" s="10">
        <v>0.45</v>
      </c>
      <c r="B30" s="10">
        <v>10.1</v>
      </c>
      <c r="C30">
        <v>35.832999999999998</v>
      </c>
      <c r="D30">
        <v>37.088000000000001</v>
      </c>
      <c r="E30">
        <v>58.606000000000002</v>
      </c>
      <c r="F30">
        <v>60.76</v>
      </c>
      <c r="G30">
        <f t="shared" si="0"/>
        <v>24.927</v>
      </c>
      <c r="H30" s="8">
        <f t="shared" si="1"/>
        <v>1.2550000000000026</v>
      </c>
      <c r="I30" s="8">
        <v>0.10100000000000001</v>
      </c>
      <c r="J30" s="8">
        <f t="shared" si="2"/>
        <v>0.12675500000000026</v>
      </c>
      <c r="K30" s="6">
        <f t="shared" si="3"/>
        <v>2.1539999999999964</v>
      </c>
      <c r="L30" s="6">
        <v>0.16220000000000001</v>
      </c>
      <c r="M30" s="6">
        <f t="shared" si="8"/>
        <v>0.34937879999999943</v>
      </c>
      <c r="N30" s="5">
        <f t="shared" si="5"/>
        <v>9.6238661999999984</v>
      </c>
      <c r="O30" s="5">
        <f t="shared" si="6"/>
        <v>21.518000000000001</v>
      </c>
      <c r="P30" s="5">
        <f t="shared" si="7"/>
        <v>0.44724724416767347</v>
      </c>
      <c r="Q30" s="2" t="s">
        <v>45</v>
      </c>
    </row>
    <row r="34" spans="1:7" x14ac:dyDescent="0.2">
      <c r="A34" s="3"/>
      <c r="B34" s="3"/>
      <c r="C34" s="3"/>
      <c r="D34" s="3"/>
      <c r="E34" s="3"/>
      <c r="F34" s="3"/>
      <c r="G34" s="3"/>
    </row>
    <row r="35" spans="1:7" x14ac:dyDescent="0.2">
      <c r="A35" s="3"/>
      <c r="B35" s="3"/>
      <c r="C35" s="3"/>
      <c r="D35" s="3"/>
      <c r="E35" s="3"/>
      <c r="F35" s="3"/>
      <c r="G35" s="3"/>
    </row>
    <row r="36" spans="1:7" x14ac:dyDescent="0.2">
      <c r="A36" s="3"/>
      <c r="B36" s="3"/>
      <c r="C36" s="3"/>
      <c r="D36" s="3"/>
      <c r="E36" s="3"/>
      <c r="F36" s="3"/>
      <c r="G36" s="3"/>
    </row>
    <row r="37" spans="1:7" x14ac:dyDescent="0.2">
      <c r="A37" s="3"/>
      <c r="B37" s="3"/>
      <c r="C37" s="3"/>
      <c r="D37" s="3"/>
      <c r="E37" s="3"/>
      <c r="F37" s="3"/>
      <c r="G37" s="3"/>
    </row>
    <row r="38" spans="1:7" x14ac:dyDescent="0.2">
      <c r="A38" s="3"/>
      <c r="B38" s="3"/>
      <c r="C38" s="3"/>
      <c r="D38" s="3"/>
      <c r="E38" s="3"/>
      <c r="F38" s="3"/>
      <c r="G38" s="3"/>
    </row>
    <row r="39" spans="1:7" x14ac:dyDescent="0.2">
      <c r="A39" s="3"/>
      <c r="B39" s="3"/>
      <c r="C39" s="3"/>
      <c r="D39" s="3"/>
      <c r="E39" s="3"/>
      <c r="F39" s="3"/>
      <c r="G39" s="3"/>
    </row>
    <row r="40" spans="1:7" x14ac:dyDescent="0.2">
      <c r="A40" s="3"/>
      <c r="B40" s="3"/>
      <c r="C40" s="3"/>
      <c r="D40" s="3"/>
      <c r="E40" s="3"/>
      <c r="F40" s="3"/>
      <c r="G40" s="3"/>
    </row>
    <row r="41" spans="1:7" x14ac:dyDescent="0.2">
      <c r="A41" s="3"/>
      <c r="B41" s="3"/>
      <c r="C41" s="3"/>
      <c r="D41" s="3"/>
      <c r="E41" s="3"/>
      <c r="F41" s="3"/>
      <c r="G41" s="3"/>
    </row>
    <row r="42" spans="1:7" x14ac:dyDescent="0.2">
      <c r="A42" s="3"/>
      <c r="B42" s="3"/>
      <c r="C42" s="3"/>
      <c r="D42" s="3"/>
      <c r="E42" s="3"/>
      <c r="F42" s="3"/>
      <c r="G42" s="3"/>
    </row>
    <row r="43" spans="1:7" x14ac:dyDescent="0.2">
      <c r="A43" s="3"/>
      <c r="B43" s="3"/>
      <c r="C43" s="3"/>
      <c r="D43" s="3"/>
      <c r="E43" s="3"/>
      <c r="F43" s="3"/>
      <c r="G43" s="3"/>
    </row>
    <row r="44" spans="1:7" x14ac:dyDescent="0.2">
      <c r="A44" s="3"/>
      <c r="B44" s="3"/>
      <c r="C44" s="3"/>
      <c r="D44" s="3"/>
      <c r="E44" s="3"/>
      <c r="F44" s="3"/>
      <c r="G44" s="3"/>
    </row>
    <row r="45" spans="1:7" x14ac:dyDescent="0.2">
      <c r="A45" s="3"/>
      <c r="B45" s="3"/>
      <c r="C45" s="3"/>
      <c r="D45" s="3"/>
      <c r="E45" s="3"/>
      <c r="F45" s="3"/>
      <c r="G45" s="3"/>
    </row>
    <row r="46" spans="1:7" x14ac:dyDescent="0.2">
      <c r="A46" s="3"/>
      <c r="B46" s="3"/>
      <c r="C46" s="3"/>
      <c r="D46" s="3"/>
      <c r="E46" s="3"/>
      <c r="F46" s="3"/>
      <c r="G46" s="3"/>
    </row>
    <row r="47" spans="1:7" x14ac:dyDescent="0.2">
      <c r="A47" s="3"/>
      <c r="B47" s="3"/>
      <c r="C47" s="3"/>
      <c r="D47" s="3"/>
      <c r="E47" s="3"/>
      <c r="F47" s="3"/>
      <c r="G47" s="3"/>
    </row>
    <row r="48" spans="1:7" x14ac:dyDescent="0.2">
      <c r="A48" s="3"/>
      <c r="B48" s="3"/>
      <c r="C48" s="3"/>
      <c r="D48" s="3"/>
      <c r="E48" s="3"/>
      <c r="F48" s="3"/>
      <c r="G48" s="3"/>
    </row>
    <row r="49" spans="1:7" x14ac:dyDescent="0.2">
      <c r="A49" s="3"/>
      <c r="B49" s="3"/>
      <c r="C49" s="3"/>
      <c r="D49" s="3"/>
      <c r="E49" s="3"/>
      <c r="F49" s="3"/>
      <c r="G49" s="3"/>
    </row>
    <row r="50" spans="1:7" x14ac:dyDescent="0.2">
      <c r="A50" s="3"/>
      <c r="B50" s="3"/>
      <c r="C50" s="3"/>
      <c r="D50" s="3"/>
      <c r="E50" s="3"/>
      <c r="F50" s="3"/>
      <c r="G50" s="3"/>
    </row>
    <row r="54" spans="1:7" x14ac:dyDescent="0.2">
      <c r="A54" s="3"/>
    </row>
    <row r="55" spans="1:7" x14ac:dyDescent="0.2">
      <c r="A55" s="3"/>
    </row>
    <row r="56" spans="1:7" x14ac:dyDescent="0.2">
      <c r="A56" s="3"/>
    </row>
    <row r="57" spans="1:7" x14ac:dyDescent="0.2">
      <c r="A57" s="3"/>
    </row>
    <row r="58" spans="1:7" x14ac:dyDescent="0.2">
      <c r="A58" s="3"/>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sqref="A1:C1048576"/>
    </sheetView>
  </sheetViews>
  <sheetFormatPr baseColWidth="10" defaultRowHeight="16" x14ac:dyDescent="0.2"/>
  <cols>
    <col min="1" max="1" width="25" customWidth="1"/>
    <col min="2" max="2" width="23.1640625" customWidth="1"/>
    <col min="3" max="3" width="23.6640625" customWidth="1"/>
  </cols>
  <sheetData>
    <row r="1" spans="1:3" x14ac:dyDescent="0.2">
      <c r="A1" s="1" t="s">
        <v>49</v>
      </c>
      <c r="B1" s="11" t="s">
        <v>51</v>
      </c>
      <c r="C1" s="11" t="s">
        <v>67</v>
      </c>
    </row>
    <row r="2" spans="1:3" x14ac:dyDescent="0.2">
      <c r="A2" s="17">
        <v>42.814999999999998</v>
      </c>
      <c r="B2" s="17">
        <f>Data!G2-A2</f>
        <v>0.492999999999995</v>
      </c>
      <c r="C2" s="17">
        <f>ABS(B2/Data!G2*100)</f>
        <v>1.1383578091807405</v>
      </c>
    </row>
    <row r="3" spans="1:3" x14ac:dyDescent="0.2">
      <c r="A3" s="17">
        <v>34.773000000000003</v>
      </c>
      <c r="B3" s="17">
        <f>Data!G3-A3</f>
        <v>1.580999999999996</v>
      </c>
      <c r="C3" s="17">
        <f>ABS(B3/Data!G3*100)</f>
        <v>4.3489024591516641</v>
      </c>
    </row>
    <row r="4" spans="1:3" x14ac:dyDescent="0.2">
      <c r="A4" s="17">
        <v>29.428000000000001</v>
      </c>
      <c r="B4" s="17">
        <f>Data!G4-A4</f>
        <v>9.4999999999998863E-2</v>
      </c>
      <c r="C4" s="17">
        <f>ABS(B4/Data!G4*100)</f>
        <v>0.32178301663109732</v>
      </c>
    </row>
    <row r="5" spans="1:3" x14ac:dyDescent="0.2">
      <c r="A5" s="17">
        <v>25.625</v>
      </c>
      <c r="B5" s="17">
        <f>Data!G5-A5</f>
        <v>0.21799999999999642</v>
      </c>
      <c r="C5" s="17">
        <f>ABS(B5/Data!G5*100)</f>
        <v>0.84355531478542134</v>
      </c>
    </row>
    <row r="6" spans="1:3" x14ac:dyDescent="0.2">
      <c r="A6" s="17">
        <v>22.783999999999999</v>
      </c>
      <c r="B6" s="17">
        <f>Data!G6-A6</f>
        <v>0.35600000000000165</v>
      </c>
      <c r="C6" s="17">
        <f>ABS(B6/Data!G6*100)</f>
        <v>1.5384615384615454</v>
      </c>
    </row>
    <row r="7" spans="1:3" x14ac:dyDescent="0.2">
      <c r="A7" s="17">
        <v>20.585999999999999</v>
      </c>
      <c r="B7" s="17">
        <f>Data!G7-A7</f>
        <v>0.95499999999999829</v>
      </c>
      <c r="C7" s="17">
        <f>ABS(B7/Data!G7*100)</f>
        <v>4.4334060628568706</v>
      </c>
    </row>
    <row r="8" spans="1:3" x14ac:dyDescent="0.2">
      <c r="A8" s="17">
        <v>18.837</v>
      </c>
      <c r="B8" s="17">
        <f>Data!G8-A8</f>
        <v>0.21900000000000119</v>
      </c>
      <c r="C8" s="17">
        <f>ABS(B8/Data!G8*100)</f>
        <v>1.1492443324937089</v>
      </c>
    </row>
    <row r="9" spans="1:3" x14ac:dyDescent="0.2">
      <c r="A9" s="17">
        <v>17.416</v>
      </c>
      <c r="B9" s="17">
        <f>Data!G9-A9</f>
        <v>0.98300000000000054</v>
      </c>
      <c r="C9" s="17">
        <f>ABS(B9/Data!G9*100)</f>
        <v>5.3426816674819317</v>
      </c>
    </row>
    <row r="10" spans="1:3" x14ac:dyDescent="0.2">
      <c r="A10" s="17">
        <v>16.239000000000001</v>
      </c>
      <c r="B10" s="17">
        <f>Data!G10-A10</f>
        <v>2.0999999999997243E-2</v>
      </c>
      <c r="C10" s="17">
        <f>ABS(B10/Data!G10*100)</f>
        <v>0.12915129151289817</v>
      </c>
    </row>
    <row r="11" spans="1:3" x14ac:dyDescent="0.2">
      <c r="A11" s="17">
        <v>15.824</v>
      </c>
      <c r="B11" s="17">
        <f>Data!G11-A11</f>
        <v>0.80899999999999928</v>
      </c>
      <c r="C11" s="17">
        <f>ABS(B11/Data!G11*100)</f>
        <v>4.8638249263512252</v>
      </c>
    </row>
    <row r="12" spans="1:3" x14ac:dyDescent="0.2">
      <c r="A12" s="17">
        <v>14.411</v>
      </c>
      <c r="B12" s="17">
        <f>Data!G12-A12</f>
        <v>0.39799999999999969</v>
      </c>
      <c r="C12" s="17">
        <f>ABS(B12/Data!G12*100)</f>
        <v>2.6875548652846222</v>
      </c>
    </row>
    <row r="13" spans="1:3" x14ac:dyDescent="0.2">
      <c r="A13" s="17">
        <v>13.69</v>
      </c>
      <c r="B13" s="17">
        <f>Data!G13-A13</f>
        <v>-0.54899999999999771</v>
      </c>
      <c r="C13" s="17">
        <f>ABS(B13/Data!G13*100)</f>
        <v>4.1777642492960778</v>
      </c>
    </row>
    <row r="14" spans="1:3" x14ac:dyDescent="0.2">
      <c r="A14" s="17">
        <v>77.814999999999998</v>
      </c>
      <c r="B14" s="17">
        <f>Data!G14-A14</f>
        <v>-0.27099999999998658</v>
      </c>
      <c r="C14" s="17">
        <f>ABS(B14/Data!G14*100)</f>
        <v>0.34947900546784605</v>
      </c>
    </row>
    <row r="15" spans="1:3" x14ac:dyDescent="0.2">
      <c r="A15" s="17">
        <v>62.773000000000003</v>
      </c>
      <c r="B15" s="17">
        <f>Data!G15-A15</f>
        <v>-0.14699999999999847</v>
      </c>
      <c r="C15" s="17">
        <f>ABS(B15/Data!G15*100)</f>
        <v>0.23472679078976535</v>
      </c>
    </row>
    <row r="16" spans="1:3" x14ac:dyDescent="0.2">
      <c r="A16" s="17">
        <v>52.762</v>
      </c>
      <c r="B16" s="17">
        <f>Data!G16-A16</f>
        <v>0.58699999999999619</v>
      </c>
      <c r="C16" s="17">
        <f>ABS(B16/Data!G16*100)</f>
        <v>1.1003017863502524</v>
      </c>
    </row>
    <row r="17" spans="1:3" x14ac:dyDescent="0.2">
      <c r="A17" s="17">
        <v>45.625</v>
      </c>
      <c r="B17" s="17">
        <f>Data!G17-A17</f>
        <v>6.3999999999992951E-2</v>
      </c>
      <c r="C17" s="17">
        <f>ABS(B17/Data!G17*100)</f>
        <v>0.14007748035630668</v>
      </c>
    </row>
    <row r="18" spans="1:3" x14ac:dyDescent="0.2">
      <c r="A18" s="17">
        <v>40.283999999999999</v>
      </c>
      <c r="B18" s="17">
        <f>Data!G18-A18</f>
        <v>-0.96500000000001052</v>
      </c>
      <c r="C18" s="17">
        <f>ABS(B18/Data!G18*100)</f>
        <v>2.4542841883059352</v>
      </c>
    </row>
    <row r="19" spans="1:3" x14ac:dyDescent="0.2">
      <c r="A19" s="17">
        <v>36.142000000000003</v>
      </c>
      <c r="B19" s="17">
        <f>Data!G19-A19</f>
        <v>-0.80200000000000671</v>
      </c>
      <c r="C19" s="17">
        <f>ABS(B19/Data!G19*100)</f>
        <v>2.269383135257518</v>
      </c>
    </row>
    <row r="20" spans="1:3" x14ac:dyDescent="0.2">
      <c r="A20" s="17">
        <v>32.837899999999998</v>
      </c>
      <c r="B20" s="17">
        <f>Data!G20-A20</f>
        <v>8.2100000000004059E-2</v>
      </c>
      <c r="C20" s="17">
        <f>ABS(B20/Data!G20*100)</f>
        <v>0.24939246658567454</v>
      </c>
    </row>
    <row r="21" spans="1:3" x14ac:dyDescent="0.2">
      <c r="A21" s="17">
        <v>30.1434</v>
      </c>
      <c r="B21" s="17">
        <f>Data!G21-A21</f>
        <v>-9.3999999999958561E-3</v>
      </c>
      <c r="C21" s="17">
        <f>ABS(B21/Data!G21*100)</f>
        <v>3.1194000132726673E-2</v>
      </c>
    </row>
    <row r="22" spans="1:3" x14ac:dyDescent="0.2">
      <c r="A22" s="17">
        <v>27.905999999999999</v>
      </c>
      <c r="B22" s="17">
        <f>Data!G22-A22</f>
        <v>-0.92399999999999594</v>
      </c>
      <c r="C22" s="17">
        <f>ABS(B22/Data!G22*100)</f>
        <v>3.4245052257060107</v>
      </c>
    </row>
    <row r="23" spans="1:3" x14ac:dyDescent="0.2">
      <c r="A23" s="17">
        <v>26.02</v>
      </c>
      <c r="B23" s="17">
        <f>Data!G23-A23</f>
        <v>-0.23300000000000054</v>
      </c>
      <c r="C23" s="17">
        <f>ABS(B23/Data!G23*100)</f>
        <v>0.90355605537674244</v>
      </c>
    </row>
    <row r="24" spans="1:3" x14ac:dyDescent="0.2">
      <c r="A24" s="17">
        <v>24.411899999999999</v>
      </c>
      <c r="B24" s="17">
        <f>Data!G24-A24</f>
        <v>8.3099999999998175E-2</v>
      </c>
      <c r="C24" s="17">
        <f>ABS(B24/Data!G24*100)</f>
        <v>0.33925290875688174</v>
      </c>
    </row>
    <row r="25" spans="1:3" x14ac:dyDescent="0.2">
      <c r="A25" s="17">
        <v>23.024000000000001</v>
      </c>
      <c r="B25" s="17">
        <f>Data!G25-A25</f>
        <v>4.8999999999995936E-2</v>
      </c>
      <c r="C25" s="17">
        <f>ABS(B25/Data!G25*100)</f>
        <v>0.21236943613745909</v>
      </c>
    </row>
    <row r="26" spans="1:3" x14ac:dyDescent="0.2">
      <c r="A26" s="17">
        <v>21.815799999999999</v>
      </c>
      <c r="B26" s="17">
        <f>Data!G26-A26</f>
        <v>-0.47680000000000078</v>
      </c>
      <c r="C26" s="17">
        <f>ABS(B26/Data!G26*100)</f>
        <v>2.2344064857772192</v>
      </c>
    </row>
    <row r="27" spans="1:3" x14ac:dyDescent="0.2">
      <c r="A27" s="17">
        <v>15.565</v>
      </c>
      <c r="B27" s="17">
        <f>Data!G27-A27</f>
        <v>0.34500000000000064</v>
      </c>
      <c r="C27" s="17">
        <f>ABS(B27/Data!G27*100)</f>
        <v>2.1684475172847306</v>
      </c>
    </row>
    <row r="28" spans="1:3" x14ac:dyDescent="0.2">
      <c r="A28" s="17">
        <v>18.327999999999999</v>
      </c>
      <c r="B28" s="17">
        <f>Data!G28-A28</f>
        <v>-0.60600000000001941</v>
      </c>
      <c r="C28" s="17">
        <f>ABS(B28/Data!G28*100)</f>
        <v>3.4194786141520148</v>
      </c>
    </row>
    <row r="29" spans="1:3" x14ac:dyDescent="0.2">
      <c r="A29" s="17">
        <v>27.784700000000001</v>
      </c>
      <c r="B29" s="17">
        <f>Data!G29-A29</f>
        <v>0.13629999999999853</v>
      </c>
      <c r="C29" s="17">
        <f>ABS(B29/Data!G29*100)</f>
        <v>0.48816303141004458</v>
      </c>
    </row>
    <row r="30" spans="1:3" x14ac:dyDescent="0.2">
      <c r="A30" s="17">
        <v>25.030999999999999</v>
      </c>
      <c r="B30" s="17">
        <f>Data!G30-A30</f>
        <v>-0.1039999999999992</v>
      </c>
      <c r="C30" s="17">
        <f>ABS(B30/Data!G30*100)</f>
        <v>0.41721827736991696</v>
      </c>
    </row>
    <row r="32" spans="1:3" x14ac:dyDescent="0.2">
      <c r="B32" s="4" t="s">
        <v>68</v>
      </c>
      <c r="C32" s="18">
        <f>AVERAGE(C2:C30)</f>
        <v>1.7727904806449948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abSelected="1" workbookViewId="0">
      <selection activeCell="F30" sqref="F30"/>
    </sheetView>
  </sheetViews>
  <sheetFormatPr baseColWidth="10" defaultRowHeight="16" x14ac:dyDescent="0.2"/>
  <cols>
    <col min="1" max="1" width="15.1640625" bestFit="1" customWidth="1"/>
    <col min="2" max="2" width="8.1640625" customWidth="1"/>
    <col min="3" max="3" width="13.5" bestFit="1" customWidth="1"/>
    <col min="4" max="4" width="17.83203125" bestFit="1" customWidth="1"/>
    <col min="5" max="5" width="21.83203125" customWidth="1"/>
    <col min="6" max="6" width="16" style="12" bestFit="1" customWidth="1"/>
    <col min="7" max="7" width="20.33203125" bestFit="1" customWidth="1"/>
    <col min="8" max="8" width="22.1640625" bestFit="1" customWidth="1"/>
    <col min="9" max="9" width="19.33203125" bestFit="1" customWidth="1"/>
    <col min="10" max="10" width="21.5" bestFit="1" customWidth="1"/>
    <col min="11" max="11" width="28.5" customWidth="1"/>
    <col min="12" max="12" width="18.6640625" bestFit="1" customWidth="1"/>
    <col min="13" max="13" width="22.83203125" customWidth="1"/>
    <col min="14" max="14" width="28.5" bestFit="1" customWidth="1"/>
  </cols>
  <sheetData>
    <row r="1" spans="1:14" s="26" customFormat="1" ht="48" x14ac:dyDescent="0.2">
      <c r="A1" s="26" t="s">
        <v>76</v>
      </c>
      <c r="B1" s="26" t="s">
        <v>4</v>
      </c>
      <c r="C1" s="27" t="s">
        <v>2</v>
      </c>
      <c r="D1" s="27" t="s">
        <v>7</v>
      </c>
      <c r="E1" s="27" t="s">
        <v>9</v>
      </c>
      <c r="F1" s="27" t="s">
        <v>6</v>
      </c>
      <c r="G1" s="27" t="s">
        <v>10</v>
      </c>
      <c r="H1" s="27" t="s">
        <v>11</v>
      </c>
      <c r="I1" s="27" t="s">
        <v>14</v>
      </c>
      <c r="J1" s="27" t="s">
        <v>15</v>
      </c>
      <c r="K1" s="27" t="s">
        <v>72</v>
      </c>
      <c r="L1" s="27" t="s">
        <v>83</v>
      </c>
      <c r="M1" s="27" t="s">
        <v>82</v>
      </c>
      <c r="N1" s="27" t="s">
        <v>73</v>
      </c>
    </row>
    <row r="2" spans="1:14" x14ac:dyDescent="0.2">
      <c r="A2" s="10">
        <v>0.2</v>
      </c>
      <c r="B2" s="10">
        <v>8.1</v>
      </c>
      <c r="C2" s="23">
        <f>1.347*A2+0.817</f>
        <v>1.0864</v>
      </c>
      <c r="D2" s="23">
        <f>0.288*A2-0.0461</f>
        <v>1.1499999999999996E-2</v>
      </c>
      <c r="E2" s="23">
        <f t="shared" ref="E2:E30" si="0">C2*D2</f>
        <v>1.2493599999999997E-2</v>
      </c>
      <c r="F2" s="20">
        <v>2.6230000000000002</v>
      </c>
      <c r="G2" s="20">
        <f>0.425*A2+0.014</f>
        <v>9.9000000000000005E-2</v>
      </c>
      <c r="H2" s="20">
        <f t="shared" ref="H2:H30" si="1">F2*G2</f>
        <v>0.25967700000000005</v>
      </c>
      <c r="I2" s="24">
        <f t="shared" ref="I2:I30" si="2">B2-E2-H2</f>
        <v>7.8278293999999988</v>
      </c>
      <c r="J2" s="24">
        <f t="shared" ref="J2:J30" si="3">I2/A2</f>
        <v>39.139146999999994</v>
      </c>
      <c r="K2" s="17">
        <f t="shared" ref="K2:K30" si="4">C2+F2+J2</f>
        <v>42.848546999999996</v>
      </c>
      <c r="L2" s="17">
        <f>Data!G2</f>
        <v>43.307999999999993</v>
      </c>
      <c r="M2" s="17">
        <f t="shared" ref="M2:M30" si="5">ABS(L2-K2)</f>
        <v>0.45945299999999634</v>
      </c>
      <c r="N2" s="17">
        <f t="shared" ref="N2:N30" si="6">100*M2/L2</f>
        <v>1.0608963701856386</v>
      </c>
    </row>
    <row r="3" spans="1:14" x14ac:dyDescent="0.2">
      <c r="A3" s="10">
        <v>0.25</v>
      </c>
      <c r="B3" s="10">
        <v>8.1</v>
      </c>
      <c r="C3" s="23">
        <f>1.359*A3+0.81</f>
        <v>1.14975</v>
      </c>
      <c r="D3" s="23">
        <f>0.285*A3-0.0444</f>
        <v>2.6849999999999992E-2</v>
      </c>
      <c r="E3" s="23">
        <f t="shared" si="0"/>
        <v>3.0870787499999993E-2</v>
      </c>
      <c r="F3" s="20">
        <v>2.6175000000000002</v>
      </c>
      <c r="G3" s="20">
        <f>0.418*A3+0.018</f>
        <v>0.1225</v>
      </c>
      <c r="H3" s="20">
        <f t="shared" si="1"/>
        <v>0.32064375000000001</v>
      </c>
      <c r="I3" s="24">
        <f t="shared" si="2"/>
        <v>7.7484854624999997</v>
      </c>
      <c r="J3" s="24">
        <f t="shared" si="3"/>
        <v>30.993941849999999</v>
      </c>
      <c r="K3" s="17">
        <f t="shared" si="4"/>
        <v>34.761191849999996</v>
      </c>
      <c r="L3" s="17">
        <f>Data!G3</f>
        <v>36.353999999999999</v>
      </c>
      <c r="M3" s="17">
        <f t="shared" si="5"/>
        <v>1.5928081500000033</v>
      </c>
      <c r="N3" s="17">
        <f t="shared" si="6"/>
        <v>4.3813834791219763</v>
      </c>
    </row>
    <row r="4" spans="1:14" x14ac:dyDescent="0.2">
      <c r="A4" s="10">
        <v>0.3</v>
      </c>
      <c r="B4" s="10">
        <v>8.1</v>
      </c>
      <c r="C4" s="23">
        <f>1.372*A4+0.801</f>
        <v>1.2126000000000001</v>
      </c>
      <c r="D4" s="23">
        <f>0.284*A4-0.0446</f>
        <v>4.0599999999999983E-2</v>
      </c>
      <c r="E4" s="23">
        <f t="shared" si="0"/>
        <v>4.9231559999999987E-2</v>
      </c>
      <c r="F4" s="20">
        <v>2.6507000000000001</v>
      </c>
      <c r="G4" s="20">
        <f>0.401*A4+0.0223</f>
        <v>0.1426</v>
      </c>
      <c r="H4" s="20">
        <f t="shared" si="1"/>
        <v>0.37798982000000003</v>
      </c>
      <c r="I4" s="24">
        <f t="shared" si="2"/>
        <v>7.672778619999999</v>
      </c>
      <c r="J4" s="24">
        <f t="shared" si="3"/>
        <v>25.575928733333331</v>
      </c>
      <c r="K4" s="17">
        <f t="shared" si="4"/>
        <v>29.43922873333333</v>
      </c>
      <c r="L4" s="17">
        <f>Data!G4</f>
        <v>29.523</v>
      </c>
      <c r="M4" s="17">
        <f t="shared" si="5"/>
        <v>8.3771266666669675E-2</v>
      </c>
      <c r="N4" s="17">
        <f t="shared" si="6"/>
        <v>0.28374916731588823</v>
      </c>
    </row>
    <row r="5" spans="1:14" x14ac:dyDescent="0.2">
      <c r="A5" s="10">
        <v>0.35</v>
      </c>
      <c r="B5" s="10">
        <v>8.1</v>
      </c>
      <c r="C5" s="23">
        <f>1.388*A5+0.79</f>
        <v>1.2758</v>
      </c>
      <c r="D5" s="23">
        <f>0.282*A5-0.0427</f>
        <v>5.599999999999998E-2</v>
      </c>
      <c r="E5" s="23">
        <f t="shared" si="0"/>
        <v>7.1444799999999975E-2</v>
      </c>
      <c r="F5" s="20">
        <v>2.6379999999999999</v>
      </c>
      <c r="G5" s="20">
        <f>0.416*A5+0.0197</f>
        <v>0.16529999999999997</v>
      </c>
      <c r="H5" s="20">
        <f t="shared" si="1"/>
        <v>0.43606139999999993</v>
      </c>
      <c r="I5" s="24">
        <f t="shared" si="2"/>
        <v>7.5924937999999997</v>
      </c>
      <c r="J5" s="24">
        <f t="shared" si="3"/>
        <v>21.692839428571428</v>
      </c>
      <c r="K5" s="17">
        <f t="shared" si="4"/>
        <v>25.606639428571427</v>
      </c>
      <c r="L5" s="17">
        <f>Data!G5</f>
        <v>25.842999999999996</v>
      </c>
      <c r="M5" s="17">
        <f t="shared" si="5"/>
        <v>0.2363605714285697</v>
      </c>
      <c r="N5" s="17">
        <f t="shared" si="6"/>
        <v>0.91460190933161678</v>
      </c>
    </row>
    <row r="6" spans="1:14" x14ac:dyDescent="0.2">
      <c r="A6" s="10">
        <v>0.4</v>
      </c>
      <c r="B6" s="10">
        <v>8.1</v>
      </c>
      <c r="C6" s="23">
        <f>1.375*A6+0.799</f>
        <v>1.3490000000000002</v>
      </c>
      <c r="D6" s="23">
        <f>0.281*A6-0.0422</f>
        <v>7.0200000000000012E-2</v>
      </c>
      <c r="E6" s="23">
        <f t="shared" si="0"/>
        <v>9.4699800000000028E-2</v>
      </c>
      <c r="F6" s="20">
        <v>2.629</v>
      </c>
      <c r="G6" s="20">
        <f>0.42*A6+0.0176</f>
        <v>0.18560000000000001</v>
      </c>
      <c r="H6" s="20">
        <f t="shared" si="1"/>
        <v>0.48794240000000005</v>
      </c>
      <c r="I6" s="24">
        <f t="shared" si="2"/>
        <v>7.5173577999999992</v>
      </c>
      <c r="J6" s="24">
        <f t="shared" si="3"/>
        <v>18.793394499999998</v>
      </c>
      <c r="K6" s="17">
        <f t="shared" si="4"/>
        <v>22.7713945</v>
      </c>
      <c r="L6" s="17">
        <f>Data!G6</f>
        <v>23.14</v>
      </c>
      <c r="M6" s="17">
        <f t="shared" si="5"/>
        <v>0.36860550000000103</v>
      </c>
      <c r="N6" s="17">
        <f t="shared" si="6"/>
        <v>1.5929364736387253</v>
      </c>
    </row>
    <row r="7" spans="1:14" x14ac:dyDescent="0.2">
      <c r="A7" s="10">
        <v>0.45</v>
      </c>
      <c r="B7" s="10">
        <v>8.1</v>
      </c>
      <c r="C7" s="23">
        <f>1.378*A7+0.796</f>
        <v>1.4161000000000001</v>
      </c>
      <c r="D7" s="23">
        <f>0.281*A7-0.0423</f>
        <v>8.4150000000000003E-2</v>
      </c>
      <c r="E7" s="23">
        <f t="shared" si="0"/>
        <v>0.11916481500000002</v>
      </c>
      <c r="F7" s="20">
        <v>2.6421000000000001</v>
      </c>
      <c r="G7" s="20">
        <f>0.417*A7+0.02</f>
        <v>0.20764999999999997</v>
      </c>
      <c r="H7" s="20">
        <f t="shared" si="1"/>
        <v>0.54863206499999995</v>
      </c>
      <c r="I7" s="24">
        <f t="shared" si="2"/>
        <v>7.4322031199999996</v>
      </c>
      <c r="J7" s="24">
        <f t="shared" si="3"/>
        <v>16.516006933333333</v>
      </c>
      <c r="K7" s="17">
        <f t="shared" si="4"/>
        <v>20.574206933333333</v>
      </c>
      <c r="L7" s="17">
        <f>Data!G7</f>
        <v>21.540999999999997</v>
      </c>
      <c r="M7" s="17">
        <f t="shared" si="5"/>
        <v>0.9667930666666642</v>
      </c>
      <c r="N7" s="17">
        <f t="shared" si="6"/>
        <v>4.4881531343329666</v>
      </c>
    </row>
    <row r="8" spans="1:14" x14ac:dyDescent="0.2">
      <c r="A8" s="10">
        <v>0.5</v>
      </c>
      <c r="B8" s="10">
        <v>8.1</v>
      </c>
      <c r="C8" s="23">
        <f>1.376*A8+0.8028</f>
        <v>1.4907999999999999</v>
      </c>
      <c r="D8" s="23">
        <f>0.282*A8-0.0428</f>
        <v>9.8199999999999982E-2</v>
      </c>
      <c r="E8" s="23">
        <f t="shared" si="0"/>
        <v>0.14639655999999995</v>
      </c>
      <c r="F8" s="20">
        <v>2.6520000000000001</v>
      </c>
      <c r="G8" s="20">
        <f>0.421*A8+0.018</f>
        <v>0.22849999999999998</v>
      </c>
      <c r="H8" s="20">
        <f t="shared" si="1"/>
        <v>0.60598200000000002</v>
      </c>
      <c r="I8" s="24">
        <f t="shared" si="2"/>
        <v>7.3476214399999993</v>
      </c>
      <c r="J8" s="24">
        <f t="shared" si="3"/>
        <v>14.695242879999999</v>
      </c>
      <c r="K8" s="17">
        <f t="shared" si="4"/>
        <v>18.83804288</v>
      </c>
      <c r="L8" s="17">
        <f>Data!G8</f>
        <v>19.056000000000001</v>
      </c>
      <c r="M8" s="17">
        <f t="shared" si="5"/>
        <v>0.21795712000000123</v>
      </c>
      <c r="N8" s="17">
        <f t="shared" si="6"/>
        <v>1.1437716204869921</v>
      </c>
    </row>
    <row r="9" spans="1:14" x14ac:dyDescent="0.2">
      <c r="A9" s="10">
        <v>0.55000000000000004</v>
      </c>
      <c r="B9" s="10">
        <v>8.1</v>
      </c>
      <c r="C9" s="23">
        <f>1.349*A9+0.795</f>
        <v>1.53695</v>
      </c>
      <c r="D9" s="23">
        <f>0.2833*A9-0.0426</f>
        <v>0.11321500000000001</v>
      </c>
      <c r="E9" s="23">
        <f t="shared" si="0"/>
        <v>0.17400579425000001</v>
      </c>
      <c r="F9" s="20">
        <v>2.617</v>
      </c>
      <c r="G9" s="20">
        <f>0.423*A9+0.016</f>
        <v>0.24865000000000004</v>
      </c>
      <c r="H9" s="20">
        <f t="shared" si="1"/>
        <v>0.65071705000000013</v>
      </c>
      <c r="I9" s="24">
        <f t="shared" si="2"/>
        <v>7.2752771557499996</v>
      </c>
      <c r="J9" s="24">
        <f t="shared" si="3"/>
        <v>13.22777664681818</v>
      </c>
      <c r="K9" s="17">
        <f t="shared" si="4"/>
        <v>17.38172664681818</v>
      </c>
      <c r="L9" s="17">
        <f>Data!G9</f>
        <v>18.399000000000001</v>
      </c>
      <c r="M9" s="17">
        <f t="shared" si="5"/>
        <v>1.017273353181821</v>
      </c>
      <c r="N9" s="17">
        <f t="shared" si="6"/>
        <v>5.5289600151194138</v>
      </c>
    </row>
    <row r="10" spans="1:14" x14ac:dyDescent="0.2">
      <c r="A10" s="10">
        <v>0.6</v>
      </c>
      <c r="B10" s="10">
        <v>8.1</v>
      </c>
      <c r="C10" s="23">
        <f>1.343*A10+0.805</f>
        <v>1.6108</v>
      </c>
      <c r="D10" s="23">
        <f>0.287*A10-0.0436</f>
        <v>0.12859999999999999</v>
      </c>
      <c r="E10" s="23">
        <f t="shared" si="0"/>
        <v>0.20714887999999998</v>
      </c>
      <c r="F10" s="20">
        <v>2.645</v>
      </c>
      <c r="G10" s="20">
        <f>0.415*A10+0.01722</f>
        <v>0.26621999999999996</v>
      </c>
      <c r="H10" s="20">
        <f t="shared" si="1"/>
        <v>0.70415189999999994</v>
      </c>
      <c r="I10" s="24">
        <f t="shared" si="2"/>
        <v>7.1886992199999993</v>
      </c>
      <c r="J10" s="24">
        <f t="shared" si="3"/>
        <v>11.981165366666666</v>
      </c>
      <c r="K10" s="17">
        <f t="shared" si="4"/>
        <v>16.236965366666666</v>
      </c>
      <c r="L10" s="17">
        <f>Data!G10</f>
        <v>16.259999999999998</v>
      </c>
      <c r="M10" s="17">
        <f t="shared" si="5"/>
        <v>2.3034633333331556E-2</v>
      </c>
      <c r="N10" s="17">
        <f t="shared" si="6"/>
        <v>0.14166441164410554</v>
      </c>
    </row>
    <row r="11" spans="1:14" x14ac:dyDescent="0.2">
      <c r="A11" s="10">
        <v>0.62</v>
      </c>
      <c r="B11" s="10">
        <v>8.1</v>
      </c>
      <c r="C11" s="23">
        <f>1.358*A11+0.803</f>
        <v>1.6449600000000002</v>
      </c>
      <c r="D11" s="23">
        <f>0.288*A11-0.0441</f>
        <v>0.13446</v>
      </c>
      <c r="E11" s="23">
        <f t="shared" si="0"/>
        <v>0.22118132160000001</v>
      </c>
      <c r="F11" s="20">
        <v>2.6230000000000002</v>
      </c>
      <c r="G11" s="20">
        <f>0.429*A11+0.0143</f>
        <v>0.28027999999999997</v>
      </c>
      <c r="H11" s="20">
        <f t="shared" si="1"/>
        <v>0.73517443999999998</v>
      </c>
      <c r="I11" s="24">
        <f t="shared" si="2"/>
        <v>7.1436442384000003</v>
      </c>
      <c r="J11" s="24">
        <f t="shared" si="3"/>
        <v>11.522006836129032</v>
      </c>
      <c r="K11" s="17">
        <f t="shared" si="4"/>
        <v>15.789966836129032</v>
      </c>
      <c r="L11" s="17">
        <f>Data!G11</f>
        <v>16.632999999999999</v>
      </c>
      <c r="M11" s="17">
        <f t="shared" si="5"/>
        <v>0.84303316387096672</v>
      </c>
      <c r="N11" s="17">
        <f t="shared" si="6"/>
        <v>5.0684372264231756</v>
      </c>
    </row>
    <row r="12" spans="1:14" x14ac:dyDescent="0.2">
      <c r="A12" s="10">
        <v>0.7</v>
      </c>
      <c r="B12" s="10">
        <v>8.1</v>
      </c>
      <c r="C12" s="23">
        <f>1.326*A12+0.816</f>
        <v>1.7442</v>
      </c>
      <c r="D12" s="23">
        <f>0.2822*A12-0.0428</f>
        <v>0.15473999999999999</v>
      </c>
      <c r="E12" s="23">
        <f t="shared" si="0"/>
        <v>0.26989750799999995</v>
      </c>
      <c r="F12" s="20">
        <v>2.6459999999999999</v>
      </c>
      <c r="G12" s="20">
        <f>0.438*A12+0.0105</f>
        <v>0.31709999999999999</v>
      </c>
      <c r="H12" s="20">
        <f t="shared" si="1"/>
        <v>0.83904659999999998</v>
      </c>
      <c r="I12" s="24">
        <f t="shared" si="2"/>
        <v>6.9910558920000003</v>
      </c>
      <c r="J12" s="24">
        <f t="shared" si="3"/>
        <v>9.9872227028571441</v>
      </c>
      <c r="K12" s="17">
        <f t="shared" si="4"/>
        <v>14.377422702857144</v>
      </c>
      <c r="L12" s="17">
        <f>Data!G12</f>
        <v>14.808999999999999</v>
      </c>
      <c r="M12" s="17">
        <f t="shared" si="5"/>
        <v>0.43157729714285509</v>
      </c>
      <c r="N12" s="17">
        <f t="shared" si="6"/>
        <v>2.9142906147805734</v>
      </c>
    </row>
    <row r="13" spans="1:14" x14ac:dyDescent="0.2">
      <c r="A13" s="10">
        <v>0.75</v>
      </c>
      <c r="B13" s="10">
        <v>8.1</v>
      </c>
      <c r="C13" s="23">
        <f>1.405*A13+0.788</f>
        <v>1.84175</v>
      </c>
      <c r="D13" s="23">
        <f>0.275*A13-0.0403</f>
        <v>0.16595000000000001</v>
      </c>
      <c r="E13" s="23">
        <f t="shared" si="0"/>
        <v>0.30563841250000001</v>
      </c>
      <c r="F13" s="20">
        <v>2.6669999999999998</v>
      </c>
      <c r="G13" s="20">
        <f>0.411*A13+0.0198</f>
        <v>0.32804999999999995</v>
      </c>
      <c r="H13" s="20">
        <f t="shared" si="1"/>
        <v>0.87490934999999981</v>
      </c>
      <c r="I13" s="24">
        <f t="shared" si="2"/>
        <v>6.9194522374999998</v>
      </c>
      <c r="J13" s="24">
        <f t="shared" si="3"/>
        <v>9.225936316666667</v>
      </c>
      <c r="K13" s="17">
        <f t="shared" si="4"/>
        <v>13.734686316666668</v>
      </c>
      <c r="L13" s="17">
        <f>Data!G13</f>
        <v>13.141000000000002</v>
      </c>
      <c r="M13" s="17">
        <f t="shared" si="5"/>
        <v>0.59368631666666616</v>
      </c>
      <c r="N13" s="17">
        <f t="shared" si="6"/>
        <v>4.5178168835451338</v>
      </c>
    </row>
    <row r="14" spans="1:14" x14ac:dyDescent="0.2">
      <c r="A14" s="10">
        <v>0.2</v>
      </c>
      <c r="B14" s="10">
        <v>15.1</v>
      </c>
      <c r="C14" s="23">
        <f>1.394*A14+0.788</f>
        <v>1.0668</v>
      </c>
      <c r="D14" s="23">
        <f>0.283*A14-0.0437</f>
        <v>1.2899999999999995E-2</v>
      </c>
      <c r="E14" s="23">
        <f t="shared" si="0"/>
        <v>1.3761719999999995E-2</v>
      </c>
      <c r="F14" s="20">
        <v>2.6509999999999998</v>
      </c>
      <c r="G14" s="20">
        <f>0.439*A14+0.0053</f>
        <v>9.3100000000000002E-2</v>
      </c>
      <c r="H14" s="20">
        <f t="shared" si="1"/>
        <v>0.24680809999999997</v>
      </c>
      <c r="I14" s="24">
        <f t="shared" si="2"/>
        <v>14.839430180000001</v>
      </c>
      <c r="J14" s="24">
        <f t="shared" si="3"/>
        <v>74.197150899999997</v>
      </c>
      <c r="K14" s="17">
        <f t="shared" si="4"/>
        <v>77.914950899999994</v>
      </c>
      <c r="L14" s="17">
        <f>Data!G14</f>
        <v>77.544000000000011</v>
      </c>
      <c r="M14" s="17">
        <f t="shared" si="5"/>
        <v>0.37095089999998265</v>
      </c>
      <c r="N14" s="17">
        <f t="shared" si="6"/>
        <v>0.47837472918598806</v>
      </c>
    </row>
    <row r="15" spans="1:14" x14ac:dyDescent="0.2">
      <c r="A15" s="10">
        <v>0.25</v>
      </c>
      <c r="B15" s="10">
        <v>15.1</v>
      </c>
      <c r="C15" s="23">
        <f>1.353*A15+0.8136</f>
        <v>1.15185</v>
      </c>
      <c r="D15" s="23">
        <f>0.2789*A15-0.04</f>
        <v>2.9724999999999994E-2</v>
      </c>
      <c r="E15" s="23">
        <f t="shared" si="0"/>
        <v>3.4238741249999996E-2</v>
      </c>
      <c r="F15" s="20">
        <v>2.6459999999999999</v>
      </c>
      <c r="G15" s="20">
        <f>0.423*A15+0.015</f>
        <v>0.12075</v>
      </c>
      <c r="H15" s="20">
        <f t="shared" si="1"/>
        <v>0.31950449999999997</v>
      </c>
      <c r="I15" s="24">
        <f t="shared" si="2"/>
        <v>14.746256758749999</v>
      </c>
      <c r="J15" s="24">
        <f t="shared" si="3"/>
        <v>58.985027034999995</v>
      </c>
      <c r="K15" s="17">
        <f t="shared" si="4"/>
        <v>62.782877034999991</v>
      </c>
      <c r="L15" s="17">
        <f>Data!G15</f>
        <v>62.626000000000005</v>
      </c>
      <c r="M15" s="17">
        <f t="shared" si="5"/>
        <v>0.15687703499998662</v>
      </c>
      <c r="N15" s="17">
        <f t="shared" si="6"/>
        <v>0.25049825152490435</v>
      </c>
    </row>
    <row r="16" spans="1:14" x14ac:dyDescent="0.2">
      <c r="A16" s="10">
        <v>0.3</v>
      </c>
      <c r="B16" s="10">
        <v>15.1</v>
      </c>
      <c r="C16" s="23">
        <f>1.385*A16+0.793</f>
        <v>1.2084999999999999</v>
      </c>
      <c r="D16" s="23">
        <f>0.281*A16-0.042</f>
        <v>4.2299999999999997E-2</v>
      </c>
      <c r="E16" s="23">
        <f t="shared" si="0"/>
        <v>5.1119549999999993E-2</v>
      </c>
      <c r="F16" s="20">
        <v>2.6240000000000001</v>
      </c>
      <c r="G16" s="20">
        <f>0.425*A16+0.013</f>
        <v>0.14050000000000001</v>
      </c>
      <c r="H16" s="20">
        <f t="shared" si="1"/>
        <v>0.36867200000000006</v>
      </c>
      <c r="I16" s="24">
        <f t="shared" si="2"/>
        <v>14.68020845</v>
      </c>
      <c r="J16" s="24">
        <f t="shared" si="3"/>
        <v>48.934028166666671</v>
      </c>
      <c r="K16" s="17">
        <f t="shared" si="4"/>
        <v>52.766528166666674</v>
      </c>
      <c r="L16" s="17">
        <f>Data!G16</f>
        <v>53.348999999999997</v>
      </c>
      <c r="M16" s="17">
        <f t="shared" si="5"/>
        <v>0.58247183333332231</v>
      </c>
      <c r="N16" s="17">
        <f t="shared" si="6"/>
        <v>1.0918139671471299</v>
      </c>
    </row>
    <row r="17" spans="1:14" x14ac:dyDescent="0.2">
      <c r="A17" s="10">
        <v>0.35</v>
      </c>
      <c r="B17" s="10">
        <v>15.1</v>
      </c>
      <c r="C17" s="23">
        <f>1.403*A17+0.78</f>
        <v>1.27105</v>
      </c>
      <c r="D17" s="23">
        <f>0.28*A17-0.041</f>
        <v>5.7000000000000002E-2</v>
      </c>
      <c r="E17" s="23">
        <f t="shared" si="0"/>
        <v>7.244985000000001E-2</v>
      </c>
      <c r="F17" s="20">
        <v>2.6440000000000001</v>
      </c>
      <c r="G17" s="20">
        <f>0.423*A17+0.0144</f>
        <v>0.16244999999999998</v>
      </c>
      <c r="H17" s="20">
        <f t="shared" si="1"/>
        <v>0.42951779999999995</v>
      </c>
      <c r="I17" s="24">
        <f t="shared" si="2"/>
        <v>14.59803235</v>
      </c>
      <c r="J17" s="24">
        <f t="shared" si="3"/>
        <v>41.708663857142859</v>
      </c>
      <c r="K17" s="17">
        <f t="shared" si="4"/>
        <v>45.62371385714286</v>
      </c>
      <c r="L17" s="17">
        <f>Data!G17</f>
        <v>45.688999999999993</v>
      </c>
      <c r="M17" s="17">
        <f t="shared" si="5"/>
        <v>6.5286142857132745E-2</v>
      </c>
      <c r="N17" s="17">
        <f t="shared" si="6"/>
        <v>0.14289247490015705</v>
      </c>
    </row>
    <row r="18" spans="1:14" x14ac:dyDescent="0.2">
      <c r="A18" s="10">
        <v>0.4</v>
      </c>
      <c r="B18" s="10">
        <v>15.1</v>
      </c>
      <c r="C18" s="23">
        <f>1.3895*A18+0.7922</f>
        <v>1.3479999999999999</v>
      </c>
      <c r="D18" s="23">
        <f>0.2839*A18-0.0443</f>
        <v>6.9259999999999988E-2</v>
      </c>
      <c r="E18" s="23">
        <f t="shared" si="0"/>
        <v>9.336247999999997E-2</v>
      </c>
      <c r="F18" s="20">
        <v>2.665</v>
      </c>
      <c r="G18" s="20">
        <f>0.43*A18+0.0087</f>
        <v>0.18070000000000003</v>
      </c>
      <c r="H18" s="20">
        <f t="shared" si="1"/>
        <v>0.48156550000000009</v>
      </c>
      <c r="I18" s="24">
        <f t="shared" si="2"/>
        <v>14.52507202</v>
      </c>
      <c r="J18" s="24">
        <f t="shared" si="3"/>
        <v>36.312680049999997</v>
      </c>
      <c r="K18" s="17">
        <f t="shared" si="4"/>
        <v>40.325680049999995</v>
      </c>
      <c r="L18" s="17">
        <f>Data!G18</f>
        <v>39.318999999999988</v>
      </c>
      <c r="M18" s="17">
        <f t="shared" si="5"/>
        <v>1.006680050000007</v>
      </c>
      <c r="N18" s="17">
        <f t="shared" si="6"/>
        <v>2.5602890460083096</v>
      </c>
    </row>
    <row r="19" spans="1:14" x14ac:dyDescent="0.2">
      <c r="A19" s="10">
        <v>0.45</v>
      </c>
      <c r="B19" s="10">
        <v>15.1</v>
      </c>
      <c r="C19" s="23">
        <f>1.362*A19+0.816</f>
        <v>1.4289000000000001</v>
      </c>
      <c r="D19" s="23">
        <f>0.2834*A19-0.044</f>
        <v>8.3530000000000007E-2</v>
      </c>
      <c r="E19" s="23">
        <f t="shared" si="0"/>
        <v>0.11935601700000001</v>
      </c>
      <c r="F19" s="20">
        <v>2.6385000000000001</v>
      </c>
      <c r="G19" s="20">
        <f>0.422*A19+0.015</f>
        <v>0.20489999999999997</v>
      </c>
      <c r="H19" s="20">
        <f t="shared" si="1"/>
        <v>0.54062864999999993</v>
      </c>
      <c r="I19" s="24">
        <f t="shared" si="2"/>
        <v>14.440015333</v>
      </c>
      <c r="J19" s="24">
        <f t="shared" si="3"/>
        <v>32.08892296222222</v>
      </c>
      <c r="K19" s="17">
        <f t="shared" si="4"/>
        <v>36.15632296222222</v>
      </c>
      <c r="L19" s="17">
        <f>Data!G19</f>
        <v>35.339999999999996</v>
      </c>
      <c r="M19" s="17">
        <f t="shared" si="5"/>
        <v>0.81632296222222323</v>
      </c>
      <c r="N19" s="17">
        <f t="shared" si="6"/>
        <v>2.3099121738036881</v>
      </c>
    </row>
    <row r="20" spans="1:14" x14ac:dyDescent="0.2">
      <c r="A20" s="10">
        <v>0.5</v>
      </c>
      <c r="B20" s="10">
        <v>15.1</v>
      </c>
      <c r="C20" s="23">
        <f>1.376*A20+0.798</f>
        <v>1.486</v>
      </c>
      <c r="D20" s="23">
        <f>0.282*A20-0.042</f>
        <v>9.8999999999999977E-2</v>
      </c>
      <c r="E20" s="23">
        <f t="shared" si="0"/>
        <v>0.14711399999999997</v>
      </c>
      <c r="F20" s="20">
        <v>2.645</v>
      </c>
      <c r="G20" s="20">
        <f>0.421*A20+0.016</f>
        <v>0.22649999999999998</v>
      </c>
      <c r="H20" s="20">
        <f t="shared" si="1"/>
        <v>0.59909249999999992</v>
      </c>
      <c r="I20" s="24">
        <f t="shared" si="2"/>
        <v>14.3537935</v>
      </c>
      <c r="J20" s="24">
        <f t="shared" si="3"/>
        <v>28.707587</v>
      </c>
      <c r="K20" s="17">
        <f t="shared" si="4"/>
        <v>32.838587000000004</v>
      </c>
      <c r="L20" s="17">
        <f>Data!G20</f>
        <v>32.92</v>
      </c>
      <c r="M20" s="17">
        <f t="shared" si="5"/>
        <v>8.1412999999997737E-2</v>
      </c>
      <c r="N20" s="17">
        <f t="shared" si="6"/>
        <v>0.24730558930740501</v>
      </c>
    </row>
    <row r="21" spans="1:14" x14ac:dyDescent="0.2">
      <c r="A21" s="10">
        <v>0.55000000000000004</v>
      </c>
      <c r="B21" s="10">
        <v>15.1</v>
      </c>
      <c r="C21" s="23">
        <f>1.378*A21+0.799</f>
        <v>1.5569000000000002</v>
      </c>
      <c r="D21" s="23">
        <f>0.284*A21-0.042</f>
        <v>0.1142</v>
      </c>
      <c r="E21" s="23">
        <f t="shared" si="0"/>
        <v>0.17779798000000002</v>
      </c>
      <c r="F21" s="20">
        <v>2.6440000000000001</v>
      </c>
      <c r="G21" s="20">
        <f>0.421*A21+0.016</f>
        <v>0.24754999999999999</v>
      </c>
      <c r="H21" s="20">
        <f t="shared" si="1"/>
        <v>0.65452220000000005</v>
      </c>
      <c r="I21" s="24">
        <f t="shared" si="2"/>
        <v>14.26767982</v>
      </c>
      <c r="J21" s="24">
        <f t="shared" si="3"/>
        <v>25.941236036363634</v>
      </c>
      <c r="K21" s="17">
        <f t="shared" si="4"/>
        <v>30.142136036363635</v>
      </c>
      <c r="L21" s="17">
        <f>Data!G21</f>
        <v>30.134000000000004</v>
      </c>
      <c r="M21" s="17">
        <f t="shared" si="5"/>
        <v>8.1360363636306943E-3</v>
      </c>
      <c r="N21" s="17">
        <f t="shared" si="6"/>
        <v>2.6999523341178382E-2</v>
      </c>
    </row>
    <row r="22" spans="1:14" x14ac:dyDescent="0.2">
      <c r="A22" s="10">
        <v>0.6</v>
      </c>
      <c r="B22" s="10">
        <v>15.1</v>
      </c>
      <c r="C22" s="23">
        <f>1.39*A22+0.796</f>
        <v>1.63</v>
      </c>
      <c r="D22" s="23">
        <f>0.28*A22-0.042</f>
        <v>0.126</v>
      </c>
      <c r="E22" s="23">
        <f t="shared" si="0"/>
        <v>0.20537999999999998</v>
      </c>
      <c r="F22" s="20">
        <v>2.6669999999999998</v>
      </c>
      <c r="G22" s="20">
        <f>0.408*A22+0.018</f>
        <v>0.26279999999999998</v>
      </c>
      <c r="H22" s="20">
        <f t="shared" si="1"/>
        <v>0.70088759999999994</v>
      </c>
      <c r="I22" s="24">
        <f t="shared" si="2"/>
        <v>14.1937324</v>
      </c>
      <c r="J22" s="24">
        <f t="shared" si="3"/>
        <v>23.656220666666666</v>
      </c>
      <c r="K22" s="17">
        <f t="shared" si="4"/>
        <v>27.953220666666667</v>
      </c>
      <c r="L22" s="17">
        <f>Data!G22</f>
        <v>26.982000000000003</v>
      </c>
      <c r="M22" s="17">
        <f t="shared" si="5"/>
        <v>0.97122066666666385</v>
      </c>
      <c r="N22" s="17">
        <f t="shared" si="6"/>
        <v>3.5995132557507366</v>
      </c>
    </row>
    <row r="23" spans="1:14" x14ac:dyDescent="0.2">
      <c r="A23" s="10">
        <v>0.65</v>
      </c>
      <c r="B23" s="10">
        <v>15.1</v>
      </c>
      <c r="C23" s="23">
        <f>1.401*A23+0.792</f>
        <v>1.7026500000000002</v>
      </c>
      <c r="D23" s="23">
        <f>0.284*A23-0.043</f>
        <v>0.1416</v>
      </c>
      <c r="E23" s="23">
        <f t="shared" si="0"/>
        <v>0.24109524000000004</v>
      </c>
      <c r="F23" s="20">
        <v>2.6459999999999999</v>
      </c>
      <c r="G23" s="20">
        <f>0.424*A23+0.0154</f>
        <v>0.29100000000000004</v>
      </c>
      <c r="H23" s="20">
        <f t="shared" si="1"/>
        <v>0.76998600000000006</v>
      </c>
      <c r="I23" s="24">
        <f t="shared" si="2"/>
        <v>14.08891876</v>
      </c>
      <c r="J23" s="24">
        <f t="shared" si="3"/>
        <v>21.675259630769229</v>
      </c>
      <c r="K23" s="17">
        <f t="shared" si="4"/>
        <v>26.023909630769229</v>
      </c>
      <c r="L23" s="17">
        <f>Data!G23</f>
        <v>25.786999999999999</v>
      </c>
      <c r="M23" s="17">
        <f t="shared" si="5"/>
        <v>0.23690963076922955</v>
      </c>
      <c r="N23" s="17">
        <f t="shared" si="6"/>
        <v>0.91871730239744664</v>
      </c>
    </row>
    <row r="24" spans="1:14" x14ac:dyDescent="0.2">
      <c r="A24" s="10">
        <v>0.7</v>
      </c>
      <c r="B24" s="10">
        <v>15.1</v>
      </c>
      <c r="C24" s="23">
        <f>1.33*A24+0.814</f>
        <v>1.7449999999999999</v>
      </c>
      <c r="D24" s="23">
        <f>0.289*A24-0.045</f>
        <v>0.1573</v>
      </c>
      <c r="E24" s="23">
        <f t="shared" si="0"/>
        <v>0.27448849999999997</v>
      </c>
      <c r="F24" s="20">
        <v>2.6440000000000001</v>
      </c>
      <c r="G24" s="20">
        <f>0.411*A24+0.019</f>
        <v>0.30669999999999997</v>
      </c>
      <c r="H24" s="20">
        <f t="shared" si="1"/>
        <v>0.81091479999999994</v>
      </c>
      <c r="I24" s="24">
        <f t="shared" si="2"/>
        <v>14.014596699999998</v>
      </c>
      <c r="J24" s="24">
        <f t="shared" si="3"/>
        <v>20.020852428571427</v>
      </c>
      <c r="K24" s="17">
        <f t="shared" si="4"/>
        <v>24.409852428571426</v>
      </c>
      <c r="L24" s="17">
        <f>Data!G24</f>
        <v>24.494999999999997</v>
      </c>
      <c r="M24" s="17">
        <f t="shared" si="5"/>
        <v>8.5147571428571212E-2</v>
      </c>
      <c r="N24" s="17">
        <f t="shared" si="6"/>
        <v>0.34761204910623072</v>
      </c>
    </row>
    <row r="25" spans="1:14" x14ac:dyDescent="0.2">
      <c r="A25" s="10">
        <v>0.75</v>
      </c>
      <c r="B25" s="10">
        <v>15.1</v>
      </c>
      <c r="C25" s="23">
        <f>1.428*A25+0.779</f>
        <v>1.85</v>
      </c>
      <c r="D25" s="23">
        <f>0.276*A25-0.0406</f>
        <v>0.16640000000000002</v>
      </c>
      <c r="E25" s="23">
        <f t="shared" si="0"/>
        <v>0.30784000000000006</v>
      </c>
      <c r="F25" s="20">
        <v>2.6309999999999998</v>
      </c>
      <c r="G25" s="20">
        <f>0.428*A25+0.013</f>
        <v>0.33400000000000002</v>
      </c>
      <c r="H25" s="20">
        <f t="shared" si="1"/>
        <v>0.87875399999999992</v>
      </c>
      <c r="I25" s="24">
        <f t="shared" si="2"/>
        <v>13.913405999999998</v>
      </c>
      <c r="J25" s="24">
        <f t="shared" si="3"/>
        <v>18.551207999999999</v>
      </c>
      <c r="K25" s="17">
        <f t="shared" si="4"/>
        <v>23.032207999999997</v>
      </c>
      <c r="L25" s="17">
        <f>Data!G25</f>
        <v>23.072999999999997</v>
      </c>
      <c r="M25" s="17">
        <f t="shared" si="5"/>
        <v>4.0791999999999717E-2</v>
      </c>
      <c r="N25" s="17">
        <f t="shared" si="6"/>
        <v>0.17679538854938553</v>
      </c>
    </row>
    <row r="26" spans="1:14" x14ac:dyDescent="0.2">
      <c r="A26" s="10">
        <v>0.8</v>
      </c>
      <c r="B26" s="10">
        <v>15.1</v>
      </c>
      <c r="C26" s="23">
        <f>1.446*A26+0.771</f>
        <v>1.9278</v>
      </c>
      <c r="D26" s="23">
        <f>0.261*A26-0.0346</f>
        <v>0.17420000000000002</v>
      </c>
      <c r="E26" s="23">
        <f t="shared" si="0"/>
        <v>0.33582276000000005</v>
      </c>
      <c r="F26" s="20">
        <v>2.6520000000000001</v>
      </c>
      <c r="G26" s="20">
        <f>0.406*A26+0.0219</f>
        <v>0.34670000000000001</v>
      </c>
      <c r="H26" s="20">
        <f t="shared" si="1"/>
        <v>0.91944840000000005</v>
      </c>
      <c r="I26" s="24">
        <f t="shared" si="2"/>
        <v>13.84472884</v>
      </c>
      <c r="J26" s="24">
        <f t="shared" si="3"/>
        <v>17.305911049999999</v>
      </c>
      <c r="K26" s="17">
        <f t="shared" si="4"/>
        <v>21.885711049999998</v>
      </c>
      <c r="L26" s="17">
        <f>Data!G26</f>
        <v>21.338999999999999</v>
      </c>
      <c r="M26" s="17">
        <f t="shared" si="5"/>
        <v>0.54671104999999898</v>
      </c>
      <c r="N26" s="17">
        <f t="shared" si="6"/>
        <v>2.5620275083180983</v>
      </c>
    </row>
    <row r="27" spans="1:14" x14ac:dyDescent="0.2">
      <c r="A27" s="10">
        <v>0.8</v>
      </c>
      <c r="B27" s="10">
        <v>10.1</v>
      </c>
      <c r="C27" s="23">
        <f>1.435*A27+0.776</f>
        <v>1.9240000000000002</v>
      </c>
      <c r="D27" s="23">
        <f>0.275*A27-0.0401</f>
        <v>0.17990000000000003</v>
      </c>
      <c r="E27" s="23">
        <f t="shared" si="0"/>
        <v>0.34612760000000009</v>
      </c>
      <c r="F27" s="20">
        <v>2.6240000000000001</v>
      </c>
      <c r="G27" s="20">
        <f>0.441*A27+0.0081</f>
        <v>0.3609</v>
      </c>
      <c r="H27" s="20">
        <f t="shared" si="1"/>
        <v>0.9470016</v>
      </c>
      <c r="I27" s="24">
        <f t="shared" si="2"/>
        <v>8.8068707999999987</v>
      </c>
      <c r="J27" s="24">
        <f t="shared" si="3"/>
        <v>11.008588499999998</v>
      </c>
      <c r="K27" s="17">
        <f t="shared" si="4"/>
        <v>15.556588499999998</v>
      </c>
      <c r="L27" s="17">
        <f>Data!G27</f>
        <v>15.91</v>
      </c>
      <c r="M27" s="17">
        <f t="shared" si="5"/>
        <v>0.35341150000000177</v>
      </c>
      <c r="N27" s="17">
        <f t="shared" si="6"/>
        <v>2.2213167818981883</v>
      </c>
    </row>
    <row r="28" spans="1:14" x14ac:dyDescent="0.2">
      <c r="A28" s="10">
        <v>0.65</v>
      </c>
      <c r="B28" s="10">
        <v>10.1</v>
      </c>
      <c r="C28" s="23">
        <f>1.358*A28+0.804</f>
        <v>1.6867000000000001</v>
      </c>
      <c r="D28" s="23">
        <f>0.285*A28-0.043</f>
        <v>0.14224999999999999</v>
      </c>
      <c r="E28" s="23">
        <f t="shared" si="0"/>
        <v>0.239933075</v>
      </c>
      <c r="F28" s="20">
        <v>2.673</v>
      </c>
      <c r="G28" s="20">
        <f>0.407*A28+0.02</f>
        <v>0.28455000000000003</v>
      </c>
      <c r="H28" s="20">
        <f t="shared" si="1"/>
        <v>0.76060215000000009</v>
      </c>
      <c r="I28" s="24">
        <f t="shared" si="2"/>
        <v>9.0994647749999995</v>
      </c>
      <c r="J28" s="24">
        <f t="shared" si="3"/>
        <v>13.999176576923075</v>
      </c>
      <c r="K28" s="17">
        <f t="shared" si="4"/>
        <v>18.358876576923073</v>
      </c>
      <c r="L28" s="17">
        <f>Data!G28</f>
        <v>17.72199999999998</v>
      </c>
      <c r="M28" s="17">
        <f t="shared" si="5"/>
        <v>0.6368765769230933</v>
      </c>
      <c r="N28" s="17">
        <f t="shared" si="6"/>
        <v>3.5937059977603769</v>
      </c>
    </row>
    <row r="29" spans="1:14" x14ac:dyDescent="0.2">
      <c r="A29" s="10">
        <v>0.4</v>
      </c>
      <c r="B29" s="10">
        <v>10.1</v>
      </c>
      <c r="C29" s="23">
        <f>1.356*A29+0.815</f>
        <v>1.3574000000000002</v>
      </c>
      <c r="D29" s="23">
        <f>0.2833*A29-0.0437</f>
        <v>6.9620000000000001E-2</v>
      </c>
      <c r="E29" s="23">
        <f t="shared" si="0"/>
        <v>9.4502188000000015E-2</v>
      </c>
      <c r="F29" s="20">
        <v>2.6379999999999999</v>
      </c>
      <c r="G29" s="20">
        <f>0.421*A29+0.016</f>
        <v>0.18440000000000001</v>
      </c>
      <c r="H29" s="20">
        <f t="shared" si="1"/>
        <v>0.48644720000000002</v>
      </c>
      <c r="I29" s="24">
        <f t="shared" si="2"/>
        <v>9.5190506119999991</v>
      </c>
      <c r="J29" s="24">
        <f t="shared" si="3"/>
        <v>23.797626529999995</v>
      </c>
      <c r="K29" s="17">
        <f t="shared" si="4"/>
        <v>27.793026529999995</v>
      </c>
      <c r="L29" s="17">
        <f>Data!G29</f>
        <v>27.920999999999999</v>
      </c>
      <c r="M29" s="17">
        <f t="shared" si="5"/>
        <v>0.12797347000000414</v>
      </c>
      <c r="N29" s="17">
        <f t="shared" si="6"/>
        <v>0.45834128433796834</v>
      </c>
    </row>
    <row r="30" spans="1:14" x14ac:dyDescent="0.2">
      <c r="A30" s="10">
        <v>0.45</v>
      </c>
      <c r="B30" s="10">
        <v>10.1</v>
      </c>
      <c r="C30" s="23">
        <f>1.367*A30+0.809</f>
        <v>1.42415</v>
      </c>
      <c r="D30" s="23">
        <f>0.283*A30-0.0438</f>
        <v>8.3549999999999985E-2</v>
      </c>
      <c r="E30" s="23">
        <f t="shared" si="0"/>
        <v>0.11898773249999998</v>
      </c>
      <c r="F30" s="20">
        <v>2.66</v>
      </c>
      <c r="G30" s="20">
        <f>0.419*A30+0.0189</f>
        <v>0.20745</v>
      </c>
      <c r="H30" s="20">
        <f t="shared" si="1"/>
        <v>0.551817</v>
      </c>
      <c r="I30" s="24">
        <f t="shared" si="2"/>
        <v>9.429195267499999</v>
      </c>
      <c r="J30" s="24">
        <f t="shared" si="3"/>
        <v>20.953767261111107</v>
      </c>
      <c r="K30" s="17">
        <f t="shared" si="4"/>
        <v>25.037917261111108</v>
      </c>
      <c r="L30" s="17">
        <f>Data!G30</f>
        <v>24.927</v>
      </c>
      <c r="M30" s="17">
        <f t="shared" si="5"/>
        <v>0.11091726111110844</v>
      </c>
      <c r="N30" s="17">
        <f t="shared" si="6"/>
        <v>0.44496835203236829</v>
      </c>
    </row>
    <row r="31" spans="1:14" ht="17" thickBot="1" x14ac:dyDescent="0.25"/>
    <row r="32" spans="1:14" ht="66" customHeight="1" thickBot="1" x14ac:dyDescent="0.25">
      <c r="A32" s="37" t="s">
        <v>75</v>
      </c>
      <c r="B32" s="37"/>
      <c r="C32" s="37"/>
      <c r="D32" s="37"/>
      <c r="E32" s="37"/>
      <c r="F32" s="37"/>
      <c r="G32" s="37"/>
      <c r="H32" s="37"/>
      <c r="I32" s="37"/>
      <c r="J32" s="37"/>
      <c r="M32" s="28" t="s">
        <v>74</v>
      </c>
      <c r="N32" s="29">
        <f>AVERAGE(N2:N30)</f>
        <v>1.8437153441826122</v>
      </c>
    </row>
    <row r="33" spans="1:10" ht="66" customHeight="1" x14ac:dyDescent="0.2">
      <c r="A33" s="37"/>
      <c r="B33" s="37"/>
      <c r="C33" s="37"/>
      <c r="D33" s="37"/>
      <c r="E33" s="37"/>
      <c r="F33" s="37"/>
      <c r="G33" s="37"/>
      <c r="H33" s="37"/>
      <c r="I33" s="37"/>
      <c r="J33" s="37"/>
    </row>
  </sheetData>
  <mergeCells count="1">
    <mergeCell ref="A32:J33"/>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31:S32"/>
  <sheetViews>
    <sheetView topLeftCell="A2" zoomScale="125" workbookViewId="0">
      <selection activeCell="K32" sqref="K32:L32"/>
    </sheetView>
  </sheetViews>
  <sheetFormatPr baseColWidth="10" defaultRowHeight="16" x14ac:dyDescent="0.2"/>
  <cols>
    <col min="7" max="7" width="10.5" customWidth="1"/>
    <col min="8" max="8" width="18.5" customWidth="1"/>
    <col min="9" max="9" width="17.5" customWidth="1"/>
    <col min="11" max="11" width="17.6640625" customWidth="1"/>
    <col min="12" max="12" width="19" customWidth="1"/>
  </cols>
  <sheetData>
    <row r="31" spans="8:19" x14ac:dyDescent="0.2">
      <c r="H31" s="8" t="s">
        <v>52</v>
      </c>
      <c r="I31" s="8" t="s">
        <v>53</v>
      </c>
      <c r="K31" s="20" t="s">
        <v>54</v>
      </c>
      <c r="L31" s="20" t="s">
        <v>55</v>
      </c>
    </row>
    <row r="32" spans="8:19" ht="48" x14ac:dyDescent="0.2">
      <c r="H32" s="19" t="s">
        <v>13</v>
      </c>
      <c r="I32" s="19" t="s">
        <v>17</v>
      </c>
      <c r="K32" s="21">
        <f>AVERAGE(Data!K2:K30)</f>
        <v>2.642827586206896</v>
      </c>
      <c r="L32" s="21" t="s">
        <v>18</v>
      </c>
      <c r="R32" s="4" t="s">
        <v>50</v>
      </c>
      <c r="S32">
        <f>AVERAGE(Sheet1!B2:B30)</f>
        <v>8.2320689655171003E-2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2" workbookViewId="0">
      <selection activeCell="A69" sqref="A69"/>
    </sheetView>
  </sheetViews>
  <sheetFormatPr baseColWidth="10" defaultRowHeight="16" x14ac:dyDescent="0.2"/>
  <cols>
    <col min="1" max="1" width="15.6640625" customWidth="1"/>
    <col min="2" max="2" width="22.1640625" customWidth="1"/>
    <col min="3" max="3" width="22" customWidth="1"/>
    <col min="5" max="5" width="13.1640625" customWidth="1"/>
    <col min="6" max="6" width="15.6640625" bestFit="1" customWidth="1"/>
    <col min="7" max="7" width="16" bestFit="1" customWidth="1"/>
    <col min="8" max="8" width="13.5" bestFit="1" customWidth="1"/>
  </cols>
  <sheetData>
    <row r="1" spans="1:8" ht="17" thickBot="1" x14ac:dyDescent="0.25">
      <c r="A1" s="33" t="s">
        <v>0</v>
      </c>
      <c r="B1" s="33" t="s">
        <v>1</v>
      </c>
      <c r="C1" s="33" t="s">
        <v>56</v>
      </c>
      <c r="D1" s="33" t="s">
        <v>3</v>
      </c>
      <c r="E1" s="33" t="s">
        <v>4</v>
      </c>
      <c r="F1" s="33" t="s">
        <v>5</v>
      </c>
      <c r="G1" s="33" t="s">
        <v>6</v>
      </c>
      <c r="H1" s="33" t="s">
        <v>2</v>
      </c>
    </row>
    <row r="2" spans="1:8" x14ac:dyDescent="0.2">
      <c r="A2" s="36">
        <v>0.7</v>
      </c>
      <c r="B2" s="36">
        <v>16.690999999999999</v>
      </c>
      <c r="C2" s="36">
        <v>18.190999999999999</v>
      </c>
      <c r="D2" s="36">
        <v>30.417000000000002</v>
      </c>
      <c r="E2" s="36">
        <v>8.1</v>
      </c>
      <c r="F2" s="36">
        <v>28.259</v>
      </c>
      <c r="G2" s="14">
        <f t="shared" ref="G2:G11" si="0">D2-F2</f>
        <v>2.1580000000000013</v>
      </c>
      <c r="H2" s="16">
        <f t="shared" ref="H2:H11" si="1">C2-B2</f>
        <v>1.5</v>
      </c>
    </row>
    <row r="3" spans="1:8" x14ac:dyDescent="0.2">
      <c r="A3" s="36">
        <v>0.7</v>
      </c>
      <c r="B3" s="36">
        <v>14.507999999999999</v>
      </c>
      <c r="C3" s="36">
        <v>16.012</v>
      </c>
      <c r="D3" s="36">
        <v>28.213000000000001</v>
      </c>
      <c r="E3" s="36">
        <v>8.1</v>
      </c>
      <c r="F3" s="36">
        <v>25.914999999999999</v>
      </c>
      <c r="G3" s="14">
        <f t="shared" si="0"/>
        <v>2.2980000000000018</v>
      </c>
      <c r="H3" s="16">
        <f t="shared" si="1"/>
        <v>1.5040000000000013</v>
      </c>
    </row>
    <row r="4" spans="1:8" x14ac:dyDescent="0.2">
      <c r="A4" s="36">
        <v>0.7</v>
      </c>
      <c r="B4" s="36">
        <v>22.093</v>
      </c>
      <c r="C4" s="36">
        <v>23.942</v>
      </c>
      <c r="D4" s="36">
        <v>36.219000000000001</v>
      </c>
      <c r="E4" s="36">
        <v>8.1</v>
      </c>
      <c r="F4" s="36">
        <v>33.718000000000004</v>
      </c>
      <c r="G4" s="14">
        <f t="shared" si="0"/>
        <v>2.5009999999999977</v>
      </c>
      <c r="H4" s="16">
        <f t="shared" si="1"/>
        <v>1.8490000000000002</v>
      </c>
    </row>
    <row r="5" spans="1:8" x14ac:dyDescent="0.2">
      <c r="A5" s="36">
        <v>0.7</v>
      </c>
      <c r="B5" s="36">
        <v>10.83</v>
      </c>
      <c r="C5" s="36">
        <v>12.36</v>
      </c>
      <c r="D5" s="36">
        <v>24.311</v>
      </c>
      <c r="E5" s="36">
        <v>8.1</v>
      </c>
      <c r="F5" s="36">
        <v>22.593</v>
      </c>
      <c r="G5" s="14">
        <f t="shared" si="0"/>
        <v>1.718</v>
      </c>
      <c r="H5" s="16">
        <f t="shared" si="1"/>
        <v>1.5299999999999994</v>
      </c>
    </row>
    <row r="6" spans="1:8" x14ac:dyDescent="0.2">
      <c r="A6" s="36">
        <v>0.7</v>
      </c>
      <c r="B6" s="36">
        <v>17.489000000000001</v>
      </c>
      <c r="C6" s="36">
        <v>19.231999999999999</v>
      </c>
      <c r="D6" s="36">
        <v>31.927</v>
      </c>
      <c r="E6" s="36">
        <v>8.1</v>
      </c>
      <c r="F6" s="36">
        <v>29.276</v>
      </c>
      <c r="G6" s="14">
        <f t="shared" si="0"/>
        <v>2.6509999999999998</v>
      </c>
      <c r="H6" s="16">
        <f t="shared" si="1"/>
        <v>1.7429999999999986</v>
      </c>
    </row>
    <row r="7" spans="1:8" x14ac:dyDescent="0.2">
      <c r="A7" s="36">
        <v>0.25</v>
      </c>
      <c r="B7" s="36">
        <v>51.183999999999997</v>
      </c>
      <c r="C7" s="36">
        <v>52.433999999999997</v>
      </c>
      <c r="D7" s="36">
        <v>85.83</v>
      </c>
      <c r="E7" s="36">
        <v>8.1</v>
      </c>
      <c r="F7" s="36">
        <v>83.41</v>
      </c>
      <c r="G7" s="14">
        <f t="shared" si="0"/>
        <v>2.4200000000000017</v>
      </c>
      <c r="H7" s="16">
        <f t="shared" si="1"/>
        <v>1.25</v>
      </c>
    </row>
    <row r="8" spans="1:8" x14ac:dyDescent="0.2">
      <c r="A8" s="36">
        <v>0.25</v>
      </c>
      <c r="B8" s="36">
        <v>10.393000000000001</v>
      </c>
      <c r="C8" s="36">
        <v>11.682</v>
      </c>
      <c r="D8" s="36">
        <v>45.646000000000001</v>
      </c>
      <c r="E8" s="36">
        <v>8.1</v>
      </c>
      <c r="F8" s="36">
        <v>43.595999999999997</v>
      </c>
      <c r="G8" s="14">
        <f t="shared" si="0"/>
        <v>2.0500000000000043</v>
      </c>
      <c r="H8" s="16">
        <f t="shared" si="1"/>
        <v>1.2889999999999997</v>
      </c>
    </row>
    <row r="9" spans="1:8" x14ac:dyDescent="0.2">
      <c r="A9" s="36">
        <v>0.25</v>
      </c>
      <c r="B9" s="36">
        <v>7.141</v>
      </c>
      <c r="C9" s="36">
        <v>8.77</v>
      </c>
      <c r="D9" s="36">
        <v>41.947000000000003</v>
      </c>
      <c r="E9" s="36">
        <v>8.1</v>
      </c>
      <c r="F9" s="36">
        <v>39.695</v>
      </c>
      <c r="G9" s="14">
        <f t="shared" si="0"/>
        <v>2.2520000000000024</v>
      </c>
      <c r="H9" s="16">
        <f t="shared" si="1"/>
        <v>1.6289999999999996</v>
      </c>
    </row>
    <row r="10" spans="1:8" x14ac:dyDescent="0.2">
      <c r="A10" s="36">
        <v>0.25</v>
      </c>
      <c r="B10" s="36">
        <v>21.846</v>
      </c>
      <c r="C10" s="36">
        <v>23.408000000000001</v>
      </c>
      <c r="D10" s="36">
        <v>57.26</v>
      </c>
      <c r="E10" s="36">
        <v>8.1</v>
      </c>
      <c r="F10" s="36">
        <v>54.920999999999999</v>
      </c>
      <c r="G10" s="14">
        <f t="shared" si="0"/>
        <v>2.3389999999999986</v>
      </c>
      <c r="H10" s="16">
        <f t="shared" si="1"/>
        <v>1.5620000000000012</v>
      </c>
    </row>
    <row r="11" spans="1:8" x14ac:dyDescent="0.2">
      <c r="A11" s="36">
        <v>0.25</v>
      </c>
      <c r="B11" s="36">
        <v>19.922999999999998</v>
      </c>
      <c r="C11" s="36">
        <v>21.48</v>
      </c>
      <c r="D11" s="36">
        <v>54.701000000000001</v>
      </c>
      <c r="E11" s="36">
        <v>8.1</v>
      </c>
      <c r="F11" s="36">
        <v>52.01</v>
      </c>
      <c r="G11" s="14">
        <f t="shared" si="0"/>
        <v>2.6910000000000025</v>
      </c>
      <c r="H11" s="16">
        <f t="shared" si="1"/>
        <v>1.5570000000000022</v>
      </c>
    </row>
    <row r="14" spans="1:8" x14ac:dyDescent="0.2">
      <c r="A14" s="38" t="s">
        <v>91</v>
      </c>
      <c r="B14" s="39"/>
      <c r="C14" s="39"/>
      <c r="D14" s="39"/>
      <c r="E14" s="39"/>
      <c r="F14" s="39"/>
      <c r="G14" s="40"/>
    </row>
    <row r="15" spans="1:8" x14ac:dyDescent="0.2">
      <c r="A15" s="1" t="s">
        <v>65</v>
      </c>
      <c r="B15" s="1" t="s">
        <v>70</v>
      </c>
      <c r="C15" s="1" t="s">
        <v>69</v>
      </c>
    </row>
    <row r="16" spans="1:8" ht="17" x14ac:dyDescent="0.2">
      <c r="A16" s="22" t="s">
        <v>57</v>
      </c>
      <c r="B16" s="13">
        <v>2.2652000000000001</v>
      </c>
      <c r="C16" s="13">
        <v>2.3504</v>
      </c>
      <c r="D16" s="15"/>
    </row>
    <row r="17" spans="1:7" ht="17" x14ac:dyDescent="0.2">
      <c r="A17" s="22" t="s">
        <v>58</v>
      </c>
      <c r="B17" s="13">
        <v>0.35931999999999997</v>
      </c>
      <c r="C17" s="13">
        <v>0.23499999999999999</v>
      </c>
      <c r="D17" s="15"/>
    </row>
    <row r="18" spans="1:7" ht="17" x14ac:dyDescent="0.2">
      <c r="A18" s="22" t="s">
        <v>59</v>
      </c>
      <c r="B18" s="13">
        <v>0.16069</v>
      </c>
      <c r="C18" s="13">
        <v>0.1051</v>
      </c>
      <c r="D18" s="15"/>
    </row>
    <row r="19" spans="1:7" ht="17" x14ac:dyDescent="0.2">
      <c r="A19" s="22" t="s">
        <v>60</v>
      </c>
      <c r="B19" s="13" t="s">
        <v>62</v>
      </c>
      <c r="C19" s="13" t="s">
        <v>66</v>
      </c>
      <c r="D19" s="15"/>
    </row>
    <row r="20" spans="1:7" x14ac:dyDescent="0.2">
      <c r="A20" s="22" t="s">
        <v>78</v>
      </c>
    </row>
    <row r="21" spans="1:7" x14ac:dyDescent="0.2">
      <c r="A21" s="25" t="s">
        <v>71</v>
      </c>
    </row>
    <row r="22" spans="1:7" x14ac:dyDescent="0.2">
      <c r="A22" s="13" t="s">
        <v>80</v>
      </c>
    </row>
    <row r="25" spans="1:7" x14ac:dyDescent="0.2">
      <c r="A25" s="41" t="s">
        <v>92</v>
      </c>
      <c r="B25" s="42"/>
      <c r="C25" s="42"/>
      <c r="D25" s="42"/>
      <c r="E25" s="42"/>
      <c r="F25" s="42"/>
      <c r="G25" s="43"/>
    </row>
    <row r="26" spans="1:7" x14ac:dyDescent="0.2">
      <c r="A26" s="1" t="s">
        <v>61</v>
      </c>
      <c r="B26" s="1" t="s">
        <v>70</v>
      </c>
      <c r="C26" s="1" t="s">
        <v>69</v>
      </c>
    </row>
    <row r="27" spans="1:7" x14ac:dyDescent="0.2">
      <c r="A27" s="22" t="s">
        <v>57</v>
      </c>
      <c r="B27" s="13">
        <v>1.6252</v>
      </c>
      <c r="C27" s="13">
        <v>1.4574</v>
      </c>
    </row>
    <row r="28" spans="1:7" x14ac:dyDescent="0.2">
      <c r="A28" s="22" t="s">
        <v>58</v>
      </c>
      <c r="B28" s="13">
        <v>0.16077</v>
      </c>
      <c r="C28" s="13">
        <v>0.17441000000000001</v>
      </c>
    </row>
    <row r="29" spans="1:7" x14ac:dyDescent="0.2">
      <c r="A29" s="22" t="s">
        <v>59</v>
      </c>
      <c r="B29" s="13">
        <v>7.1900000000000006E-2</v>
      </c>
      <c r="C29" s="13">
        <v>7.8E-2</v>
      </c>
    </row>
    <row r="30" spans="1:7" x14ac:dyDescent="0.2">
      <c r="A30" s="22" t="s">
        <v>60</v>
      </c>
      <c r="B30" s="13" t="s">
        <v>62</v>
      </c>
      <c r="C30" s="13" t="s">
        <v>63</v>
      </c>
    </row>
    <row r="31" spans="1:7" x14ac:dyDescent="0.2">
      <c r="A31" s="22" t="s">
        <v>79</v>
      </c>
    </row>
    <row r="32" spans="1:7" x14ac:dyDescent="0.2">
      <c r="A32" s="25" t="s">
        <v>64</v>
      </c>
    </row>
    <row r="33" spans="1:5" x14ac:dyDescent="0.2">
      <c r="A33" s="13" t="s">
        <v>81</v>
      </c>
    </row>
    <row r="35" spans="1:5" ht="17" thickBot="1" x14ac:dyDescent="0.25"/>
    <row r="36" spans="1:5" ht="17" thickBot="1" x14ac:dyDescent="0.25">
      <c r="A36" s="32" t="s">
        <v>77</v>
      </c>
      <c r="B36" s="33" t="s">
        <v>4</v>
      </c>
      <c r="C36" s="33" t="s">
        <v>1</v>
      </c>
      <c r="D36" s="33" t="s">
        <v>47</v>
      </c>
      <c r="E36" s="34" t="s">
        <v>2</v>
      </c>
    </row>
    <row r="37" spans="1:5" x14ac:dyDescent="0.2">
      <c r="A37" s="30">
        <v>0.2</v>
      </c>
      <c r="B37" s="30">
        <v>8.1</v>
      </c>
      <c r="C37" s="35">
        <v>29.129000000000001</v>
      </c>
      <c r="D37" s="35">
        <v>30.123000000000001</v>
      </c>
      <c r="E37" s="31">
        <f t="shared" ref="E37:E60" si="2">D37-C37</f>
        <v>0.99399999999999977</v>
      </c>
    </row>
    <row r="38" spans="1:5" x14ac:dyDescent="0.2">
      <c r="A38" s="10">
        <v>0.25</v>
      </c>
      <c r="B38" s="10">
        <v>8.1</v>
      </c>
      <c r="C38" s="35">
        <v>33.557000000000002</v>
      </c>
      <c r="D38" s="35">
        <v>34.640999999999998</v>
      </c>
      <c r="E38" s="8">
        <f t="shared" si="2"/>
        <v>1.0839999999999961</v>
      </c>
    </row>
    <row r="39" spans="1:5" x14ac:dyDescent="0.2">
      <c r="A39" s="10">
        <v>0.3</v>
      </c>
      <c r="B39" s="10">
        <v>8.1</v>
      </c>
      <c r="C39" s="35">
        <v>31.321000000000002</v>
      </c>
      <c r="D39" s="35">
        <v>32.517000000000003</v>
      </c>
      <c r="E39" s="8">
        <f t="shared" si="2"/>
        <v>1.1960000000000015</v>
      </c>
    </row>
    <row r="40" spans="1:5" x14ac:dyDescent="0.2">
      <c r="A40" s="10">
        <v>0.35</v>
      </c>
      <c r="B40" s="10">
        <v>8.1</v>
      </c>
      <c r="C40" s="35">
        <v>28.829000000000001</v>
      </c>
      <c r="D40" s="35">
        <v>30.178000000000001</v>
      </c>
      <c r="E40" s="8">
        <f t="shared" si="2"/>
        <v>1.3490000000000002</v>
      </c>
    </row>
    <row r="41" spans="1:5" x14ac:dyDescent="0.2">
      <c r="A41" s="10">
        <v>0.4</v>
      </c>
      <c r="B41" s="10">
        <v>8.1</v>
      </c>
      <c r="C41" s="35">
        <v>26.957000000000001</v>
      </c>
      <c r="D41" s="35">
        <v>28.297999999999998</v>
      </c>
      <c r="E41" s="8">
        <f t="shared" si="2"/>
        <v>1.3409999999999975</v>
      </c>
    </row>
    <row r="42" spans="1:5" x14ac:dyDescent="0.2">
      <c r="A42" s="10">
        <v>0.45</v>
      </c>
      <c r="B42" s="10">
        <v>8.1</v>
      </c>
      <c r="C42" s="35">
        <v>85.811999999999998</v>
      </c>
      <c r="D42" s="35">
        <v>87.269000000000005</v>
      </c>
      <c r="E42" s="8">
        <f t="shared" si="2"/>
        <v>1.4570000000000078</v>
      </c>
    </row>
    <row r="43" spans="1:5" x14ac:dyDescent="0.2">
      <c r="A43" s="10">
        <v>0.5</v>
      </c>
      <c r="B43" s="10">
        <v>8.1</v>
      </c>
      <c r="C43" s="35">
        <v>30.556000000000001</v>
      </c>
      <c r="D43" s="35">
        <v>31.939</v>
      </c>
      <c r="E43" s="8">
        <f t="shared" si="2"/>
        <v>1.3829999999999991</v>
      </c>
    </row>
    <row r="44" spans="1:5" x14ac:dyDescent="0.2">
      <c r="A44" s="10">
        <v>0.55000000000000004</v>
      </c>
      <c r="B44" s="10">
        <v>8.1</v>
      </c>
      <c r="C44" s="35">
        <v>48.304000000000002</v>
      </c>
      <c r="D44" s="35">
        <v>50.344999999999999</v>
      </c>
      <c r="E44" s="8">
        <f t="shared" si="2"/>
        <v>2.0409999999999968</v>
      </c>
    </row>
    <row r="45" spans="1:5" x14ac:dyDescent="0.2">
      <c r="A45" s="10">
        <v>0.6</v>
      </c>
      <c r="B45" s="10">
        <v>8.1</v>
      </c>
      <c r="C45" s="35">
        <v>12.756</v>
      </c>
      <c r="D45" s="35">
        <v>14.676</v>
      </c>
      <c r="E45" s="8">
        <f t="shared" si="2"/>
        <v>1.92</v>
      </c>
    </row>
    <row r="46" spans="1:5" x14ac:dyDescent="0.2">
      <c r="A46" s="10">
        <v>0.62</v>
      </c>
      <c r="B46" s="10">
        <v>8.1</v>
      </c>
      <c r="C46" s="35">
        <v>28.821999999999999</v>
      </c>
      <c r="D46" s="35">
        <v>30.611000000000001</v>
      </c>
      <c r="E46" s="8">
        <f t="shared" si="2"/>
        <v>1.7890000000000015</v>
      </c>
    </row>
    <row r="47" spans="1:5" x14ac:dyDescent="0.2">
      <c r="A47" s="10">
        <v>0.7</v>
      </c>
      <c r="B47" s="10">
        <v>8.1</v>
      </c>
      <c r="C47" s="35">
        <v>12.403</v>
      </c>
      <c r="D47" s="35">
        <v>14.382999999999999</v>
      </c>
      <c r="E47" s="8">
        <f t="shared" si="2"/>
        <v>1.9799999999999986</v>
      </c>
    </row>
    <row r="48" spans="1:5" x14ac:dyDescent="0.2">
      <c r="A48" s="10">
        <v>0.75</v>
      </c>
      <c r="B48" s="10">
        <v>8.1</v>
      </c>
      <c r="C48" s="35">
        <v>18.686</v>
      </c>
      <c r="D48" s="35">
        <v>20.423999999999999</v>
      </c>
      <c r="E48" s="8">
        <f t="shared" si="2"/>
        <v>1.7379999999999995</v>
      </c>
    </row>
    <row r="49" spans="1:7" x14ac:dyDescent="0.2">
      <c r="A49" s="10">
        <v>0.2</v>
      </c>
      <c r="B49" s="10">
        <v>15.1</v>
      </c>
      <c r="C49" s="35">
        <v>22.838000000000001</v>
      </c>
      <c r="D49" s="35">
        <v>23.96</v>
      </c>
      <c r="E49" s="8">
        <f t="shared" si="2"/>
        <v>1.1219999999999999</v>
      </c>
    </row>
    <row r="50" spans="1:7" x14ac:dyDescent="0.2">
      <c r="A50" s="10">
        <v>0.25</v>
      </c>
      <c r="B50" s="10">
        <v>15.1</v>
      </c>
      <c r="C50" s="35">
        <v>49.301000000000002</v>
      </c>
      <c r="D50" s="35">
        <v>50.366</v>
      </c>
      <c r="E50" s="8">
        <f t="shared" si="2"/>
        <v>1.0649999999999977</v>
      </c>
    </row>
    <row r="51" spans="1:7" x14ac:dyDescent="0.2">
      <c r="A51" s="10">
        <v>0.3</v>
      </c>
      <c r="B51" s="10">
        <v>15.1</v>
      </c>
      <c r="C51" s="35">
        <v>27.677</v>
      </c>
      <c r="D51" s="35">
        <v>28.925999999999998</v>
      </c>
      <c r="E51" s="8">
        <f t="shared" si="2"/>
        <v>1.2489999999999988</v>
      </c>
    </row>
    <row r="52" spans="1:7" x14ac:dyDescent="0.2">
      <c r="A52" s="10">
        <v>0.35</v>
      </c>
      <c r="B52" s="10">
        <v>15.1</v>
      </c>
      <c r="C52" s="35">
        <v>32.947000000000003</v>
      </c>
      <c r="D52" s="35">
        <v>34.386000000000003</v>
      </c>
      <c r="E52" s="8">
        <f t="shared" si="2"/>
        <v>1.4390000000000001</v>
      </c>
    </row>
    <row r="53" spans="1:7" x14ac:dyDescent="0.2">
      <c r="A53" s="10">
        <v>0.4</v>
      </c>
      <c r="B53" s="10">
        <v>15.1</v>
      </c>
      <c r="C53" s="35">
        <v>29.76</v>
      </c>
      <c r="D53" s="35">
        <v>31.184999999999999</v>
      </c>
      <c r="E53" s="8">
        <f t="shared" si="2"/>
        <v>1.4249999999999972</v>
      </c>
    </row>
    <row r="54" spans="1:7" x14ac:dyDescent="0.2">
      <c r="A54" s="10">
        <v>0.45</v>
      </c>
      <c r="B54" s="10">
        <v>15.1</v>
      </c>
      <c r="C54" s="35">
        <v>25.042000000000002</v>
      </c>
      <c r="D54" s="35">
        <v>26.19</v>
      </c>
      <c r="E54" s="8">
        <f t="shared" si="2"/>
        <v>1.1479999999999997</v>
      </c>
    </row>
    <row r="55" spans="1:7" x14ac:dyDescent="0.2">
      <c r="A55" s="10">
        <v>0.5</v>
      </c>
      <c r="B55" s="10">
        <v>15.1</v>
      </c>
      <c r="C55" s="35">
        <v>27.036000000000001</v>
      </c>
      <c r="D55" s="35">
        <v>28.53</v>
      </c>
      <c r="E55" s="8">
        <f t="shared" si="2"/>
        <v>1.4939999999999998</v>
      </c>
    </row>
    <row r="56" spans="1:7" x14ac:dyDescent="0.2">
      <c r="A56" s="10">
        <v>0.55000000000000004</v>
      </c>
      <c r="B56" s="10">
        <v>15.1</v>
      </c>
      <c r="C56" s="35">
        <v>25.178999999999998</v>
      </c>
      <c r="D56" s="35">
        <v>26.707000000000001</v>
      </c>
      <c r="E56" s="8">
        <f t="shared" si="2"/>
        <v>1.5280000000000022</v>
      </c>
    </row>
    <row r="57" spans="1:7" x14ac:dyDescent="0.2">
      <c r="A57" s="10">
        <v>0.6</v>
      </c>
      <c r="B57" s="10">
        <v>15.1</v>
      </c>
      <c r="C57" s="35">
        <v>30.425999999999998</v>
      </c>
      <c r="D57" s="35">
        <v>31.94</v>
      </c>
      <c r="E57" s="8">
        <f t="shared" si="2"/>
        <v>1.5140000000000029</v>
      </c>
    </row>
    <row r="58" spans="1:7" x14ac:dyDescent="0.2">
      <c r="A58" s="10">
        <v>0.65</v>
      </c>
      <c r="B58" s="10">
        <v>15.1</v>
      </c>
      <c r="C58" s="35">
        <v>33.823999999999998</v>
      </c>
      <c r="D58" s="35">
        <v>35.372</v>
      </c>
      <c r="E58" s="8">
        <f t="shared" si="2"/>
        <v>1.5480000000000018</v>
      </c>
    </row>
    <row r="59" spans="1:7" x14ac:dyDescent="0.2">
      <c r="A59" s="10">
        <v>0.7</v>
      </c>
      <c r="B59" s="10">
        <v>15.1</v>
      </c>
      <c r="C59" s="35">
        <v>21.658000000000001</v>
      </c>
      <c r="D59" s="35">
        <v>23.614999999999998</v>
      </c>
      <c r="E59" s="8">
        <f t="shared" si="2"/>
        <v>1.9569999999999972</v>
      </c>
    </row>
    <row r="60" spans="1:7" x14ac:dyDescent="0.2">
      <c r="A60" s="10">
        <v>0.75</v>
      </c>
      <c r="B60" s="10">
        <v>15.1</v>
      </c>
      <c r="C60" s="35">
        <v>24.452000000000002</v>
      </c>
      <c r="D60" s="35">
        <v>26.11</v>
      </c>
      <c r="E60" s="8">
        <f t="shared" si="2"/>
        <v>1.6579999999999977</v>
      </c>
    </row>
    <row r="62" spans="1:7" x14ac:dyDescent="0.2">
      <c r="A62" s="41" t="s">
        <v>93</v>
      </c>
      <c r="B62" s="42"/>
      <c r="C62" s="42"/>
      <c r="D62" s="42"/>
      <c r="E62" s="42"/>
      <c r="F62" s="42"/>
      <c r="G62" s="43"/>
    </row>
    <row r="63" spans="1:7" x14ac:dyDescent="0.2">
      <c r="A63" s="1" t="s">
        <v>61</v>
      </c>
      <c r="B63" s="1" t="s">
        <v>86</v>
      </c>
      <c r="C63" s="1" t="s">
        <v>87</v>
      </c>
    </row>
    <row r="64" spans="1:7" x14ac:dyDescent="0.2">
      <c r="A64" s="22" t="s">
        <v>57</v>
      </c>
      <c r="B64" s="13">
        <v>1.52267</v>
      </c>
      <c r="C64" s="22">
        <v>1.42892</v>
      </c>
    </row>
    <row r="65" spans="1:3" x14ac:dyDescent="0.2">
      <c r="A65" s="22" t="s">
        <v>58</v>
      </c>
      <c r="B65" s="13">
        <v>0.35911999999999999</v>
      </c>
      <c r="C65" s="22">
        <v>0.25313999999999998</v>
      </c>
    </row>
    <row r="66" spans="1:3" x14ac:dyDescent="0.2">
      <c r="A66" s="22" t="s">
        <v>59</v>
      </c>
      <c r="B66" s="13">
        <v>0.10367</v>
      </c>
      <c r="C66" s="22">
        <v>7.3069999999999996E-2</v>
      </c>
    </row>
    <row r="67" spans="1:3" x14ac:dyDescent="0.2">
      <c r="A67" s="22" t="s">
        <v>60</v>
      </c>
      <c r="B67" s="13" t="s">
        <v>84</v>
      </c>
      <c r="C67" s="22" t="s">
        <v>85</v>
      </c>
    </row>
    <row r="68" spans="1:3" x14ac:dyDescent="0.2">
      <c r="A68" s="22" t="s">
        <v>88</v>
      </c>
    </row>
    <row r="69" spans="1:3" x14ac:dyDescent="0.2">
      <c r="A69" s="25" t="s">
        <v>89</v>
      </c>
    </row>
    <row r="70" spans="1:3" x14ac:dyDescent="0.2">
      <c r="A70" s="13" t="s">
        <v>90</v>
      </c>
    </row>
  </sheetData>
  <mergeCells count="3">
    <mergeCell ref="A14:G14"/>
    <mergeCell ref="A25:G25"/>
    <mergeCell ref="A62:G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Sheet1</vt:lpstr>
      <vt:lpstr>Validations</vt:lpstr>
      <vt:lpstr>Plots</vt:lpstr>
      <vt:lpstr>t-tests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2017-10-12T03:17:09Z</dcterms:created>
  <dcterms:modified xsi:type="dcterms:W3CDTF">2017-12-04T18:16:43Z</dcterms:modified>
</cp:coreProperties>
</file>