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0" yWindow="0" windowWidth="49340" windowHeight="13940" tabRatio="500"/>
  </bookViews>
  <sheets>
    <sheet name="MilliRobots" sheetId="1" r:id="rId1"/>
    <sheet name="MilliBugs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W12" i="2" l="1"/>
  <c r="AL12" i="2"/>
  <c r="AE12" i="2"/>
  <c r="M12" i="2"/>
  <c r="AD12" i="2"/>
  <c r="AC12" i="2"/>
  <c r="AE11" i="2"/>
  <c r="AL11" i="2"/>
  <c r="M11" i="2"/>
  <c r="W11" i="2"/>
  <c r="AC11" i="2"/>
  <c r="AD11" i="2"/>
  <c r="AE10" i="2"/>
  <c r="AL10" i="2"/>
  <c r="M10" i="2"/>
  <c r="AC10" i="2"/>
  <c r="AD10" i="2"/>
  <c r="W10" i="2"/>
  <c r="AE9" i="2"/>
  <c r="M9" i="2"/>
  <c r="AC9" i="2"/>
  <c r="AD9" i="2"/>
  <c r="W9" i="2"/>
  <c r="M8" i="2"/>
  <c r="AC8" i="2"/>
  <c r="AD8" i="2"/>
  <c r="Y8" i="2"/>
  <c r="W8" i="2"/>
  <c r="V7" i="2"/>
  <c r="M7" i="2"/>
  <c r="AC7" i="2"/>
  <c r="AD7" i="2"/>
  <c r="W7" i="2"/>
  <c r="AE6" i="2"/>
  <c r="V6" i="2"/>
  <c r="M6" i="2"/>
  <c r="W6" i="2"/>
  <c r="AC6" i="2"/>
  <c r="AD6" i="2"/>
  <c r="AE5" i="2"/>
  <c r="V5" i="2"/>
  <c r="M5" i="2"/>
  <c r="W5" i="2"/>
  <c r="AC5" i="2"/>
  <c r="AD5" i="2"/>
  <c r="V4" i="2"/>
  <c r="W4" i="2"/>
  <c r="Y3" i="2"/>
  <c r="W3" i="2"/>
  <c r="W4" i="1"/>
  <c r="W5" i="1"/>
  <c r="W6" i="1"/>
  <c r="W7" i="1"/>
  <c r="W8" i="1"/>
  <c r="W9" i="1"/>
  <c r="W11" i="1"/>
  <c r="W13" i="1"/>
  <c r="W3" i="1"/>
  <c r="AE4" i="2"/>
  <c r="AD4" i="2"/>
  <c r="AC4" i="2"/>
  <c r="M4" i="2"/>
  <c r="M3" i="2"/>
  <c r="AC3" i="2"/>
  <c r="AD3" i="2"/>
  <c r="AK14" i="1"/>
  <c r="AJ14" i="1"/>
  <c r="M14" i="1"/>
  <c r="AK13" i="1"/>
  <c r="AJ13" i="1"/>
  <c r="AC13" i="1"/>
  <c r="AD13" i="1"/>
  <c r="AE13" i="1"/>
  <c r="V9" i="1"/>
  <c r="AC9" i="1"/>
  <c r="AM12" i="1"/>
  <c r="AK12" i="1"/>
  <c r="AL12" i="1"/>
  <c r="AC11" i="1"/>
  <c r="AK11" i="1"/>
  <c r="AK10" i="1"/>
  <c r="AK9" i="1"/>
  <c r="AD9" i="1"/>
  <c r="AE9" i="1"/>
  <c r="AK8" i="1"/>
  <c r="AL8" i="1"/>
  <c r="AJ8" i="1"/>
  <c r="AC8" i="1"/>
  <c r="AD8" i="1"/>
  <c r="AE8" i="1"/>
  <c r="V6" i="1"/>
  <c r="AC6" i="1"/>
  <c r="AD6" i="1"/>
  <c r="AE6" i="1"/>
  <c r="V7" i="1"/>
  <c r="AC7" i="1"/>
  <c r="AD7" i="1"/>
  <c r="AL7" i="1"/>
  <c r="AE7" i="1"/>
  <c r="AK7" i="1"/>
  <c r="AK6" i="1"/>
  <c r="AJ6" i="1"/>
  <c r="AC5" i="1"/>
  <c r="AD5" i="1"/>
  <c r="AK5" i="1"/>
  <c r="AL5" i="1"/>
  <c r="AE5" i="1"/>
  <c r="AJ5" i="1"/>
  <c r="U5" i="1"/>
  <c r="AL4" i="1"/>
  <c r="AK4" i="1"/>
  <c r="AC4" i="1"/>
  <c r="AC3" i="1"/>
  <c r="M3" i="1"/>
  <c r="AD3" i="1"/>
  <c r="AE3" i="1"/>
  <c r="AK3" i="1"/>
</calcChain>
</file>

<file path=xl/sharedStrings.xml><?xml version="1.0" encoding="utf-8"?>
<sst xmlns="http://schemas.openxmlformats.org/spreadsheetml/2006/main" count="257" uniqueCount="153">
  <si>
    <t>name</t>
  </si>
  <si>
    <t>title</t>
  </si>
  <si>
    <t>year</t>
  </si>
  <si>
    <t>moved</t>
  </si>
  <si>
    <t>power</t>
  </si>
  <si>
    <t>control</t>
  </si>
  <si>
    <t>sensing</t>
  </si>
  <si>
    <t>comms</t>
  </si>
  <si>
    <t>autonomy</t>
  </si>
  <si>
    <t>paper</t>
  </si>
  <si>
    <t>power_type</t>
  </si>
  <si>
    <t>control_type</t>
  </si>
  <si>
    <t>sensing_type</t>
  </si>
  <si>
    <t>comms_type</t>
  </si>
  <si>
    <t>fab_type</t>
  </si>
  <si>
    <t>locomote_type</t>
  </si>
  <si>
    <t>appendages</t>
  </si>
  <si>
    <t>dof</t>
  </si>
  <si>
    <t>active_dof</t>
  </si>
  <si>
    <t>cot</t>
  </si>
  <si>
    <t>locomotion</t>
  </si>
  <si>
    <t>stepheight</t>
  </si>
  <si>
    <t>motor_power</t>
  </si>
  <si>
    <t>motor_voltage</t>
  </si>
  <si>
    <t>motor_num</t>
  </si>
  <si>
    <t>motor_type</t>
  </si>
  <si>
    <t>motors</t>
  </si>
  <si>
    <t>comments</t>
  </si>
  <si>
    <t>size</t>
  </si>
  <si>
    <t>Monsieur: The ultraminiature robot that propelled itself into the Guinness Book</t>
  </si>
  <si>
    <t>Monsieur1993</t>
  </si>
  <si>
    <t>bluetooth on later version (no data available), smaller nino version also available later but no data available</t>
  </si>
  <si>
    <t>capacitor</t>
  </si>
  <si>
    <t>runtime (s)</t>
  </si>
  <si>
    <t>power_burn (W)</t>
  </si>
  <si>
    <t>4BitMicro</t>
  </si>
  <si>
    <t>light</t>
  </si>
  <si>
    <t>assembly</t>
  </si>
  <si>
    <t>wheels</t>
  </si>
  <si>
    <t>speed (m/s)</t>
  </si>
  <si>
    <t>time1m (s)</t>
  </si>
  <si>
    <t>energy1m (J)</t>
  </si>
  <si>
    <t>electromagnetic</t>
  </si>
  <si>
    <t>volume (m^3)</t>
  </si>
  <si>
    <t>length (m)</t>
  </si>
  <si>
    <t>mass (kg)</t>
  </si>
  <si>
    <t>Microrobot actuated by a vibration energy field</t>
  </si>
  <si>
    <t>Yasuda1994</t>
  </si>
  <si>
    <t>vibration</t>
  </si>
  <si>
    <t>MEMS</t>
  </si>
  <si>
    <t>stickslip</t>
  </si>
  <si>
    <t>assume 200um high, 4um thick and 50% of space empty to calculate mass and volume</t>
  </si>
  <si>
    <t>A walking silicon micro-robot</t>
  </si>
  <si>
    <t>Ebefors1999</t>
  </si>
  <si>
    <t>tether</t>
  </si>
  <si>
    <t>legs</t>
  </si>
  <si>
    <t>stepsize (m)</t>
  </si>
  <si>
    <t>payload (kg)</t>
  </si>
  <si>
    <t>thermal</t>
  </si>
  <si>
    <t>6 legs also reported, assume 1mm legs and 500um thick wafer for volume, assume 60% empty space for mass</t>
  </si>
  <si>
    <t>Kladitis2000</t>
  </si>
  <si>
    <t>Prototype microrobots for micro-positioning and micro-unmanned vehicles</t>
  </si>
  <si>
    <t>6 groups of 16 legs for 96 total</t>
  </si>
  <si>
    <t>Hollar2003</t>
  </si>
  <si>
    <t>Solar Powered 10 mg Silicon Robot</t>
  </si>
  <si>
    <t>solar</t>
  </si>
  <si>
    <t>CMOSFSM</t>
  </si>
  <si>
    <t>electrostatic</t>
  </si>
  <si>
    <t>speed is based on reported speed versus theoretical speed</t>
  </si>
  <si>
    <t>Micro manipulation by adhesion with two collaborating mobile micro robots</t>
  </si>
  <si>
    <t>Driesen2005</t>
  </si>
  <si>
    <t>piezo</t>
  </si>
  <si>
    <t>Bergbreiter2007</t>
  </si>
  <si>
    <t>Design of an autonomous jumping microrobot</t>
  </si>
  <si>
    <t>controls, power, and comms developed but not fully integrated from what I can tell, mass assumed from volume (and densely packed), data also gathered from MICRON project report in 2006</t>
  </si>
  <si>
    <t>jump</t>
  </si>
  <si>
    <t>The first takeoff of a biologically inspired at-scale robotic insect</t>
  </si>
  <si>
    <t>Wood2008</t>
  </si>
  <si>
    <t>SCM</t>
  </si>
  <si>
    <t>fly</t>
  </si>
  <si>
    <t>Edqvist2009</t>
  </si>
  <si>
    <t>Evaluation of building technology for mass producible millimetre-sized robots using flexible printed circuit boards</t>
  </si>
  <si>
    <t>asic</t>
  </si>
  <si>
    <t>IR</t>
  </si>
  <si>
    <t>pcb</t>
  </si>
  <si>
    <t>speed taken from final report simulation -- never reported otherwise. I don't think the fully assembled robot ever moved. Volume different than reported as well, but based on Table 2 and Figure 9 in paper.</t>
  </si>
  <si>
    <t>Stress-driven MEMS Assembly + Electrostatic Forces = 1mm Diameter Robot</t>
  </si>
  <si>
    <t>Karagozler2009</t>
  </si>
  <si>
    <t>capacitive</t>
  </si>
  <si>
    <t>rolling</t>
  </si>
  <si>
    <t>mass estimated from volume assuming 50% empty space</t>
  </si>
  <si>
    <t>Erdem2010</t>
  </si>
  <si>
    <t>Thermally Actuated Omnidirectional Walking Microrobot</t>
  </si>
  <si>
    <t>The First Launch of an Autonomous Thrust-Driven Microrobot Using Nanoporous Energetic Silicon</t>
  </si>
  <si>
    <t>Churaman2012</t>
  </si>
  <si>
    <t>capacitor,energetic</t>
  </si>
  <si>
    <t>transistor</t>
  </si>
  <si>
    <t>energetic</t>
  </si>
  <si>
    <t>Camponotus</t>
  </si>
  <si>
    <t>Lipp, et al. Walking on inclines: energetics of locomotion in the ant Camponotus</t>
  </si>
  <si>
    <t>walking</t>
  </si>
  <si>
    <t>max speed (m/s)</t>
  </si>
  <si>
    <t>Walking data up to 90 mm/s</t>
  </si>
  <si>
    <t>Commodus</t>
  </si>
  <si>
    <t>Full, et al. Effect of variation in form on the cost of terrestrial locomotion</t>
  </si>
  <si>
    <t>common name</t>
  </si>
  <si>
    <t>ant</t>
  </si>
  <si>
    <t>cricket</t>
  </si>
  <si>
    <t>speed (body lengths/s)</t>
  </si>
  <si>
    <t>max speed (body lengths/s)</t>
  </si>
  <si>
    <t>Americana</t>
  </si>
  <si>
    <t>cockroach</t>
  </si>
  <si>
    <t>walking, jumping</t>
  </si>
  <si>
    <t>Primarily walking but use hind legs for jumping. Length taken from http://en.wikipedia.org/wiki/Field_cricket</t>
  </si>
  <si>
    <t>Length taken from http://en.wikipedia.org/wiki/American_cockroach</t>
  </si>
  <si>
    <t>Affine</t>
  </si>
  <si>
    <t>beetle</t>
  </si>
  <si>
    <t>Length from http://www.calosomas.com/Chrysostigma/cal_affine.html</t>
  </si>
  <si>
    <t>Berrigan and Lighton, Energetics of Pedestrian Locomotion in Adult Male Blowflies, Protophormia terraenovae (Diptera: Calliphoridae)</t>
  </si>
  <si>
    <t>adult blowfly</t>
  </si>
  <si>
    <t>Terraenova</t>
  </si>
  <si>
    <t>Length from http://en.wikipedia.org/wiki/Protophormia_terraenovae</t>
  </si>
  <si>
    <t>TerraenovaLarva</t>
  </si>
  <si>
    <t>larval blowfly</t>
  </si>
  <si>
    <t>Berrigan and Lighton, BIOENERGETIC AND KINEMATIC CONSEQUENCES OF LIMBLESSNESS IN LARVAL DIPTERA</t>
  </si>
  <si>
    <t>crawling</t>
  </si>
  <si>
    <t>Atta</t>
  </si>
  <si>
    <t>leaf-cutting ant</t>
  </si>
  <si>
    <t>Lighton, et al, Energetics of Locomotion and Load Carriage and a Model of the Energy Cost of Foraging in the Leaf-Cutting Ant Atta colombica Guer</t>
  </si>
  <si>
    <t>Length from http://en.wikipedia.org/wiki/Leafcutter_ant</t>
  </si>
  <si>
    <t>Rufa</t>
  </si>
  <si>
    <t xml:space="preserve">Jensen and Holm-Jensen, Energetic Cost of Running in Workers of Three Ant Species, Formica fusca L., Formica rufa L., and Camponotus herculeanus L. (Hymenoptera, Formicidae) </t>
  </si>
  <si>
    <t>Length from http://en.wikipedia.org/wiki/Formica_rufa, mass provided as range, COTs averaged from examples in paper</t>
  </si>
  <si>
    <t>Fusca</t>
  </si>
  <si>
    <t>Jensen and Holm-Jensen, Energetic Cost of Running in Workers of Three Ant Species, Formica fusca L., Formica rufa L., and Camponotus herculeanus L. (Hymenoptera, Formicidae)</t>
  </si>
  <si>
    <t>Length from http://en.wikipedia.org/wiki/Formica_fusca, mass provided as range, COTs averaged from examples in paper</t>
  </si>
  <si>
    <t>Herculeanus</t>
  </si>
  <si>
    <t>Length from http://www.antwiki.org/wiki/Camponotus_herculeanus, mass provided as range, COTs averaged from examples in paper</t>
  </si>
  <si>
    <t>sugar</t>
  </si>
  <si>
    <t>10.1016/0924-4247(93)00709-D</t>
  </si>
  <si>
    <t xml:space="preserve"> </t>
  </si>
  <si>
    <t>10.1109/MEMSYS.2003.1189847</t>
  </si>
  <si>
    <t>10.1109/MEMSYS.1999.746891</t>
  </si>
  <si>
    <t>10.1088/0960-1317/15/10/S02</t>
  </si>
  <si>
    <t>10.1109/ROBOT.2007.363827 </t>
  </si>
  <si>
    <t>10.1109/TRO.2008.916997 </t>
  </si>
  <si>
    <t>10.1088/0960-1317/19/7/075011</t>
  </si>
  <si>
    <t>10.1109/IROS.2009.5354049 </t>
  </si>
  <si>
    <t>10.1109/JMEMS.2010.2041897</t>
  </si>
  <si>
    <t>10.1109/JMEMS.2011.2174414 </t>
  </si>
  <si>
    <t>10.1242/jeb.01434</t>
  </si>
  <si>
    <t>10.1007/BF00689214</t>
  </si>
  <si>
    <t>doi/pmid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</si>
</sst>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000"/>
    <numFmt numFmtId="165" formatCode="0.0"/>
    <numFmt numFmtId="166" formatCode="0.0000000"/>
    <numFmt numFmtId="167" formatCode="0.000"/>
    <numFmt numFmtId="168" formatCode="0.000000"/>
    <numFmt numFmtId="169" formatCode="0.0E+00"/>
  </numFmts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2E2E2E"/>
      <name val="Calibri"/>
      <scheme val="minor"/>
    </font>
    <font>
      <sz val="12"/>
      <name val="Calibri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22">
    <xf numFmtId="0" fontId="0" fillId="0" borderId="0" xfId="0"/>
    <xf numFmtId="11" fontId="0" fillId="0" borderId="0" xfId="0" applyNumberFormat="1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169" fontId="0" fillId="0" borderId="0" xfId="0" applyNumberFormat="1"/>
    <xf numFmtId="0" fontId="1" fillId="0" borderId="0" xfId="5"/>
    <xf numFmtId="0" fontId="3" fillId="0" borderId="0" xfId="0" applyFont="1"/>
    <xf numFmtId="0" fontId="4" fillId="0" borderId="0" xfId="5" applyFont="1"/>
    <xf numFmtId="0" fontId="4" fillId="0" borderId="0" xfId="0" applyFont="1"/>
    <xf numFmtId="0" fontId="0" fillId="0" borderId="0" xfId="0" applyAlignment="1">
      <alignment horizontal="center"/>
    </xf>
    <xf numFmtId="166" fontId="5" fillId="0" borderId="0" xfId="0" applyNumberFormat="1" applyFont="1"/>
    <xf numFmtId="165" fontId="5" fillId="0" borderId="0" xfId="0" applyNumberFormat="1" applyFont="1"/>
    <xf numFmtId="2" fontId="5" fillId="0" borderId="0" xfId="0" applyNumberFormat="1" applyFont="1"/>
    <xf numFmtId="164" fontId="5" fillId="0" borderId="0" xfId="0" applyNumberFormat="1" applyFont="1"/>
    <xf numFmtId="168" fontId="5" fillId="0" borderId="0" xfId="0" applyNumberFormat="1" applyFont="1"/>
    <xf numFmtId="11" fontId="5" fillId="0" borderId="0" xfId="0" applyNumberFormat="1" applyFont="1"/>
    <xf numFmtId="167" fontId="5" fillId="0" borderId="0" xfId="0" applyNumberFormat="1" applyFont="1"/>
    <xf numFmtId="169" fontId="5" fillId="0" borderId="0" xfId="0" applyNumberFormat="1" applyFont="1"/>
  </cellXfs>
  <cellStyles count="6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Hyperlink" xfId="5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://dx.doi.org/10.1088/0960-1317/15/10/S02" TargetMode="External"/><Relationship Id="rId20" Type="http://schemas.openxmlformats.org/officeDocument/2006/relationships/hyperlink" Target="http://dx.doi.org/10.1109/JMEMS.2011.2174414" TargetMode="External"/><Relationship Id="rId21" Type="http://schemas.openxmlformats.org/officeDocument/2006/relationships/hyperlink" Target="http://ieeexplore.ieee.org/xpl/articleDetails.jsp?tp=&amp;arnumber=6095304&amp;queryText%3DThe+First+Launch+of+an+Autonomous+Thrust-Driven+Microrobot+Using+Nanoporous+Energetic+Silicon" TargetMode="External"/><Relationship Id="rId10" Type="http://schemas.openxmlformats.org/officeDocument/2006/relationships/hyperlink" Target="http://dx.doi.org/10.1109/ROBOT.2007.363827" TargetMode="External"/><Relationship Id="rId11" Type="http://schemas.openxmlformats.org/officeDocument/2006/relationships/hyperlink" Target="http://ieeexplore.ieee.org/xpl/articleDetails.jsp?tp=&amp;arnumber=4209132&amp;queryText%3DDesign+of+an+autonomous+jumping+microrobot" TargetMode="External"/><Relationship Id="rId12" Type="http://schemas.openxmlformats.org/officeDocument/2006/relationships/hyperlink" Target="http://dx.doi.org/10.1109/TRO.2008.916997" TargetMode="External"/><Relationship Id="rId13" Type="http://schemas.openxmlformats.org/officeDocument/2006/relationships/hyperlink" Target="http://ieeexplore.ieee.org/xpl/articleDetails.jsp?tp=&amp;arnumber=4457871&amp;queryText%3DThe+first+takeoff+of+a+biologically+inspired+at-scale+robotic+insect" TargetMode="External"/><Relationship Id="rId14" Type="http://schemas.openxmlformats.org/officeDocument/2006/relationships/hyperlink" Target="http://dx.doi.org/10.1088/0960-1317/19/7/075011" TargetMode="External"/><Relationship Id="rId15" Type="http://schemas.openxmlformats.org/officeDocument/2006/relationships/hyperlink" Target="http://iopscience.iop.org/0960-1317/19/7/075011?fromSearchPage=true" TargetMode="External"/><Relationship Id="rId16" Type="http://schemas.openxmlformats.org/officeDocument/2006/relationships/hyperlink" Target="http://dx.doi.org/10.1109/IROS.2009.5354049" TargetMode="External"/><Relationship Id="rId17" Type="http://schemas.openxmlformats.org/officeDocument/2006/relationships/hyperlink" Target="http://ieeexplore.ieee.org/xpl/articleDetails.jsp?tp=&amp;arnumber=5354049&amp;queryText%3DStress-driven+MEMS+Assembly+%2B+Electrostatic+Forces" TargetMode="External"/><Relationship Id="rId18" Type="http://schemas.openxmlformats.org/officeDocument/2006/relationships/hyperlink" Target="http://dx.doi.org/10.1109/JMEMS.2010.2041897" TargetMode="External"/><Relationship Id="rId19" Type="http://schemas.openxmlformats.org/officeDocument/2006/relationships/hyperlink" Target="http://ieeexplore.ieee.org/xpl/login.jsp?tp=&amp;arnumber=5439779&amp;url=http%3A%2F%2Fieeexplore.ieee.org%2Fxpls%2Fabs_all.jsp%3Farnumber%3D5439779" TargetMode="External"/><Relationship Id="rId1" Type="http://schemas.openxmlformats.org/officeDocument/2006/relationships/hyperlink" Target="http://global.epson.com/company/corporate_history/milestone_products/23_monsieur.html" TargetMode="External"/><Relationship Id="rId2" Type="http://schemas.openxmlformats.org/officeDocument/2006/relationships/hyperlink" Target="http://www.sciencedirect.com/science/article/pii/092442479300709D" TargetMode="External"/><Relationship Id="rId3" Type="http://schemas.openxmlformats.org/officeDocument/2006/relationships/hyperlink" Target="http://citeseerx.ist.psu.edu/viewdoc/summary?doi=10.1.1.98.7961" TargetMode="External"/><Relationship Id="rId4" Type="http://schemas.openxmlformats.org/officeDocument/2006/relationships/hyperlink" Target="http://ieeexplore.ieee.org/xpl/login.jsp?tp=&amp;arnumber=746891&amp;url=http%3A%2F%2Fieeexplore.ieee.org%2Fiel4%2F6037%2F16111%2F00746891" TargetMode="External"/><Relationship Id="rId5" Type="http://schemas.openxmlformats.org/officeDocument/2006/relationships/hyperlink" Target="http://ieeexplore.ieee.org/xpl/articleDetails.jsp?tp=&amp;arnumber=1189847&amp;queryText%3DSolar+Powered+10+mg+Silicon+Robot" TargetMode="External"/><Relationship Id="rId6" Type="http://schemas.openxmlformats.org/officeDocument/2006/relationships/hyperlink" Target="http://iopscience.iop.org/0960-1317/15/10/S02/" TargetMode="External"/><Relationship Id="rId7" Type="http://schemas.openxmlformats.org/officeDocument/2006/relationships/hyperlink" Target="http://dx.doi.org/10.1109/MEMSYS.2003.1189847" TargetMode="External"/><Relationship Id="rId8" Type="http://schemas.openxmlformats.org/officeDocument/2006/relationships/hyperlink" Target="http://dx.doi.org/10.1109/MEMSYS.1999.746891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jeb.biologists.org/content/150/1/233.abstract?sid=de7488c6-3098-4791-8789-9006228d15a3" TargetMode="External"/><Relationship Id="rId4" Type="http://schemas.openxmlformats.org/officeDocument/2006/relationships/hyperlink" Target="http://jeb.biologists.org/content/150/1/233.abstract?sid=de7488c6-3098-4791-8789-9006228d15a3" TargetMode="External"/><Relationship Id="rId5" Type="http://schemas.openxmlformats.org/officeDocument/2006/relationships/hyperlink" Target="http://www.jstor.org/stable/30163886" TargetMode="External"/><Relationship Id="rId6" Type="http://schemas.openxmlformats.org/officeDocument/2006/relationships/hyperlink" Target="http://jeb.biologists.org/content/179/1/245.short" TargetMode="External"/><Relationship Id="rId7" Type="http://schemas.openxmlformats.org/officeDocument/2006/relationships/hyperlink" Target="http://www.jstor.org/stable/30156127" TargetMode="External"/><Relationship Id="rId8" Type="http://schemas.openxmlformats.org/officeDocument/2006/relationships/hyperlink" Target="http://link.springer.com/article/10.1007%2FBF00689214" TargetMode="External"/><Relationship Id="rId9" Type="http://schemas.openxmlformats.org/officeDocument/2006/relationships/hyperlink" Target="http://link.springer.com/article/10.1007%2FBF00689214" TargetMode="External"/><Relationship Id="rId10" Type="http://schemas.openxmlformats.org/officeDocument/2006/relationships/hyperlink" Target="http://link.springer.com/article/10.1007%2FBF00689214" TargetMode="External"/><Relationship Id="rId1" Type="http://schemas.openxmlformats.org/officeDocument/2006/relationships/hyperlink" Target="http://jeb.biologists.org/content/208/4/707.abstract?sid=3d04e5f7-20c9-4457-928d-c79c81d35261" TargetMode="External"/><Relationship Id="rId2" Type="http://schemas.openxmlformats.org/officeDocument/2006/relationships/hyperlink" Target="http://jeb.biologists.org/content/150/1/233.abstract?sid=de7488c6-3098-4791-8789-9006228d15a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N14"/>
  <sheetViews>
    <sheetView tabSelected="1" workbookViewId="0">
      <selection activeCell="A15" sqref="A15"/>
    </sheetView>
  </sheetViews>
  <sheetFormatPr baseColWidth="10" defaultColWidth="11" defaultRowHeight="15" x14ac:dyDescent="0"/>
  <cols>
    <col min="2" max="2" width="14.1640625" bestFit="1" customWidth="1"/>
    <col min="3" max="3" width="14.1640625" customWidth="1"/>
    <col min="5" max="5" width="27.5" bestFit="1" customWidth="1"/>
    <col min="6" max="6" width="5.1640625" bestFit="1" customWidth="1"/>
    <col min="7" max="7" width="6.1640625" bestFit="1" customWidth="1"/>
    <col min="8" max="8" width="5.83203125" bestFit="1" customWidth="1"/>
    <col min="9" max="9" width="6.5" bestFit="1" customWidth="1"/>
    <col min="10" max="10" width="7.1640625" bestFit="1" customWidth="1"/>
    <col min="11" max="11" width="6.6640625" bestFit="1" customWidth="1"/>
    <col min="12" max="12" width="16.6640625" bestFit="1" customWidth="1"/>
    <col min="13" max="13" width="14.1640625" bestFit="1" customWidth="1"/>
    <col min="14" max="14" width="9.6640625" bestFit="1" customWidth="1"/>
    <col min="16" max="16" width="11.6640625" bestFit="1" customWidth="1"/>
    <col min="17" max="17" width="11.1640625" bestFit="1" customWidth="1"/>
    <col min="18" max="18" width="8.5" bestFit="1" customWidth="1"/>
    <col min="19" max="19" width="13" bestFit="1" customWidth="1"/>
    <col min="20" max="21" width="10.6640625" bestFit="1" customWidth="1"/>
    <col min="22" max="22" width="10.83203125" bestFit="1" customWidth="1"/>
    <col min="23" max="23" width="19.6640625" bestFit="1" customWidth="1"/>
    <col min="24" max="24" width="14.6640625" bestFit="1" customWidth="1"/>
    <col min="25" max="25" width="23.6640625" bestFit="1" customWidth="1"/>
    <col min="26" max="26" width="3.5" bestFit="1" customWidth="1"/>
    <col min="27" max="27" width="9.33203125" bestFit="1" customWidth="1"/>
    <col min="28" max="28" width="10.83203125" bestFit="1" customWidth="1"/>
    <col min="29" max="29" width="9.6640625" bestFit="1" customWidth="1"/>
    <col min="30" max="30" width="11.1640625" bestFit="1" customWidth="1"/>
    <col min="31" max="31" width="13.1640625" customWidth="1"/>
    <col min="32" max="32" width="9.5" bestFit="1" customWidth="1"/>
    <col min="33" max="33" width="14.1640625" bestFit="1" customWidth="1"/>
    <col min="34" max="34" width="10.1640625" bestFit="1" customWidth="1"/>
    <col min="35" max="35" width="12.6640625" bestFit="1" customWidth="1"/>
    <col min="36" max="36" width="11.6640625" bestFit="1" customWidth="1"/>
    <col min="37" max="37" width="12" bestFit="1" customWidth="1"/>
    <col min="38" max="38" width="8.6640625" bestFit="1" customWidth="1"/>
    <col min="39" max="39" width="9.1640625" style="2" bestFit="1" customWidth="1"/>
    <col min="40" max="40" width="171.1640625" bestFit="1" customWidth="1"/>
  </cols>
  <sheetData>
    <row r="1" spans="2:40">
      <c r="B1" s="13" t="s">
        <v>9</v>
      </c>
      <c r="C1" s="13"/>
      <c r="D1" s="13"/>
      <c r="E1" s="13"/>
      <c r="F1" s="13"/>
      <c r="G1" s="13" t="s">
        <v>8</v>
      </c>
      <c r="H1" s="13"/>
      <c r="I1" s="13"/>
      <c r="J1" s="13"/>
      <c r="K1" s="13"/>
      <c r="L1" s="13" t="s">
        <v>4</v>
      </c>
      <c r="M1" s="13"/>
      <c r="N1" s="13"/>
      <c r="S1" s="13" t="s">
        <v>20</v>
      </c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 t="s">
        <v>26</v>
      </c>
      <c r="AH1" s="13"/>
      <c r="AI1" s="13"/>
      <c r="AJ1" s="13"/>
      <c r="AK1" s="13" t="s">
        <v>28</v>
      </c>
      <c r="AL1" s="13"/>
      <c r="AM1" s="13"/>
    </row>
    <row r="2" spans="2:40">
      <c r="B2" t="s">
        <v>0</v>
      </c>
      <c r="C2" t="s">
        <v>105</v>
      </c>
      <c r="D2" t="s">
        <v>1</v>
      </c>
      <c r="E2" t="s">
        <v>152</v>
      </c>
      <c r="F2" t="s">
        <v>2</v>
      </c>
      <c r="G2" t="s">
        <v>3</v>
      </c>
      <c r="H2" t="s">
        <v>4</v>
      </c>
      <c r="I2" t="s">
        <v>5</v>
      </c>
      <c r="J2" t="s">
        <v>6</v>
      </c>
      <c r="K2" t="s">
        <v>7</v>
      </c>
      <c r="L2" t="s">
        <v>10</v>
      </c>
      <c r="M2" t="s">
        <v>34</v>
      </c>
      <c r="N2" t="s">
        <v>33</v>
      </c>
      <c r="O2" t="s">
        <v>11</v>
      </c>
      <c r="P2" t="s">
        <v>12</v>
      </c>
      <c r="Q2" t="s">
        <v>13</v>
      </c>
      <c r="R2" t="s">
        <v>14</v>
      </c>
      <c r="S2" t="s">
        <v>15</v>
      </c>
      <c r="T2" t="s">
        <v>16</v>
      </c>
      <c r="U2" t="s">
        <v>56</v>
      </c>
      <c r="V2" t="s">
        <v>39</v>
      </c>
      <c r="W2" t="s">
        <v>108</v>
      </c>
      <c r="X2" t="s">
        <v>101</v>
      </c>
      <c r="Y2" t="s">
        <v>109</v>
      </c>
      <c r="Z2" t="s">
        <v>17</v>
      </c>
      <c r="AA2" t="s">
        <v>18</v>
      </c>
      <c r="AB2" t="s">
        <v>57</v>
      </c>
      <c r="AC2" t="s">
        <v>40</v>
      </c>
      <c r="AD2" t="s">
        <v>41</v>
      </c>
      <c r="AE2" t="s">
        <v>19</v>
      </c>
      <c r="AF2" t="s">
        <v>21</v>
      </c>
      <c r="AG2" t="s">
        <v>25</v>
      </c>
      <c r="AH2" t="s">
        <v>24</v>
      </c>
      <c r="AI2" t="s">
        <v>23</v>
      </c>
      <c r="AJ2" t="s">
        <v>22</v>
      </c>
      <c r="AK2" t="s">
        <v>43</v>
      </c>
      <c r="AL2" t="s">
        <v>45</v>
      </c>
      <c r="AM2" s="2" t="s">
        <v>44</v>
      </c>
      <c r="AN2" t="s">
        <v>27</v>
      </c>
    </row>
    <row r="3" spans="2:40">
      <c r="B3" t="s">
        <v>30</v>
      </c>
      <c r="D3" s="9" t="s">
        <v>29</v>
      </c>
      <c r="E3" s="9" t="s">
        <v>140</v>
      </c>
      <c r="F3">
        <v>1993</v>
      </c>
      <c r="G3">
        <v>1</v>
      </c>
      <c r="H3">
        <v>1</v>
      </c>
      <c r="I3">
        <v>1</v>
      </c>
      <c r="J3">
        <v>1</v>
      </c>
      <c r="K3">
        <v>0</v>
      </c>
      <c r="L3" t="s">
        <v>32</v>
      </c>
      <c r="M3" s="18">
        <f>0.5*0.33*2.2^2/N3</f>
        <v>3.327500000000001E-3</v>
      </c>
      <c r="N3">
        <v>240</v>
      </c>
      <c r="O3" t="s">
        <v>35</v>
      </c>
      <c r="P3" t="s">
        <v>36</v>
      </c>
      <c r="R3" t="s">
        <v>37</v>
      </c>
      <c r="S3" t="s">
        <v>38</v>
      </c>
      <c r="T3">
        <v>2</v>
      </c>
      <c r="V3" s="5">
        <v>1.47E-2</v>
      </c>
      <c r="W3" s="20">
        <f>V3/AM3</f>
        <v>1.185483870967742</v>
      </c>
      <c r="X3" s="1"/>
      <c r="Y3" s="1"/>
      <c r="Z3">
        <v>2</v>
      </c>
      <c r="AA3">
        <v>2</v>
      </c>
      <c r="AC3" s="15">
        <f t="shared" ref="AC3:AC9" si="0">1/V3</f>
        <v>68.02721088435375</v>
      </c>
      <c r="AD3" s="16">
        <f>AC3*M3</f>
        <v>0.22636054421768717</v>
      </c>
      <c r="AE3" s="15">
        <f>AD3/AL3/9.81</f>
        <v>5.3661556602822742</v>
      </c>
      <c r="AF3" s="1"/>
      <c r="AG3" t="s">
        <v>42</v>
      </c>
      <c r="AH3">
        <v>1</v>
      </c>
      <c r="AJ3" s="8"/>
      <c r="AK3" s="8">
        <f>0.0124*0.011*0.0108</f>
        <v>1.4731199999999998E-6</v>
      </c>
      <c r="AL3" s="8">
        <v>4.3E-3</v>
      </c>
      <c r="AM3" s="2">
        <v>1.24E-2</v>
      </c>
      <c r="AN3" t="s">
        <v>31</v>
      </c>
    </row>
    <row r="4" spans="2:40">
      <c r="B4" t="s">
        <v>47</v>
      </c>
      <c r="D4" s="9" t="s">
        <v>46</v>
      </c>
      <c r="E4" s="10" t="s">
        <v>139</v>
      </c>
      <c r="F4">
        <v>1994</v>
      </c>
      <c r="G4">
        <v>1</v>
      </c>
      <c r="H4">
        <v>0</v>
      </c>
      <c r="I4">
        <v>0</v>
      </c>
      <c r="J4">
        <v>0</v>
      </c>
      <c r="K4">
        <v>0</v>
      </c>
      <c r="L4" t="s">
        <v>48</v>
      </c>
      <c r="M4" s="7"/>
      <c r="R4" t="s">
        <v>49</v>
      </c>
      <c r="S4" t="s">
        <v>50</v>
      </c>
      <c r="T4">
        <v>2</v>
      </c>
      <c r="V4" s="5">
        <v>7.0000000000000001E-3</v>
      </c>
      <c r="W4" s="20">
        <f t="shared" ref="W4:W13" si="1">V4/AM4</f>
        <v>4.666666666666667</v>
      </c>
      <c r="X4" s="1"/>
      <c r="Y4" s="1"/>
      <c r="Z4">
        <v>2</v>
      </c>
      <c r="AA4">
        <v>2</v>
      </c>
      <c r="AC4" s="15">
        <f t="shared" si="0"/>
        <v>142.85714285714286</v>
      </c>
      <c r="AD4" s="16"/>
      <c r="AE4" s="15"/>
      <c r="AF4" s="1"/>
      <c r="AG4" t="s">
        <v>48</v>
      </c>
      <c r="AH4">
        <v>2</v>
      </c>
      <c r="AJ4" s="8"/>
      <c r="AK4" s="8">
        <f>0.0007*0.0015*0.0002</f>
        <v>2.1000000000000002E-10</v>
      </c>
      <c r="AL4" s="8">
        <f>0.0007*0.0015*0.000004*2300*0.5</f>
        <v>4.8300000000000001E-9</v>
      </c>
      <c r="AM4" s="2">
        <v>1.5E-3</v>
      </c>
      <c r="AN4" t="s">
        <v>51</v>
      </c>
    </row>
    <row r="5" spans="2:40">
      <c r="B5" t="s">
        <v>53</v>
      </c>
      <c r="D5" s="9" t="s">
        <v>52</v>
      </c>
      <c r="E5" s="9" t="s">
        <v>140</v>
      </c>
      <c r="F5">
        <v>1999</v>
      </c>
      <c r="G5">
        <v>1</v>
      </c>
      <c r="H5">
        <v>0</v>
      </c>
      <c r="I5">
        <v>0</v>
      </c>
      <c r="J5">
        <v>0</v>
      </c>
      <c r="K5">
        <v>0</v>
      </c>
      <c r="L5" t="s">
        <v>54</v>
      </c>
      <c r="M5" s="7">
        <v>1.1000000000000001</v>
      </c>
      <c r="R5" t="s">
        <v>49</v>
      </c>
      <c r="S5" t="s">
        <v>55</v>
      </c>
      <c r="T5">
        <v>4</v>
      </c>
      <c r="U5" s="19">
        <f>V5/100</f>
        <v>6.0000000000000002E-5</v>
      </c>
      <c r="V5" s="5">
        <v>6.0000000000000001E-3</v>
      </c>
      <c r="W5" s="20">
        <f t="shared" si="1"/>
        <v>0.4</v>
      </c>
      <c r="X5" s="1"/>
      <c r="Y5" s="1"/>
      <c r="Z5">
        <v>2</v>
      </c>
      <c r="AA5">
        <v>2</v>
      </c>
      <c r="AB5" s="1">
        <v>2.5000000000000001E-3</v>
      </c>
      <c r="AC5" s="15">
        <f t="shared" si="0"/>
        <v>166.66666666666666</v>
      </c>
      <c r="AD5" s="16">
        <f>AC5*M5</f>
        <v>183.33333333333334</v>
      </c>
      <c r="AE5" s="15">
        <f>AD5/AL5/9.81</f>
        <v>180564.37858769111</v>
      </c>
      <c r="AF5" s="1"/>
      <c r="AG5" t="s">
        <v>58</v>
      </c>
      <c r="AH5">
        <v>4</v>
      </c>
      <c r="AI5">
        <v>18</v>
      </c>
      <c r="AJ5" s="8">
        <f>1.1/4</f>
        <v>0.27500000000000002</v>
      </c>
      <c r="AK5" s="8">
        <f>0.015*0.005*0.0015</f>
        <v>1.1249999999999999E-7</v>
      </c>
      <c r="AL5" s="21">
        <f>AK5*2300*0.4</f>
        <v>1.0349999999999999E-4</v>
      </c>
      <c r="AM5" s="2">
        <v>1.4999999999999999E-2</v>
      </c>
      <c r="AN5" t="s">
        <v>59</v>
      </c>
    </row>
    <row r="6" spans="2:40">
      <c r="B6" t="s">
        <v>60</v>
      </c>
      <c r="D6" s="9" t="s">
        <v>61</v>
      </c>
      <c r="E6" s="11" t="s">
        <v>142</v>
      </c>
      <c r="F6">
        <v>2000</v>
      </c>
      <c r="G6">
        <v>0</v>
      </c>
      <c r="H6">
        <v>0</v>
      </c>
      <c r="I6">
        <v>0</v>
      </c>
      <c r="J6">
        <v>0</v>
      </c>
      <c r="K6">
        <v>0</v>
      </c>
      <c r="L6" t="s">
        <v>54</v>
      </c>
      <c r="M6" s="7">
        <v>2.87</v>
      </c>
      <c r="R6" t="s">
        <v>49</v>
      </c>
      <c r="S6" t="s">
        <v>55</v>
      </c>
      <c r="T6">
        <v>6</v>
      </c>
      <c r="U6" s="1">
        <v>3.7500000000000001E-6</v>
      </c>
      <c r="V6" s="5">
        <f>0.000453/60</f>
        <v>7.5499999999999997E-6</v>
      </c>
      <c r="W6" s="20">
        <f t="shared" si="1"/>
        <v>7.5499999999999992E-4</v>
      </c>
      <c r="Z6">
        <v>12</v>
      </c>
      <c r="AA6">
        <v>12</v>
      </c>
      <c r="AC6" s="15">
        <f t="shared" si="0"/>
        <v>132450.33112582783</v>
      </c>
      <c r="AD6" s="16">
        <f>AC6*M6</f>
        <v>380132.45033112587</v>
      </c>
      <c r="AE6" s="15">
        <f t="shared" ref="AE6:AE8" si="2">AD6/AL6/9.81</f>
        <v>303917531.39543551</v>
      </c>
      <c r="AF6" s="1"/>
      <c r="AG6" t="s">
        <v>58</v>
      </c>
      <c r="AH6">
        <v>12</v>
      </c>
      <c r="AI6">
        <v>10</v>
      </c>
      <c r="AJ6" s="8">
        <f>2.87/12</f>
        <v>0.23916666666666667</v>
      </c>
      <c r="AK6" s="8">
        <f>0.01*0.01*0.00027</f>
        <v>2.7E-8</v>
      </c>
      <c r="AL6" s="8">
        <v>1.2750000000000001E-4</v>
      </c>
      <c r="AM6" s="2">
        <v>0.01</v>
      </c>
      <c r="AN6" t="s">
        <v>62</v>
      </c>
    </row>
    <row r="7" spans="2:40">
      <c r="B7" t="s">
        <v>63</v>
      </c>
      <c r="D7" s="9" t="s">
        <v>64</v>
      </c>
      <c r="E7" s="11" t="s">
        <v>141</v>
      </c>
      <c r="F7">
        <v>2003</v>
      </c>
      <c r="G7">
        <v>1</v>
      </c>
      <c r="H7">
        <v>1</v>
      </c>
      <c r="I7">
        <v>1</v>
      </c>
      <c r="J7">
        <v>0</v>
      </c>
      <c r="K7">
        <v>0</v>
      </c>
      <c r="L7" t="s">
        <v>65</v>
      </c>
      <c r="M7" s="7">
        <v>2.6000000000000001E-6</v>
      </c>
      <c r="O7" t="s">
        <v>66</v>
      </c>
      <c r="R7" t="s">
        <v>49</v>
      </c>
      <c r="S7" t="s">
        <v>55</v>
      </c>
      <c r="T7">
        <v>2</v>
      </c>
      <c r="U7" s="1">
        <v>9.7E-5</v>
      </c>
      <c r="V7" s="5">
        <f>0.003/8/60</f>
        <v>6.2500000000000003E-6</v>
      </c>
      <c r="W7" s="20">
        <f t="shared" si="1"/>
        <v>7.3529411764705881E-4</v>
      </c>
      <c r="Z7">
        <v>2</v>
      </c>
      <c r="AA7">
        <v>2</v>
      </c>
      <c r="AC7" s="15">
        <f t="shared" si="0"/>
        <v>160000</v>
      </c>
      <c r="AD7" s="16">
        <f>AC7*M7</f>
        <v>0.41600000000000004</v>
      </c>
      <c r="AE7" s="15">
        <f t="shared" si="2"/>
        <v>4157.4223981131699</v>
      </c>
      <c r="AF7" s="1"/>
      <c r="AG7" t="s">
        <v>67</v>
      </c>
      <c r="AH7">
        <v>2</v>
      </c>
      <c r="AI7">
        <v>50</v>
      </c>
      <c r="AJ7" s="8">
        <v>2.5000000000000002E-6</v>
      </c>
      <c r="AK7" s="8">
        <f>0.0085*0.004*0.0005</f>
        <v>1.7000000000000003E-8</v>
      </c>
      <c r="AL7" s="8">
        <f>0.0000102</f>
        <v>1.0200000000000001E-5</v>
      </c>
      <c r="AM7" s="2">
        <v>8.5000000000000006E-3</v>
      </c>
      <c r="AN7" t="s">
        <v>68</v>
      </c>
    </row>
    <row r="8" spans="2:40">
      <c r="B8" t="s">
        <v>70</v>
      </c>
      <c r="D8" s="9" t="s">
        <v>69</v>
      </c>
      <c r="E8" s="11" t="s">
        <v>143</v>
      </c>
      <c r="F8">
        <v>2005</v>
      </c>
      <c r="G8">
        <v>1</v>
      </c>
      <c r="H8">
        <v>0</v>
      </c>
      <c r="I8">
        <v>0</v>
      </c>
      <c r="J8">
        <v>0</v>
      </c>
      <c r="K8">
        <v>0</v>
      </c>
      <c r="L8" t="s">
        <v>54</v>
      </c>
      <c r="M8" s="7">
        <v>0.29609999999999997</v>
      </c>
      <c r="R8" t="s">
        <v>37</v>
      </c>
      <c r="S8" t="s">
        <v>50</v>
      </c>
      <c r="T8">
        <v>3</v>
      </c>
      <c r="U8" s="1">
        <v>6.9999999999999998E-9</v>
      </c>
      <c r="V8" s="5">
        <v>5.0000000000000001E-4</v>
      </c>
      <c r="W8" s="20">
        <f t="shared" si="1"/>
        <v>4.1666666666666664E-2</v>
      </c>
      <c r="X8" s="1"/>
      <c r="Y8" s="1"/>
      <c r="Z8">
        <v>3</v>
      </c>
      <c r="AA8">
        <v>3</v>
      </c>
      <c r="AC8" s="15">
        <f t="shared" si="0"/>
        <v>2000</v>
      </c>
      <c r="AD8" s="16">
        <f>AC8*M8</f>
        <v>592.19999999999993</v>
      </c>
      <c r="AE8" s="15">
        <f t="shared" si="2"/>
        <v>19408.105863253666</v>
      </c>
      <c r="AF8" s="1"/>
      <c r="AG8" t="s">
        <v>71</v>
      </c>
      <c r="AH8">
        <v>3</v>
      </c>
      <c r="AI8">
        <v>20</v>
      </c>
      <c r="AJ8" s="8">
        <f>0.2961-0.1155</f>
        <v>0.18059999999999998</v>
      </c>
      <c r="AK8" s="8">
        <f>0.012*0.012*0.012</f>
        <v>1.728E-6</v>
      </c>
      <c r="AL8" s="21">
        <f>AK8*2000*0.9</f>
        <v>3.1104000000000001E-3</v>
      </c>
      <c r="AM8" s="2">
        <v>1.2E-2</v>
      </c>
      <c r="AN8" t="s">
        <v>74</v>
      </c>
    </row>
    <row r="9" spans="2:40">
      <c r="B9" t="s">
        <v>72</v>
      </c>
      <c r="D9" s="9" t="s">
        <v>73</v>
      </c>
      <c r="E9" s="11" t="s">
        <v>144</v>
      </c>
      <c r="F9">
        <v>2007</v>
      </c>
      <c r="G9">
        <v>0</v>
      </c>
      <c r="H9">
        <v>1</v>
      </c>
      <c r="I9">
        <v>1</v>
      </c>
      <c r="J9">
        <v>0</v>
      </c>
      <c r="K9">
        <v>0</v>
      </c>
      <c r="L9" t="s">
        <v>65</v>
      </c>
      <c r="M9" s="7">
        <v>8.1600000000000005E-5</v>
      </c>
      <c r="O9" t="s">
        <v>35</v>
      </c>
      <c r="R9" t="s">
        <v>49</v>
      </c>
      <c r="S9" t="s">
        <v>75</v>
      </c>
      <c r="T9">
        <v>1</v>
      </c>
      <c r="U9" s="1">
        <v>0.02</v>
      </c>
      <c r="V9" s="5">
        <f>0.02/20</f>
        <v>1E-3</v>
      </c>
      <c r="W9" s="20">
        <f t="shared" si="1"/>
        <v>0.125</v>
      </c>
      <c r="Z9">
        <v>1</v>
      </c>
      <c r="AA9">
        <v>1</v>
      </c>
      <c r="AC9" s="15">
        <f t="shared" si="0"/>
        <v>1000</v>
      </c>
      <c r="AD9" s="16">
        <f>AC9*M9</f>
        <v>8.1600000000000006E-2</v>
      </c>
      <c r="AE9" s="15">
        <f t="shared" ref="AE9" si="3">AD9/AL9/9.81</f>
        <v>831.80428134556576</v>
      </c>
      <c r="AF9" s="1"/>
      <c r="AG9" t="s">
        <v>67</v>
      </c>
      <c r="AH9">
        <v>1</v>
      </c>
      <c r="AI9">
        <v>50</v>
      </c>
      <c r="AJ9" s="8">
        <v>4.5000000000000003E-5</v>
      </c>
      <c r="AK9" s="8">
        <f>0.008*0.003*0.001</f>
        <v>2.4E-8</v>
      </c>
      <c r="AL9" s="8">
        <v>1.0000000000000001E-5</v>
      </c>
      <c r="AM9" s="2">
        <v>8.0000000000000002E-3</v>
      </c>
    </row>
    <row r="10" spans="2:40">
      <c r="B10" t="s">
        <v>77</v>
      </c>
      <c r="D10" s="9" t="s">
        <v>76</v>
      </c>
      <c r="E10" s="11" t="s">
        <v>145</v>
      </c>
      <c r="F10">
        <v>2008</v>
      </c>
      <c r="G10">
        <v>1</v>
      </c>
      <c r="H10">
        <v>0</v>
      </c>
      <c r="I10">
        <v>0</v>
      </c>
      <c r="J10">
        <v>0</v>
      </c>
      <c r="K10">
        <v>0</v>
      </c>
      <c r="L10" t="s">
        <v>54</v>
      </c>
      <c r="M10" s="7">
        <v>1.9E-2</v>
      </c>
      <c r="R10" t="s">
        <v>78</v>
      </c>
      <c r="S10" t="s">
        <v>79</v>
      </c>
      <c r="T10">
        <v>2</v>
      </c>
      <c r="V10" s="5"/>
      <c r="W10" s="20"/>
      <c r="Z10">
        <v>2</v>
      </c>
      <c r="AA10">
        <v>1</v>
      </c>
      <c r="AC10" s="15"/>
      <c r="AD10" s="16"/>
      <c r="AE10" s="15"/>
      <c r="AF10" s="1"/>
      <c r="AG10" t="s">
        <v>71</v>
      </c>
      <c r="AH10">
        <v>1</v>
      </c>
      <c r="AI10">
        <v>200</v>
      </c>
      <c r="AJ10" s="8"/>
      <c r="AK10" s="8">
        <f>0.03*0.012*0.003</f>
        <v>1.0799999999999998E-6</v>
      </c>
      <c r="AL10" s="8">
        <v>6.0000000000000002E-5</v>
      </c>
      <c r="AM10" s="2">
        <v>0.03</v>
      </c>
    </row>
    <row r="11" spans="2:40">
      <c r="B11" t="s">
        <v>80</v>
      </c>
      <c r="D11" s="9" t="s">
        <v>81</v>
      </c>
      <c r="E11" s="11" t="s">
        <v>146</v>
      </c>
      <c r="F11">
        <v>2009</v>
      </c>
      <c r="G11">
        <v>0</v>
      </c>
      <c r="H11">
        <v>1</v>
      </c>
      <c r="I11">
        <v>1</v>
      </c>
      <c r="J11">
        <v>1</v>
      </c>
      <c r="K11">
        <v>1</v>
      </c>
      <c r="L11" t="s">
        <v>54</v>
      </c>
      <c r="M11" s="7"/>
      <c r="O11" t="s">
        <v>82</v>
      </c>
      <c r="P11" t="s">
        <v>36</v>
      </c>
      <c r="Q11" t="s">
        <v>83</v>
      </c>
      <c r="R11" t="s">
        <v>84</v>
      </c>
      <c r="S11" t="s">
        <v>50</v>
      </c>
      <c r="T11">
        <v>3</v>
      </c>
      <c r="V11" s="5">
        <v>2.9999999999999997E-4</v>
      </c>
      <c r="W11" s="20">
        <f t="shared" si="1"/>
        <v>3.6585365853658527E-2</v>
      </c>
      <c r="X11" s="1"/>
      <c r="Y11" s="1"/>
      <c r="Z11">
        <v>3</v>
      </c>
      <c r="AA11">
        <v>3</v>
      </c>
      <c r="AC11" s="15">
        <f t="shared" ref="AC11" si="4">1/V11</f>
        <v>3333.3333333333335</v>
      </c>
      <c r="AD11" s="16"/>
      <c r="AE11" s="15"/>
      <c r="AF11" s="1"/>
      <c r="AG11" t="s">
        <v>71</v>
      </c>
      <c r="AH11">
        <v>3</v>
      </c>
      <c r="AI11">
        <v>3.6</v>
      </c>
      <c r="AJ11" s="8"/>
      <c r="AK11" s="8">
        <f>0.0082*0.0039*0.003</f>
        <v>9.5940000000000011E-8</v>
      </c>
      <c r="AL11" s="8">
        <v>6.4999999999999994E-5</v>
      </c>
      <c r="AM11" s="2">
        <v>8.2000000000000007E-3</v>
      </c>
      <c r="AN11" t="s">
        <v>85</v>
      </c>
    </row>
    <row r="12" spans="2:40">
      <c r="B12" t="s">
        <v>87</v>
      </c>
      <c r="D12" s="9" t="s">
        <v>86</v>
      </c>
      <c r="E12" s="11" t="s">
        <v>147</v>
      </c>
      <c r="F12">
        <v>2009</v>
      </c>
      <c r="G12">
        <v>1</v>
      </c>
      <c r="H12">
        <v>0</v>
      </c>
      <c r="I12">
        <v>0</v>
      </c>
      <c r="J12">
        <v>0</v>
      </c>
      <c r="K12">
        <v>0</v>
      </c>
      <c r="L12" t="s">
        <v>88</v>
      </c>
      <c r="M12" s="7"/>
      <c r="R12" t="s">
        <v>49</v>
      </c>
      <c r="S12" t="s">
        <v>89</v>
      </c>
      <c r="T12">
        <v>0</v>
      </c>
      <c r="V12" s="5"/>
      <c r="W12" s="20"/>
      <c r="Z12">
        <v>1</v>
      </c>
      <c r="AA12">
        <v>1</v>
      </c>
      <c r="AC12" s="15"/>
      <c r="AD12" s="16"/>
      <c r="AE12" s="15"/>
      <c r="AF12" s="1"/>
      <c r="AG12" t="s">
        <v>67</v>
      </c>
      <c r="AH12">
        <v>1</v>
      </c>
      <c r="AI12">
        <v>200</v>
      </c>
      <c r="AJ12" s="8"/>
      <c r="AK12" s="8">
        <f>0.0038*(0.001/2)^2*PI()</f>
        <v>2.9845130209103035E-9</v>
      </c>
      <c r="AL12" s="21">
        <f>AK12*2300*0.5</f>
        <v>3.4321899740468492E-6</v>
      </c>
      <c r="AM12" s="2">
        <f>0.001</f>
        <v>1E-3</v>
      </c>
      <c r="AN12" t="s">
        <v>90</v>
      </c>
    </row>
    <row r="13" spans="2:40">
      <c r="B13" t="s">
        <v>91</v>
      </c>
      <c r="D13" s="9" t="s">
        <v>92</v>
      </c>
      <c r="E13" s="11" t="s">
        <v>148</v>
      </c>
      <c r="F13">
        <v>2010</v>
      </c>
      <c r="G13">
        <v>1</v>
      </c>
      <c r="H13">
        <v>0</v>
      </c>
      <c r="I13">
        <v>0</v>
      </c>
      <c r="J13">
        <v>0</v>
      </c>
      <c r="K13">
        <v>0</v>
      </c>
      <c r="L13" t="s">
        <v>54</v>
      </c>
      <c r="M13" s="7">
        <v>1.65</v>
      </c>
      <c r="R13" t="s">
        <v>49</v>
      </c>
      <c r="S13" t="s">
        <v>55</v>
      </c>
      <c r="T13">
        <v>8</v>
      </c>
      <c r="U13" s="1">
        <v>3.9999999999999998E-6</v>
      </c>
      <c r="V13" s="5">
        <v>2.5000000000000001E-4</v>
      </c>
      <c r="W13" s="20">
        <f t="shared" si="1"/>
        <v>8.3333333333333332E-3</v>
      </c>
      <c r="X13" s="1"/>
      <c r="Y13" s="1"/>
      <c r="Z13">
        <v>8</v>
      </c>
      <c r="AA13">
        <v>8</v>
      </c>
      <c r="AB13" s="1">
        <v>3.5000000000000001E-3</v>
      </c>
      <c r="AC13" s="15">
        <f>1/V13</f>
        <v>4000</v>
      </c>
      <c r="AD13" s="16">
        <f>AC13*M13</f>
        <v>6600</v>
      </c>
      <c r="AE13" s="15">
        <f t="shared" ref="AE13" si="5">AD13/AL13/9.81</f>
        <v>1407495.5535935918</v>
      </c>
      <c r="AF13" s="1"/>
      <c r="AG13" t="s">
        <v>58</v>
      </c>
      <c r="AH13">
        <v>8</v>
      </c>
      <c r="AI13">
        <v>60</v>
      </c>
      <c r="AJ13" s="8">
        <f>1.65/8</f>
        <v>0.20624999999999999</v>
      </c>
      <c r="AK13" s="8">
        <f>0.03*0.01*0.0009</f>
        <v>2.6999999999999996E-7</v>
      </c>
      <c r="AL13" s="8">
        <v>4.7800000000000002E-4</v>
      </c>
      <c r="AM13" s="2">
        <v>0.03</v>
      </c>
    </row>
    <row r="14" spans="2:40">
      <c r="B14" t="s">
        <v>94</v>
      </c>
      <c r="D14" s="9" t="s">
        <v>93</v>
      </c>
      <c r="E14" s="11" t="s">
        <v>149</v>
      </c>
      <c r="F14">
        <v>2012</v>
      </c>
      <c r="G14">
        <v>1</v>
      </c>
      <c r="H14">
        <v>1</v>
      </c>
      <c r="I14">
        <v>1</v>
      </c>
      <c r="J14">
        <v>1</v>
      </c>
      <c r="K14">
        <v>0</v>
      </c>
      <c r="L14" t="s">
        <v>95</v>
      </c>
      <c r="M14" s="7">
        <f>1.9/0.3</f>
        <v>6.333333333333333</v>
      </c>
      <c r="O14" t="s">
        <v>96</v>
      </c>
      <c r="P14" t="s">
        <v>36</v>
      </c>
      <c r="R14" t="s">
        <v>84</v>
      </c>
      <c r="S14" t="s">
        <v>75</v>
      </c>
      <c r="T14">
        <v>0</v>
      </c>
      <c r="V14" s="5"/>
      <c r="W14" s="6"/>
      <c r="Z14">
        <v>1</v>
      </c>
      <c r="AA14">
        <v>1</v>
      </c>
      <c r="AC14" s="3"/>
      <c r="AD14" s="4"/>
      <c r="AE14" s="15"/>
      <c r="AF14" s="1">
        <v>0.08</v>
      </c>
      <c r="AG14" t="s">
        <v>97</v>
      </c>
      <c r="AH14">
        <v>1</v>
      </c>
      <c r="AI14">
        <v>6</v>
      </c>
      <c r="AJ14" s="8">
        <f>1.9/0.3</f>
        <v>6.333333333333333</v>
      </c>
      <c r="AK14" s="8">
        <f>0.004*0.007*0.004</f>
        <v>1.12E-7</v>
      </c>
      <c r="AL14" s="8">
        <v>2.9999999999999997E-4</v>
      </c>
      <c r="AM14" s="2">
        <v>7.0000000000000001E-3</v>
      </c>
    </row>
  </sheetData>
  <mergeCells count="6">
    <mergeCell ref="AK1:AM1"/>
    <mergeCell ref="G1:K1"/>
    <mergeCell ref="B1:F1"/>
    <mergeCell ref="L1:N1"/>
    <mergeCell ref="S1:AF1"/>
    <mergeCell ref="AG1:AJ1"/>
  </mergeCells>
  <hyperlinks>
    <hyperlink ref="D3" r:id="rId1"/>
    <hyperlink ref="D4" r:id="rId2"/>
    <hyperlink ref="D5" r:id="rId3"/>
    <hyperlink ref="D6" r:id="rId4"/>
    <hyperlink ref="D7" r:id="rId5"/>
    <hyperlink ref="D8" r:id="rId6"/>
    <hyperlink ref="E7" r:id="rId7"/>
    <hyperlink ref="E6" r:id="rId8"/>
    <hyperlink ref="E8" r:id="rId9"/>
    <hyperlink ref="E9" r:id="rId10"/>
    <hyperlink ref="D9" r:id="rId11"/>
    <hyperlink ref="E10" r:id="rId12"/>
    <hyperlink ref="D10" r:id="rId13"/>
    <hyperlink ref="E11" r:id="rId14"/>
    <hyperlink ref="D11" r:id="rId15"/>
    <hyperlink ref="E12" r:id="rId16"/>
    <hyperlink ref="D12" r:id="rId17"/>
    <hyperlink ref="E13" r:id="rId18"/>
    <hyperlink ref="D13" r:id="rId19"/>
    <hyperlink ref="E14" r:id="rId20"/>
    <hyperlink ref="D14" r:id="rId21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N12"/>
  <sheetViews>
    <sheetView topLeftCell="C1" workbookViewId="0">
      <selection activeCell="P13" sqref="P13"/>
    </sheetView>
  </sheetViews>
  <sheetFormatPr baseColWidth="10" defaultColWidth="11" defaultRowHeight="15" x14ac:dyDescent="0"/>
  <cols>
    <col min="2" max="2" width="14.5" bestFit="1" customWidth="1"/>
    <col min="3" max="3" width="13.5" bestFit="1" customWidth="1"/>
    <col min="6" max="6" width="5.1640625" bestFit="1" customWidth="1"/>
    <col min="7" max="7" width="6.1640625" bestFit="1" customWidth="1"/>
    <col min="8" max="8" width="5.83203125" bestFit="1" customWidth="1"/>
    <col min="9" max="9" width="6.5" bestFit="1" customWidth="1"/>
    <col min="10" max="10" width="7.1640625" bestFit="1" customWidth="1"/>
    <col min="11" max="11" width="6.6640625" bestFit="1" customWidth="1"/>
    <col min="12" max="12" width="10.33203125" bestFit="1" customWidth="1"/>
    <col min="13" max="13" width="14.6640625" bestFit="1" customWidth="1"/>
    <col min="14" max="14" width="9.6640625" bestFit="1" customWidth="1"/>
    <col min="15" max="15" width="11" bestFit="1" customWidth="1"/>
    <col min="16" max="16" width="11.6640625" bestFit="1" customWidth="1"/>
    <col min="17" max="17" width="11.1640625" bestFit="1" customWidth="1"/>
    <col min="18" max="18" width="8" bestFit="1" customWidth="1"/>
    <col min="19" max="19" width="14.6640625" bestFit="1" customWidth="1"/>
    <col min="20" max="22" width="10.6640625" bestFit="1" customWidth="1"/>
    <col min="23" max="23" width="19.6640625" bestFit="1" customWidth="1"/>
    <col min="24" max="24" width="14.6640625" bestFit="1" customWidth="1"/>
    <col min="25" max="25" width="23.6640625" bestFit="1" customWidth="1"/>
    <col min="26" max="26" width="3.5" bestFit="1" customWidth="1"/>
    <col min="27" max="27" width="9.33203125" bestFit="1" customWidth="1"/>
    <col min="28" max="28" width="10.83203125" bestFit="1" customWidth="1"/>
    <col min="29" max="29" width="9.6640625" bestFit="1" customWidth="1"/>
    <col min="30" max="30" width="11.1640625" bestFit="1" customWidth="1"/>
    <col min="31" max="31" width="6.83203125" bestFit="1" customWidth="1"/>
    <col min="32" max="32" width="9.5" bestFit="1" customWidth="1"/>
    <col min="33" max="34" width="10.1640625" bestFit="1" customWidth="1"/>
    <col min="35" max="35" width="12.6640625" bestFit="1" customWidth="1"/>
    <col min="36" max="36" width="11.6640625" bestFit="1" customWidth="1"/>
    <col min="37" max="37" width="12" bestFit="1" customWidth="1"/>
    <col min="38" max="38" width="8.6640625" bestFit="1" customWidth="1"/>
    <col min="39" max="39" width="9.1640625" bestFit="1" customWidth="1"/>
    <col min="40" max="40" width="112.1640625" bestFit="1" customWidth="1"/>
  </cols>
  <sheetData>
    <row r="1" spans="2:40">
      <c r="B1" s="13" t="s">
        <v>9</v>
      </c>
      <c r="C1" s="13"/>
      <c r="D1" s="13"/>
      <c r="E1" s="13"/>
      <c r="F1" s="13"/>
      <c r="G1" s="13" t="s">
        <v>8</v>
      </c>
      <c r="H1" s="13"/>
      <c r="I1" s="13"/>
      <c r="J1" s="13"/>
      <c r="K1" s="13"/>
      <c r="L1" s="13" t="s">
        <v>4</v>
      </c>
      <c r="M1" s="13"/>
      <c r="N1" s="13"/>
      <c r="S1" s="13" t="s">
        <v>20</v>
      </c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 t="s">
        <v>26</v>
      </c>
      <c r="AH1" s="13"/>
      <c r="AI1" s="13"/>
      <c r="AJ1" s="13"/>
      <c r="AK1" s="13" t="s">
        <v>28</v>
      </c>
      <c r="AL1" s="13"/>
      <c r="AM1" s="13"/>
    </row>
    <row r="2" spans="2:40">
      <c r="B2" t="s">
        <v>0</v>
      </c>
      <c r="C2" t="s">
        <v>105</v>
      </c>
      <c r="D2" t="s">
        <v>1</v>
      </c>
      <c r="E2" t="s">
        <v>152</v>
      </c>
      <c r="F2" t="s">
        <v>2</v>
      </c>
      <c r="G2" t="s">
        <v>3</v>
      </c>
      <c r="H2" t="s">
        <v>4</v>
      </c>
      <c r="I2" t="s">
        <v>5</v>
      </c>
      <c r="J2" t="s">
        <v>6</v>
      </c>
      <c r="K2" t="s">
        <v>7</v>
      </c>
      <c r="L2" t="s">
        <v>10</v>
      </c>
      <c r="M2" t="s">
        <v>34</v>
      </c>
      <c r="N2" t="s">
        <v>33</v>
      </c>
      <c r="O2" t="s">
        <v>11</v>
      </c>
      <c r="P2" t="s">
        <v>12</v>
      </c>
      <c r="Q2" t="s">
        <v>13</v>
      </c>
      <c r="R2" t="s">
        <v>14</v>
      </c>
      <c r="S2" t="s">
        <v>15</v>
      </c>
      <c r="T2" t="s">
        <v>16</v>
      </c>
      <c r="U2" t="s">
        <v>56</v>
      </c>
      <c r="V2" t="s">
        <v>39</v>
      </c>
      <c r="W2" t="s">
        <v>108</v>
      </c>
      <c r="X2" t="s">
        <v>101</v>
      </c>
      <c r="Y2" t="s">
        <v>109</v>
      </c>
      <c r="Z2" t="s">
        <v>17</v>
      </c>
      <c r="AA2" t="s">
        <v>18</v>
      </c>
      <c r="AB2" t="s">
        <v>57</v>
      </c>
      <c r="AC2" t="s">
        <v>40</v>
      </c>
      <c r="AD2" t="s">
        <v>41</v>
      </c>
      <c r="AE2" t="s">
        <v>19</v>
      </c>
      <c r="AF2" t="s">
        <v>21</v>
      </c>
      <c r="AG2" t="s">
        <v>25</v>
      </c>
      <c r="AH2" t="s">
        <v>24</v>
      </c>
      <c r="AI2" t="s">
        <v>23</v>
      </c>
      <c r="AJ2" t="s">
        <v>22</v>
      </c>
      <c r="AK2" t="s">
        <v>43</v>
      </c>
      <c r="AL2" t="s">
        <v>45</v>
      </c>
      <c r="AM2" s="2" t="s">
        <v>44</v>
      </c>
      <c r="AN2" t="s">
        <v>27</v>
      </c>
    </row>
    <row r="3" spans="2:40">
      <c r="B3" t="s">
        <v>98</v>
      </c>
      <c r="C3" t="s">
        <v>106</v>
      </c>
      <c r="D3" s="9" t="s">
        <v>99</v>
      </c>
      <c r="E3" s="12" t="s">
        <v>150</v>
      </c>
      <c r="F3">
        <v>2005</v>
      </c>
      <c r="G3">
        <v>1</v>
      </c>
      <c r="H3">
        <v>1</v>
      </c>
      <c r="I3">
        <v>1</v>
      </c>
      <c r="J3">
        <v>1</v>
      </c>
      <c r="K3">
        <v>1</v>
      </c>
      <c r="L3" t="s">
        <v>138</v>
      </c>
      <c r="M3" s="14">
        <f t="shared" ref="M3:M12" si="0">AE3*AL3*V3</f>
        <v>1.404E-4</v>
      </c>
      <c r="S3" t="s">
        <v>100</v>
      </c>
      <c r="T3">
        <v>6</v>
      </c>
      <c r="V3" s="2">
        <v>0.09</v>
      </c>
      <c r="W3" s="15">
        <f t="shared" ref="W3:W12" si="1">V3/AM3</f>
        <v>15</v>
      </c>
      <c r="X3" s="2">
        <v>0.17</v>
      </c>
      <c r="Y3" s="15">
        <f>X3/AM3</f>
        <v>28.333333333333336</v>
      </c>
      <c r="AC3" s="16">
        <f t="shared" ref="AC3:AC12" si="2">1/V3</f>
        <v>11.111111111111111</v>
      </c>
      <c r="AD3" s="17">
        <f t="shared" ref="AD3:AD12" si="3">AE3*AL3</f>
        <v>1.56E-3</v>
      </c>
      <c r="AE3" s="3">
        <v>130</v>
      </c>
      <c r="AL3" s="1">
        <v>1.2E-5</v>
      </c>
      <c r="AM3" s="6">
        <v>6.0000000000000001E-3</v>
      </c>
      <c r="AN3" t="s">
        <v>102</v>
      </c>
    </row>
    <row r="4" spans="2:40">
      <c r="B4" t="s">
        <v>103</v>
      </c>
      <c r="C4" t="s">
        <v>107</v>
      </c>
      <c r="D4" s="9" t="s">
        <v>104</v>
      </c>
      <c r="E4" s="12">
        <v>2355209</v>
      </c>
      <c r="F4">
        <v>1990</v>
      </c>
      <c r="G4">
        <v>1</v>
      </c>
      <c r="H4">
        <v>1</v>
      </c>
      <c r="I4">
        <v>1</v>
      </c>
      <c r="J4">
        <v>1</v>
      </c>
      <c r="K4">
        <v>1</v>
      </c>
      <c r="L4" t="s">
        <v>138</v>
      </c>
      <c r="M4" s="14">
        <f t="shared" si="0"/>
        <v>2.1296229166666666E-2</v>
      </c>
      <c r="S4" t="s">
        <v>112</v>
      </c>
      <c r="T4">
        <v>6</v>
      </c>
      <c r="V4" s="2">
        <f>0.5*10/36</f>
        <v>0.1388888888888889</v>
      </c>
      <c r="W4" s="15">
        <f t="shared" si="1"/>
        <v>6.9444444444444446</v>
      </c>
      <c r="X4" s="2"/>
      <c r="Y4" s="3"/>
      <c r="AC4" s="16">
        <f t="shared" si="2"/>
        <v>7.1999999999999993</v>
      </c>
      <c r="AD4" s="17">
        <f t="shared" si="3"/>
        <v>0.15333284999999999</v>
      </c>
      <c r="AE4" s="3">
        <f>8.03*20.1</f>
        <v>161.40299999999999</v>
      </c>
      <c r="AL4" s="1">
        <v>9.5E-4</v>
      </c>
      <c r="AM4" s="6">
        <v>0.02</v>
      </c>
      <c r="AN4" t="s">
        <v>113</v>
      </c>
    </row>
    <row r="5" spans="2:40">
      <c r="B5" t="s">
        <v>110</v>
      </c>
      <c r="C5" t="s">
        <v>111</v>
      </c>
      <c r="D5" s="9" t="s">
        <v>104</v>
      </c>
      <c r="E5" s="12">
        <v>2355209</v>
      </c>
      <c r="F5">
        <v>1990</v>
      </c>
      <c r="G5">
        <v>1</v>
      </c>
      <c r="H5">
        <v>1</v>
      </c>
      <c r="I5">
        <v>1</v>
      </c>
      <c r="J5">
        <v>1</v>
      </c>
      <c r="K5">
        <v>1</v>
      </c>
      <c r="L5" t="s">
        <v>138</v>
      </c>
      <c r="M5" s="14">
        <f t="shared" si="0"/>
        <v>2.1230624999999999E-2</v>
      </c>
      <c r="S5" t="s">
        <v>100</v>
      </c>
      <c r="T5">
        <v>6</v>
      </c>
      <c r="V5" s="2">
        <f>0.5*10/36</f>
        <v>0.1388888888888889</v>
      </c>
      <c r="W5" s="15">
        <f t="shared" si="1"/>
        <v>3.4722222222222223</v>
      </c>
      <c r="X5" s="2"/>
      <c r="Y5" s="3"/>
      <c r="AC5" s="16">
        <f t="shared" si="2"/>
        <v>7.1999999999999993</v>
      </c>
      <c r="AD5" s="17">
        <f t="shared" si="3"/>
        <v>0.15286049999999998</v>
      </c>
      <c r="AE5" s="3">
        <f>8.45*20.1</f>
        <v>169.845</v>
      </c>
      <c r="AL5" s="1">
        <v>8.9999999999999998E-4</v>
      </c>
      <c r="AM5" s="6">
        <v>0.04</v>
      </c>
      <c r="AN5" t="s">
        <v>114</v>
      </c>
    </row>
    <row r="6" spans="2:40">
      <c r="B6" t="s">
        <v>115</v>
      </c>
      <c r="C6" t="s">
        <v>116</v>
      </c>
      <c r="D6" s="9" t="s">
        <v>104</v>
      </c>
      <c r="E6" s="12">
        <v>2355209</v>
      </c>
      <c r="F6">
        <v>1990</v>
      </c>
      <c r="G6">
        <v>1</v>
      </c>
      <c r="H6">
        <v>1</v>
      </c>
      <c r="I6">
        <v>1</v>
      </c>
      <c r="J6">
        <v>1</v>
      </c>
      <c r="K6">
        <v>1</v>
      </c>
      <c r="L6" t="s">
        <v>138</v>
      </c>
      <c r="M6" s="14">
        <f t="shared" si="0"/>
        <v>8.0137583333333342E-3</v>
      </c>
      <c r="S6" t="s">
        <v>100</v>
      </c>
      <c r="T6">
        <v>6</v>
      </c>
      <c r="V6" s="2">
        <f>0.5*10/36</f>
        <v>0.1388888888888889</v>
      </c>
      <c r="W6" s="15">
        <f t="shared" si="1"/>
        <v>7.7160493827160499</v>
      </c>
      <c r="X6" s="2"/>
      <c r="Y6" s="3"/>
      <c r="AC6" s="16">
        <f t="shared" si="2"/>
        <v>7.1999999999999993</v>
      </c>
      <c r="AD6" s="17">
        <f t="shared" si="3"/>
        <v>5.7699060000000003E-2</v>
      </c>
      <c r="AE6" s="3">
        <f>4.63*20.1</f>
        <v>93.063000000000002</v>
      </c>
      <c r="AL6" s="1">
        <v>6.2E-4</v>
      </c>
      <c r="AM6" s="6">
        <v>1.7999999999999999E-2</v>
      </c>
      <c r="AN6" t="s">
        <v>117</v>
      </c>
    </row>
    <row r="7" spans="2:40">
      <c r="B7" t="s">
        <v>120</v>
      </c>
      <c r="C7" t="s">
        <v>119</v>
      </c>
      <c r="D7" s="9" t="s">
        <v>118</v>
      </c>
      <c r="E7" t="s">
        <v>140</v>
      </c>
      <c r="F7">
        <v>1994</v>
      </c>
      <c r="G7">
        <v>1</v>
      </c>
      <c r="H7">
        <v>1</v>
      </c>
      <c r="I7">
        <v>1</v>
      </c>
      <c r="J7">
        <v>1</v>
      </c>
      <c r="K7">
        <v>1</v>
      </c>
      <c r="L7" t="s">
        <v>138</v>
      </c>
      <c r="M7" s="14">
        <f t="shared" si="0"/>
        <v>4.1160700000000003E-4</v>
      </c>
      <c r="S7" t="s">
        <v>100</v>
      </c>
      <c r="T7">
        <v>6</v>
      </c>
      <c r="V7" s="2">
        <f>0.035</f>
        <v>3.5000000000000003E-2</v>
      </c>
      <c r="W7" s="15">
        <f t="shared" si="1"/>
        <v>3.5000000000000004</v>
      </c>
      <c r="X7" s="2"/>
      <c r="Y7" s="3"/>
      <c r="AC7" s="16">
        <f t="shared" si="2"/>
        <v>28.571428571428569</v>
      </c>
      <c r="AD7" s="17">
        <f t="shared" si="3"/>
        <v>1.17602E-2</v>
      </c>
      <c r="AE7" s="3">
        <v>254</v>
      </c>
      <c r="AL7" s="1">
        <v>4.6300000000000001E-5</v>
      </c>
      <c r="AM7" s="6">
        <v>0.01</v>
      </c>
      <c r="AN7" t="s">
        <v>121</v>
      </c>
    </row>
    <row r="8" spans="2:40">
      <c r="B8" t="s">
        <v>122</v>
      </c>
      <c r="C8" t="s">
        <v>123</v>
      </c>
      <c r="D8" s="9" t="s">
        <v>124</v>
      </c>
      <c r="E8" s="12">
        <v>8340729</v>
      </c>
      <c r="F8">
        <v>1993</v>
      </c>
      <c r="G8">
        <v>1</v>
      </c>
      <c r="H8">
        <v>1</v>
      </c>
      <c r="I8">
        <v>1</v>
      </c>
      <c r="J8">
        <v>1</v>
      </c>
      <c r="K8">
        <v>1</v>
      </c>
      <c r="L8" t="s">
        <v>138</v>
      </c>
      <c r="M8" s="14">
        <f t="shared" si="0"/>
        <v>4.0753925279999994E-3</v>
      </c>
      <c r="S8" t="s">
        <v>125</v>
      </c>
      <c r="T8">
        <v>0</v>
      </c>
      <c r="V8" s="2">
        <v>3.2399999999999998E-2</v>
      </c>
      <c r="W8" s="15">
        <f t="shared" si="1"/>
        <v>3.2399999999999998</v>
      </c>
      <c r="X8" s="2">
        <v>5.5399999999999998E-2</v>
      </c>
      <c r="Y8" s="15">
        <f>X8/AM8</f>
        <v>5.54</v>
      </c>
      <c r="AC8" s="16">
        <f t="shared" si="2"/>
        <v>30.8641975308642</v>
      </c>
      <c r="AD8" s="17">
        <f t="shared" si="3"/>
        <v>0.12578371999999999</v>
      </c>
      <c r="AE8" s="3">
        <v>2297</v>
      </c>
      <c r="AL8" s="1">
        <v>5.4759999999999997E-5</v>
      </c>
      <c r="AM8" s="6">
        <v>0.01</v>
      </c>
      <c r="AN8" t="s">
        <v>121</v>
      </c>
    </row>
    <row r="9" spans="2:40">
      <c r="B9" t="s">
        <v>126</v>
      </c>
      <c r="C9" t="s">
        <v>127</v>
      </c>
      <c r="D9" s="9" t="s">
        <v>128</v>
      </c>
      <c r="E9" t="s">
        <v>140</v>
      </c>
      <c r="F9">
        <v>1987</v>
      </c>
      <c r="G9">
        <v>1</v>
      </c>
      <c r="H9">
        <v>1</v>
      </c>
      <c r="I9">
        <v>1</v>
      </c>
      <c r="J9">
        <v>1</v>
      </c>
      <c r="K9">
        <v>1</v>
      </c>
      <c r="L9" t="s">
        <v>138</v>
      </c>
      <c r="M9" s="14">
        <f t="shared" si="0"/>
        <v>3.2983376400000001E-4</v>
      </c>
      <c r="S9" t="s">
        <v>100</v>
      </c>
      <c r="T9">
        <v>6</v>
      </c>
      <c r="V9" s="2">
        <v>5.1999999999999998E-2</v>
      </c>
      <c r="W9" s="15">
        <f t="shared" si="1"/>
        <v>5.1999999999999993</v>
      </c>
      <c r="X9" s="2"/>
      <c r="Y9" s="3"/>
      <c r="AC9" s="16">
        <f t="shared" si="2"/>
        <v>19.23076923076923</v>
      </c>
      <c r="AD9" s="17">
        <f t="shared" si="3"/>
        <v>6.3429570000000006E-3</v>
      </c>
      <c r="AE9" s="3">
        <f>10.05*20.1</f>
        <v>202.00500000000002</v>
      </c>
      <c r="AL9" s="1">
        <v>3.1399999999999998E-5</v>
      </c>
      <c r="AM9" s="6">
        <v>0.01</v>
      </c>
      <c r="AN9" t="s">
        <v>129</v>
      </c>
    </row>
    <row r="10" spans="2:40">
      <c r="B10" t="s">
        <v>130</v>
      </c>
      <c r="C10" t="s">
        <v>106</v>
      </c>
      <c r="D10" s="9" t="s">
        <v>131</v>
      </c>
      <c r="E10" s="12" t="s">
        <v>151</v>
      </c>
      <c r="F10">
        <v>1980</v>
      </c>
      <c r="G10">
        <v>1</v>
      </c>
      <c r="H10">
        <v>1</v>
      </c>
      <c r="I10">
        <v>1</v>
      </c>
      <c r="J10">
        <v>1</v>
      </c>
      <c r="K10">
        <v>1</v>
      </c>
      <c r="L10" t="s">
        <v>138</v>
      </c>
      <c r="M10" s="14">
        <f t="shared" si="0"/>
        <v>1.9909317499999999E-4</v>
      </c>
      <c r="S10" t="s">
        <v>100</v>
      </c>
      <c r="T10">
        <v>6</v>
      </c>
      <c r="V10" s="2">
        <v>2.3E-2</v>
      </c>
      <c r="W10" s="15">
        <f t="shared" si="1"/>
        <v>3.2857142857142856</v>
      </c>
      <c r="X10" s="2"/>
      <c r="Y10" s="3"/>
      <c r="AC10" s="16">
        <f t="shared" si="2"/>
        <v>43.478260869565219</v>
      </c>
      <c r="AD10" s="17">
        <f t="shared" si="3"/>
        <v>8.656225E-3</v>
      </c>
      <c r="AE10" s="3">
        <f>(1522.9+825.9+700.7+668.9+632.9+2181.7)/6</f>
        <v>1088.8333333333333</v>
      </c>
      <c r="AL10" s="1">
        <f>0.000001*(4.9+11)/2</f>
        <v>7.9500000000000001E-6</v>
      </c>
      <c r="AM10" s="6">
        <v>7.0000000000000001E-3</v>
      </c>
      <c r="AN10" t="s">
        <v>132</v>
      </c>
    </row>
    <row r="11" spans="2:40">
      <c r="B11" t="s">
        <v>133</v>
      </c>
      <c r="C11" t="s">
        <v>106</v>
      </c>
      <c r="D11" s="9" t="s">
        <v>134</v>
      </c>
      <c r="E11" s="12" t="s">
        <v>151</v>
      </c>
      <c r="F11">
        <v>1980</v>
      </c>
      <c r="G11">
        <v>1</v>
      </c>
      <c r="H11">
        <v>1</v>
      </c>
      <c r="I11">
        <v>1</v>
      </c>
      <c r="J11">
        <v>1</v>
      </c>
      <c r="K11">
        <v>1</v>
      </c>
      <c r="L11" t="s">
        <v>138</v>
      </c>
      <c r="M11" s="14">
        <f t="shared" si="0"/>
        <v>7.3345696666666667E-5</v>
      </c>
      <c r="S11" t="s">
        <v>100</v>
      </c>
      <c r="T11">
        <v>6</v>
      </c>
      <c r="V11" s="2">
        <v>2.3E-2</v>
      </c>
      <c r="W11" s="15">
        <f t="shared" si="1"/>
        <v>2.5555555555555558</v>
      </c>
      <c r="X11" s="2"/>
      <c r="Y11" s="3"/>
      <c r="AC11" s="16">
        <f t="shared" si="2"/>
        <v>43.478260869565219</v>
      </c>
      <c r="AD11" s="17">
        <f t="shared" si="3"/>
        <v>3.1889433333333337E-3</v>
      </c>
      <c r="AE11" s="3">
        <f>(686.1+726.7+601.1+729.2+743+719.1)/6</f>
        <v>700.86666666666679</v>
      </c>
      <c r="AL11" s="1">
        <f>0.000001*(3.1+6)/2</f>
        <v>4.5499999999999996E-6</v>
      </c>
      <c r="AM11" s="6">
        <v>8.9999999999999993E-3</v>
      </c>
      <c r="AN11" t="s">
        <v>135</v>
      </c>
    </row>
    <row r="12" spans="2:40">
      <c r="B12" t="s">
        <v>136</v>
      </c>
      <c r="C12" t="s">
        <v>106</v>
      </c>
      <c r="D12" s="9" t="s">
        <v>134</v>
      </c>
      <c r="E12" s="12" t="s">
        <v>151</v>
      </c>
      <c r="F12">
        <v>1980</v>
      </c>
      <c r="G12">
        <v>1</v>
      </c>
      <c r="H12">
        <v>1</v>
      </c>
      <c r="I12">
        <v>1</v>
      </c>
      <c r="J12">
        <v>1</v>
      </c>
      <c r="K12">
        <v>1</v>
      </c>
      <c r="L12" t="s">
        <v>138</v>
      </c>
      <c r="M12" s="14">
        <f t="shared" si="0"/>
        <v>6.1834499999999996E-4</v>
      </c>
      <c r="S12" t="s">
        <v>100</v>
      </c>
      <c r="T12">
        <v>6</v>
      </c>
      <c r="V12" s="2">
        <v>0.03</v>
      </c>
      <c r="W12" s="15">
        <f t="shared" si="1"/>
        <v>3.5294117647058818</v>
      </c>
      <c r="X12" s="2"/>
      <c r="Y12" s="3"/>
      <c r="AC12" s="16">
        <f t="shared" si="2"/>
        <v>33.333333333333336</v>
      </c>
      <c r="AD12" s="17">
        <f t="shared" si="3"/>
        <v>2.0611499999999998E-2</v>
      </c>
      <c r="AE12" s="3">
        <f>(887.2+683.2)/2</f>
        <v>785.2</v>
      </c>
      <c r="AL12" s="1">
        <f>0.000001*(16.2+36.3)/2</f>
        <v>2.6249999999999998E-5</v>
      </c>
      <c r="AM12" s="6">
        <v>8.5000000000000006E-3</v>
      </c>
      <c r="AN12" t="s">
        <v>137</v>
      </c>
    </row>
  </sheetData>
  <mergeCells count="6">
    <mergeCell ref="AK1:AM1"/>
    <mergeCell ref="B1:F1"/>
    <mergeCell ref="G1:K1"/>
    <mergeCell ref="L1:N1"/>
    <mergeCell ref="S1:AF1"/>
    <mergeCell ref="AG1:AJ1"/>
  </mergeCells>
  <hyperlinks>
    <hyperlink ref="D3" r:id="rId1"/>
    <hyperlink ref="D4" r:id="rId2"/>
    <hyperlink ref="D5" r:id="rId3"/>
    <hyperlink ref="D6" r:id="rId4"/>
    <hyperlink ref="D7" r:id="rId5"/>
    <hyperlink ref="D8" r:id="rId6"/>
    <hyperlink ref="D9" r:id="rId7"/>
    <hyperlink ref="D10" r:id="rId8"/>
    <hyperlink ref="D11" r:id="rId9"/>
    <hyperlink ref="D12" r:id="rId10"/>
  </hyperlinks>
  <pageMargins left="0.75" right="0.75" top="1" bottom="1" header="0.5" footer="0.5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MilliRobots</vt:lpstr>
      <vt:lpstr>MilliBugs</vt:lpstr>
    </vt:vector>
  </TitlesOfParts>
  <Manager/>
  <Company>University of Maryland, College Park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MilliRobot and MilliBug Locomotion and Energetic Data</dc:title>
  <dc:subject/>
  <dc:creator>Sarah Bergbreiter</dc:creator>
  <cp:keywords/>
  <dc:description/>
  <cp:lastModifiedBy>Sarah Bergbreiter</cp:lastModifiedBy>
  <dcterms:created xsi:type="dcterms:W3CDTF">2013-10-19T19:07:08Z</dcterms:created>
  <dcterms:modified xsi:type="dcterms:W3CDTF">2014-08-04T18:53:07Z</dcterms:modified>
  <cp:category/>
</cp:coreProperties>
</file>