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200" yWindow="-40" windowWidth="34400" windowHeight="21720" tabRatio="500"/>
  </bookViews>
  <sheets>
    <sheet name="annoTimmAct-mzBcellvsGC-Bcell-u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454" i="1"/>
  <c r="I454"/>
  <c r="H454"/>
  <c r="G454"/>
  <c r="F454"/>
  <c r="E454"/>
  <c r="H453"/>
  <c r="G453"/>
  <c r="F453"/>
  <c r="E453"/>
  <c r="H452"/>
  <c r="G452"/>
  <c r="F452"/>
  <c r="E452"/>
  <c r="J451"/>
  <c r="I451"/>
  <c r="H451"/>
  <c r="G451"/>
  <c r="F451"/>
  <c r="E451"/>
  <c r="J450"/>
  <c r="I450"/>
  <c r="H450"/>
  <c r="G450"/>
  <c r="F450"/>
  <c r="E450"/>
  <c r="H449"/>
  <c r="G449"/>
  <c r="F449"/>
  <c r="E449"/>
  <c r="J448"/>
  <c r="I448"/>
  <c r="H448"/>
  <c r="G448"/>
  <c r="F448"/>
  <c r="E448"/>
  <c r="G447"/>
  <c r="F447"/>
  <c r="E447"/>
  <c r="G446"/>
  <c r="F446"/>
  <c r="E446"/>
  <c r="J445"/>
  <c r="I445"/>
  <c r="H445"/>
  <c r="G445"/>
  <c r="F445"/>
  <c r="E445"/>
  <c r="J444"/>
  <c r="I444"/>
  <c r="H444"/>
  <c r="G444"/>
  <c r="F444"/>
  <c r="E444"/>
  <c r="J443"/>
  <c r="I443"/>
  <c r="H443"/>
  <c r="G443"/>
  <c r="F443"/>
  <c r="E443"/>
  <c r="J442"/>
  <c r="I442"/>
  <c r="H442"/>
  <c r="G442"/>
  <c r="F442"/>
  <c r="E442"/>
  <c r="J441"/>
  <c r="I441"/>
  <c r="H441"/>
  <c r="G441"/>
  <c r="F441"/>
  <c r="E441"/>
  <c r="J440"/>
  <c r="I440"/>
  <c r="H440"/>
  <c r="G440"/>
  <c r="F440"/>
  <c r="E440"/>
  <c r="J439"/>
  <c r="I439"/>
  <c r="H439"/>
  <c r="G439"/>
  <c r="F439"/>
  <c r="E439"/>
  <c r="J438"/>
  <c r="I438"/>
  <c r="H438"/>
  <c r="G438"/>
  <c r="F438"/>
  <c r="E438"/>
  <c r="J437"/>
  <c r="I437"/>
  <c r="H437"/>
  <c r="G437"/>
  <c r="F437"/>
  <c r="E437"/>
  <c r="J436"/>
  <c r="I436"/>
  <c r="H436"/>
  <c r="G436"/>
  <c r="F436"/>
  <c r="E436"/>
  <c r="J435"/>
  <c r="I435"/>
  <c r="H435"/>
  <c r="G435"/>
  <c r="F435"/>
  <c r="E435"/>
  <c r="G434"/>
  <c r="F434"/>
  <c r="E434"/>
  <c r="J433"/>
  <c r="I433"/>
  <c r="H433"/>
  <c r="G433"/>
  <c r="F433"/>
  <c r="E433"/>
  <c r="J432"/>
  <c r="I432"/>
  <c r="H432"/>
  <c r="G432"/>
  <c r="F432"/>
  <c r="E432"/>
  <c r="J431"/>
  <c r="I431"/>
  <c r="H431"/>
  <c r="G431"/>
  <c r="F431"/>
  <c r="E431"/>
  <c r="H430"/>
  <c r="G430"/>
  <c r="F430"/>
  <c r="E430"/>
  <c r="J429"/>
  <c r="I429"/>
  <c r="H429"/>
  <c r="G429"/>
  <c r="F429"/>
  <c r="E429"/>
  <c r="H428"/>
  <c r="G428"/>
  <c r="F428"/>
  <c r="E428"/>
  <c r="J427"/>
  <c r="I427"/>
  <c r="H427"/>
  <c r="G427"/>
  <c r="F427"/>
  <c r="E427"/>
  <c r="H426"/>
  <c r="G426"/>
  <c r="F426"/>
  <c r="E426"/>
  <c r="J425"/>
  <c r="I425"/>
  <c r="H425"/>
  <c r="G425"/>
  <c r="F425"/>
  <c r="E425"/>
  <c r="J424"/>
  <c r="I424"/>
  <c r="H424"/>
  <c r="G424"/>
  <c r="F424"/>
  <c r="E424"/>
  <c r="J423"/>
  <c r="I423"/>
  <c r="H423"/>
  <c r="G423"/>
  <c r="F423"/>
  <c r="E423"/>
  <c r="H422"/>
  <c r="G422"/>
  <c r="F422"/>
  <c r="E422"/>
  <c r="J421"/>
  <c r="I421"/>
  <c r="H421"/>
  <c r="G421"/>
  <c r="F421"/>
  <c r="E421"/>
  <c r="J420"/>
  <c r="I420"/>
  <c r="H420"/>
  <c r="G420"/>
  <c r="F420"/>
  <c r="E420"/>
  <c r="J419"/>
  <c r="I419"/>
  <c r="H419"/>
  <c r="G419"/>
  <c r="F419"/>
  <c r="E419"/>
  <c r="J418"/>
  <c r="I418"/>
  <c r="H418"/>
  <c r="G418"/>
  <c r="F418"/>
  <c r="E418"/>
  <c r="H417"/>
  <c r="G417"/>
  <c r="F417"/>
  <c r="E417"/>
  <c r="H416"/>
  <c r="G416"/>
  <c r="F416"/>
  <c r="E416"/>
  <c r="J415"/>
  <c r="I415"/>
  <c r="H415"/>
  <c r="G415"/>
  <c r="F415"/>
  <c r="E415"/>
  <c r="J414"/>
  <c r="I414"/>
  <c r="H414"/>
  <c r="G414"/>
  <c r="F414"/>
  <c r="E414"/>
  <c r="G413"/>
  <c r="F413"/>
  <c r="E413"/>
  <c r="J412"/>
  <c r="I412"/>
  <c r="H412"/>
  <c r="G412"/>
  <c r="F412"/>
  <c r="E412"/>
  <c r="H411"/>
  <c r="G411"/>
  <c r="F411"/>
  <c r="E411"/>
  <c r="J410"/>
  <c r="I410"/>
  <c r="H410"/>
  <c r="G410"/>
  <c r="F410"/>
  <c r="E410"/>
  <c r="H409"/>
  <c r="G409"/>
  <c r="F409"/>
  <c r="E409"/>
  <c r="J408"/>
  <c r="I408"/>
  <c r="H408"/>
  <c r="G408"/>
  <c r="F408"/>
  <c r="E408"/>
  <c r="H407"/>
  <c r="G407"/>
  <c r="F407"/>
  <c r="E407"/>
  <c r="H406"/>
  <c r="G406"/>
  <c r="F406"/>
  <c r="E406"/>
  <c r="G405"/>
  <c r="F405"/>
  <c r="E405"/>
  <c r="J404"/>
  <c r="I404"/>
  <c r="H404"/>
  <c r="G404"/>
  <c r="F404"/>
  <c r="E404"/>
  <c r="J403"/>
  <c r="I403"/>
  <c r="H403"/>
  <c r="G403"/>
  <c r="F403"/>
  <c r="E403"/>
  <c r="J402"/>
  <c r="I402"/>
  <c r="H402"/>
  <c r="G402"/>
  <c r="F402"/>
  <c r="E402"/>
  <c r="G401"/>
  <c r="F401"/>
  <c r="E401"/>
  <c r="H400"/>
  <c r="G400"/>
  <c r="F400"/>
  <c r="E400"/>
  <c r="J399"/>
  <c r="I399"/>
  <c r="H399"/>
  <c r="G399"/>
  <c r="F399"/>
  <c r="E399"/>
  <c r="J398"/>
  <c r="I398"/>
  <c r="H398"/>
  <c r="G398"/>
  <c r="F398"/>
  <c r="E398"/>
  <c r="J397"/>
  <c r="I397"/>
  <c r="H397"/>
  <c r="G397"/>
  <c r="F397"/>
  <c r="E397"/>
  <c r="J396"/>
  <c r="I396"/>
  <c r="H396"/>
  <c r="G396"/>
  <c r="F396"/>
  <c r="E396"/>
  <c r="H395"/>
  <c r="G395"/>
  <c r="F395"/>
  <c r="E395"/>
  <c r="H394"/>
  <c r="G394"/>
  <c r="F394"/>
  <c r="E394"/>
  <c r="J393"/>
  <c r="I393"/>
  <c r="H393"/>
  <c r="G393"/>
  <c r="F393"/>
  <c r="E393"/>
  <c r="G392"/>
  <c r="F392"/>
  <c r="E392"/>
  <c r="J391"/>
  <c r="I391"/>
  <c r="H391"/>
  <c r="G391"/>
  <c r="F391"/>
  <c r="E391"/>
  <c r="G390"/>
  <c r="F390"/>
  <c r="E390"/>
  <c r="J389"/>
  <c r="I389"/>
  <c r="H389"/>
  <c r="G389"/>
  <c r="F389"/>
  <c r="E389"/>
  <c r="H388"/>
  <c r="G388"/>
  <c r="F388"/>
  <c r="E388"/>
  <c r="J387"/>
  <c r="I387"/>
  <c r="H387"/>
  <c r="G387"/>
  <c r="F387"/>
  <c r="E387"/>
  <c r="J386"/>
  <c r="I386"/>
  <c r="H386"/>
  <c r="G386"/>
  <c r="F386"/>
  <c r="E386"/>
  <c r="J385"/>
  <c r="I385"/>
  <c r="H385"/>
  <c r="G385"/>
  <c r="F385"/>
  <c r="E385"/>
  <c r="J384"/>
  <c r="I384"/>
  <c r="H384"/>
  <c r="G384"/>
  <c r="F384"/>
  <c r="E384"/>
  <c r="G383"/>
  <c r="F383"/>
  <c r="E383"/>
  <c r="J382"/>
  <c r="I382"/>
  <c r="H382"/>
  <c r="G382"/>
  <c r="F382"/>
  <c r="E382"/>
  <c r="G381"/>
  <c r="F381"/>
  <c r="E381"/>
  <c r="J380"/>
  <c r="I380"/>
  <c r="H380"/>
  <c r="G380"/>
  <c r="F380"/>
  <c r="E380"/>
  <c r="J379"/>
  <c r="I379"/>
  <c r="H379"/>
  <c r="G379"/>
  <c r="F379"/>
  <c r="E379"/>
  <c r="J378"/>
  <c r="I378"/>
  <c r="H378"/>
  <c r="G378"/>
  <c r="F378"/>
  <c r="E378"/>
  <c r="J377"/>
  <c r="I377"/>
  <c r="H377"/>
  <c r="G377"/>
  <c r="F377"/>
  <c r="E377"/>
  <c r="J376"/>
  <c r="I376"/>
  <c r="H376"/>
  <c r="G376"/>
  <c r="F376"/>
  <c r="E376"/>
  <c r="J375"/>
  <c r="I375"/>
  <c r="H375"/>
  <c r="G375"/>
  <c r="F375"/>
  <c r="E375"/>
  <c r="J374"/>
  <c r="I374"/>
  <c r="H374"/>
  <c r="G374"/>
  <c r="F374"/>
  <c r="E374"/>
  <c r="J373"/>
  <c r="I373"/>
  <c r="H373"/>
  <c r="G373"/>
  <c r="F373"/>
  <c r="E373"/>
  <c r="J372"/>
  <c r="I372"/>
  <c r="H372"/>
  <c r="G372"/>
  <c r="F372"/>
  <c r="E372"/>
  <c r="J371"/>
  <c r="I371"/>
  <c r="H371"/>
  <c r="G371"/>
  <c r="F371"/>
  <c r="E371"/>
  <c r="J370"/>
  <c r="I370"/>
  <c r="H370"/>
  <c r="G370"/>
  <c r="F370"/>
  <c r="E370"/>
  <c r="J369"/>
  <c r="I369"/>
  <c r="H369"/>
  <c r="G369"/>
  <c r="F369"/>
  <c r="E369"/>
  <c r="J368"/>
  <c r="I368"/>
  <c r="H368"/>
  <c r="G368"/>
  <c r="F368"/>
  <c r="E368"/>
  <c r="J367"/>
  <c r="I367"/>
  <c r="H367"/>
  <c r="G367"/>
  <c r="F367"/>
  <c r="E367"/>
  <c r="J366"/>
  <c r="I366"/>
  <c r="H366"/>
  <c r="G366"/>
  <c r="F366"/>
  <c r="E366"/>
  <c r="J365"/>
  <c r="I365"/>
  <c r="H365"/>
  <c r="G365"/>
  <c r="F365"/>
  <c r="E365"/>
  <c r="J364"/>
  <c r="I364"/>
  <c r="H364"/>
  <c r="G364"/>
  <c r="F364"/>
  <c r="E364"/>
  <c r="J363"/>
  <c r="I363"/>
  <c r="H363"/>
  <c r="G363"/>
  <c r="F363"/>
  <c r="E363"/>
  <c r="J362"/>
  <c r="I362"/>
  <c r="H362"/>
  <c r="G362"/>
  <c r="F362"/>
  <c r="E362"/>
  <c r="J361"/>
  <c r="I361"/>
  <c r="H361"/>
  <c r="G361"/>
  <c r="F361"/>
  <c r="E361"/>
  <c r="G360"/>
  <c r="F360"/>
  <c r="E360"/>
  <c r="J359"/>
  <c r="I359"/>
  <c r="H359"/>
  <c r="G359"/>
  <c r="F359"/>
  <c r="E359"/>
  <c r="J358"/>
  <c r="I358"/>
  <c r="H358"/>
  <c r="G358"/>
  <c r="F358"/>
  <c r="E358"/>
  <c r="J357"/>
  <c r="I357"/>
  <c r="H357"/>
  <c r="G357"/>
  <c r="F357"/>
  <c r="E357"/>
  <c r="J356"/>
  <c r="I356"/>
  <c r="H356"/>
  <c r="G356"/>
  <c r="F356"/>
  <c r="E356"/>
  <c r="J355"/>
  <c r="I355"/>
  <c r="H355"/>
  <c r="G355"/>
  <c r="F355"/>
  <c r="E355"/>
  <c r="H354"/>
  <c r="G354"/>
  <c r="F354"/>
  <c r="E354"/>
  <c r="H353"/>
  <c r="G353"/>
  <c r="F353"/>
  <c r="E353"/>
  <c r="J352"/>
  <c r="I352"/>
  <c r="H352"/>
  <c r="G352"/>
  <c r="F352"/>
  <c r="E352"/>
  <c r="J351"/>
  <c r="I351"/>
  <c r="H351"/>
  <c r="G351"/>
  <c r="F351"/>
  <c r="E351"/>
  <c r="J350"/>
  <c r="I350"/>
  <c r="H350"/>
  <c r="G350"/>
  <c r="F350"/>
  <c r="E350"/>
  <c r="J349"/>
  <c r="I349"/>
  <c r="H349"/>
  <c r="G349"/>
  <c r="F349"/>
  <c r="E349"/>
  <c r="H348"/>
  <c r="G348"/>
  <c r="F348"/>
  <c r="E348"/>
  <c r="H347"/>
  <c r="G347"/>
  <c r="F347"/>
  <c r="E347"/>
  <c r="H346"/>
  <c r="G346"/>
  <c r="F346"/>
  <c r="E346"/>
  <c r="J345"/>
  <c r="I345"/>
  <c r="H345"/>
  <c r="G345"/>
  <c r="F345"/>
  <c r="E345"/>
  <c r="J344"/>
  <c r="I344"/>
  <c r="H344"/>
  <c r="G344"/>
  <c r="F344"/>
  <c r="E344"/>
  <c r="J343"/>
  <c r="I343"/>
  <c r="H343"/>
  <c r="G343"/>
  <c r="F343"/>
  <c r="E343"/>
  <c r="J342"/>
  <c r="I342"/>
  <c r="H342"/>
  <c r="G342"/>
  <c r="F342"/>
  <c r="E342"/>
  <c r="J341"/>
  <c r="I341"/>
  <c r="H341"/>
  <c r="G341"/>
  <c r="F341"/>
  <c r="E341"/>
  <c r="H340"/>
  <c r="G340"/>
  <c r="F340"/>
  <c r="E340"/>
  <c r="J339"/>
  <c r="I339"/>
  <c r="H339"/>
  <c r="G339"/>
  <c r="F339"/>
  <c r="E339"/>
  <c r="J338"/>
  <c r="I338"/>
  <c r="H338"/>
  <c r="G338"/>
  <c r="F338"/>
  <c r="E338"/>
  <c r="J337"/>
  <c r="I337"/>
  <c r="H337"/>
  <c r="G337"/>
  <c r="F337"/>
  <c r="E337"/>
  <c r="H336"/>
  <c r="G336"/>
  <c r="F336"/>
  <c r="E336"/>
  <c r="J335"/>
  <c r="I335"/>
  <c r="H335"/>
  <c r="G335"/>
  <c r="F335"/>
  <c r="E335"/>
  <c r="J334"/>
  <c r="I334"/>
  <c r="H334"/>
  <c r="G334"/>
  <c r="F334"/>
  <c r="E334"/>
  <c r="H333"/>
  <c r="G333"/>
  <c r="F333"/>
  <c r="E333"/>
  <c r="J332"/>
  <c r="I332"/>
  <c r="H332"/>
  <c r="G332"/>
  <c r="F332"/>
  <c r="E332"/>
  <c r="H331"/>
  <c r="G331"/>
  <c r="F331"/>
  <c r="E331"/>
  <c r="J330"/>
  <c r="I330"/>
  <c r="H330"/>
  <c r="G330"/>
  <c r="F330"/>
  <c r="E330"/>
  <c r="J329"/>
  <c r="I329"/>
  <c r="H329"/>
  <c r="G329"/>
  <c r="F329"/>
  <c r="E329"/>
  <c r="J328"/>
  <c r="I328"/>
  <c r="H328"/>
  <c r="G328"/>
  <c r="F328"/>
  <c r="E328"/>
  <c r="H327"/>
  <c r="G327"/>
  <c r="F327"/>
  <c r="E327"/>
  <c r="J326"/>
  <c r="I326"/>
  <c r="H326"/>
  <c r="G326"/>
  <c r="F326"/>
  <c r="E326"/>
  <c r="J325"/>
  <c r="I325"/>
  <c r="H325"/>
  <c r="G325"/>
  <c r="F325"/>
  <c r="E325"/>
  <c r="J324"/>
  <c r="I324"/>
  <c r="H324"/>
  <c r="G324"/>
  <c r="F324"/>
  <c r="E324"/>
  <c r="G323"/>
  <c r="F323"/>
  <c r="E323"/>
  <c r="J322"/>
  <c r="I322"/>
  <c r="H322"/>
  <c r="G322"/>
  <c r="F322"/>
  <c r="E322"/>
  <c r="J321"/>
  <c r="I321"/>
  <c r="H321"/>
  <c r="G321"/>
  <c r="F321"/>
  <c r="E321"/>
  <c r="J320"/>
  <c r="I320"/>
  <c r="H320"/>
  <c r="G320"/>
  <c r="F320"/>
  <c r="E320"/>
  <c r="J319"/>
  <c r="I319"/>
  <c r="H319"/>
  <c r="G319"/>
  <c r="F319"/>
  <c r="E319"/>
  <c r="H318"/>
  <c r="G318"/>
  <c r="F318"/>
  <c r="E318"/>
  <c r="J317"/>
  <c r="I317"/>
  <c r="H317"/>
  <c r="G317"/>
  <c r="F317"/>
  <c r="E317"/>
  <c r="J316"/>
  <c r="I316"/>
  <c r="H316"/>
  <c r="G316"/>
  <c r="F316"/>
  <c r="E316"/>
  <c r="H315"/>
  <c r="G315"/>
  <c r="F315"/>
  <c r="E315"/>
  <c r="J314"/>
  <c r="I314"/>
  <c r="H314"/>
  <c r="G314"/>
  <c r="F314"/>
  <c r="E314"/>
  <c r="J313"/>
  <c r="I313"/>
  <c r="H313"/>
  <c r="G313"/>
  <c r="F313"/>
  <c r="E313"/>
  <c r="J312"/>
  <c r="I312"/>
  <c r="H312"/>
  <c r="G312"/>
  <c r="F312"/>
  <c r="E312"/>
  <c r="J311"/>
  <c r="I311"/>
  <c r="H311"/>
  <c r="G311"/>
  <c r="F311"/>
  <c r="E311"/>
  <c r="H310"/>
  <c r="G310"/>
  <c r="F310"/>
  <c r="E310"/>
  <c r="H309"/>
  <c r="G309"/>
  <c r="F309"/>
  <c r="E309"/>
  <c r="J308"/>
  <c r="I308"/>
  <c r="H308"/>
  <c r="G308"/>
  <c r="F308"/>
  <c r="E308"/>
  <c r="J307"/>
  <c r="I307"/>
  <c r="H307"/>
  <c r="G307"/>
  <c r="F307"/>
  <c r="E307"/>
  <c r="J306"/>
  <c r="I306"/>
  <c r="H306"/>
  <c r="G306"/>
  <c r="F306"/>
  <c r="E306"/>
  <c r="J305"/>
  <c r="I305"/>
  <c r="H305"/>
  <c r="G305"/>
  <c r="F305"/>
  <c r="E305"/>
  <c r="J304"/>
  <c r="I304"/>
  <c r="H304"/>
  <c r="G304"/>
  <c r="F304"/>
  <c r="E304"/>
  <c r="H303"/>
  <c r="G303"/>
  <c r="F303"/>
  <c r="E303"/>
  <c r="J302"/>
  <c r="I302"/>
  <c r="H302"/>
  <c r="G302"/>
  <c r="F302"/>
  <c r="E302"/>
  <c r="H301"/>
  <c r="G301"/>
  <c r="F301"/>
  <c r="E301"/>
  <c r="J300"/>
  <c r="I300"/>
  <c r="H300"/>
  <c r="G300"/>
  <c r="F300"/>
  <c r="E300"/>
  <c r="J299"/>
  <c r="I299"/>
  <c r="H299"/>
  <c r="G299"/>
  <c r="F299"/>
  <c r="E299"/>
  <c r="H298"/>
  <c r="G298"/>
  <c r="F298"/>
  <c r="E298"/>
  <c r="H297"/>
  <c r="G297"/>
  <c r="F297"/>
  <c r="E297"/>
  <c r="H296"/>
  <c r="G296"/>
  <c r="F296"/>
  <c r="E296"/>
  <c r="J295"/>
  <c r="I295"/>
  <c r="H295"/>
  <c r="G295"/>
  <c r="F295"/>
  <c r="E295"/>
  <c r="H294"/>
  <c r="G294"/>
  <c r="F294"/>
  <c r="E294"/>
  <c r="J293"/>
  <c r="I293"/>
  <c r="H293"/>
  <c r="G293"/>
  <c r="F293"/>
  <c r="E293"/>
  <c r="H292"/>
  <c r="G292"/>
  <c r="F292"/>
  <c r="E292"/>
  <c r="J291"/>
  <c r="I291"/>
  <c r="H291"/>
  <c r="G291"/>
  <c r="F291"/>
  <c r="E291"/>
  <c r="J290"/>
  <c r="I290"/>
  <c r="H290"/>
  <c r="G290"/>
  <c r="F290"/>
  <c r="E290"/>
  <c r="J289"/>
  <c r="I289"/>
  <c r="H289"/>
  <c r="G289"/>
  <c r="F289"/>
  <c r="E289"/>
  <c r="J288"/>
  <c r="I288"/>
  <c r="H288"/>
  <c r="G288"/>
  <c r="F288"/>
  <c r="E288"/>
  <c r="G287"/>
  <c r="F287"/>
  <c r="E287"/>
  <c r="H286"/>
  <c r="G286"/>
  <c r="F286"/>
  <c r="E286"/>
  <c r="J285"/>
  <c r="I285"/>
  <c r="H285"/>
  <c r="G285"/>
  <c r="F285"/>
  <c r="E285"/>
  <c r="J284"/>
  <c r="I284"/>
  <c r="H284"/>
  <c r="G284"/>
  <c r="F284"/>
  <c r="E284"/>
  <c r="J283"/>
  <c r="I283"/>
  <c r="H283"/>
  <c r="G283"/>
  <c r="F283"/>
  <c r="E283"/>
  <c r="H282"/>
  <c r="G282"/>
  <c r="F282"/>
  <c r="E282"/>
  <c r="G281"/>
  <c r="F281"/>
  <c r="E281"/>
  <c r="J280"/>
  <c r="I280"/>
  <c r="H280"/>
  <c r="G280"/>
  <c r="F280"/>
  <c r="E280"/>
  <c r="H279"/>
  <c r="G279"/>
  <c r="F279"/>
  <c r="E279"/>
  <c r="J278"/>
  <c r="I278"/>
  <c r="H278"/>
  <c r="G278"/>
  <c r="F278"/>
  <c r="E278"/>
  <c r="H277"/>
  <c r="G277"/>
  <c r="F277"/>
  <c r="E277"/>
  <c r="J276"/>
  <c r="I276"/>
  <c r="H276"/>
  <c r="G276"/>
  <c r="F276"/>
  <c r="E276"/>
  <c r="J275"/>
  <c r="I275"/>
  <c r="H275"/>
  <c r="G275"/>
  <c r="F275"/>
  <c r="E275"/>
  <c r="J274"/>
  <c r="I274"/>
  <c r="H274"/>
  <c r="G274"/>
  <c r="F274"/>
  <c r="E274"/>
  <c r="J273"/>
  <c r="I273"/>
  <c r="H273"/>
  <c r="G273"/>
  <c r="F273"/>
  <c r="E273"/>
  <c r="G272"/>
  <c r="F272"/>
  <c r="E272"/>
  <c r="J271"/>
  <c r="I271"/>
  <c r="H271"/>
  <c r="G271"/>
  <c r="F271"/>
  <c r="E271"/>
  <c r="J270"/>
  <c r="I270"/>
  <c r="H270"/>
  <c r="G270"/>
  <c r="F270"/>
  <c r="E270"/>
  <c r="J269"/>
  <c r="I269"/>
  <c r="H269"/>
  <c r="G269"/>
  <c r="F269"/>
  <c r="E269"/>
  <c r="J268"/>
  <c r="I268"/>
  <c r="H268"/>
  <c r="G268"/>
  <c r="F268"/>
  <c r="E268"/>
  <c r="J267"/>
  <c r="I267"/>
  <c r="H267"/>
  <c r="G267"/>
  <c r="F267"/>
  <c r="E267"/>
  <c r="J266"/>
  <c r="I266"/>
  <c r="H266"/>
  <c r="G266"/>
  <c r="F266"/>
  <c r="E266"/>
  <c r="J265"/>
  <c r="I265"/>
  <c r="H265"/>
  <c r="G265"/>
  <c r="F265"/>
  <c r="E265"/>
  <c r="H264"/>
  <c r="G264"/>
  <c r="F264"/>
  <c r="E264"/>
  <c r="J263"/>
  <c r="I263"/>
  <c r="H263"/>
  <c r="G263"/>
  <c r="F263"/>
  <c r="E263"/>
  <c r="J262"/>
  <c r="I262"/>
  <c r="H262"/>
  <c r="G262"/>
  <c r="F262"/>
  <c r="E262"/>
  <c r="G261"/>
  <c r="F261"/>
  <c r="E261"/>
  <c r="G260"/>
  <c r="F260"/>
  <c r="E260"/>
  <c r="J259"/>
  <c r="I259"/>
  <c r="H259"/>
  <c r="G259"/>
  <c r="F259"/>
  <c r="E259"/>
  <c r="H258"/>
  <c r="G258"/>
  <c r="F258"/>
  <c r="E258"/>
  <c r="J257"/>
  <c r="I257"/>
  <c r="H257"/>
  <c r="G257"/>
  <c r="F257"/>
  <c r="E257"/>
  <c r="H256"/>
  <c r="G256"/>
  <c r="F256"/>
  <c r="E256"/>
  <c r="J255"/>
  <c r="I255"/>
  <c r="H255"/>
  <c r="G255"/>
  <c r="F255"/>
  <c r="E255"/>
  <c r="H254"/>
  <c r="G254"/>
  <c r="F254"/>
  <c r="E254"/>
  <c r="J253"/>
  <c r="I253"/>
  <c r="H253"/>
  <c r="G253"/>
  <c r="F253"/>
  <c r="E253"/>
  <c r="J252"/>
  <c r="I252"/>
  <c r="H252"/>
  <c r="G252"/>
  <c r="F252"/>
  <c r="E252"/>
  <c r="J251"/>
  <c r="I251"/>
  <c r="H251"/>
  <c r="G251"/>
  <c r="F251"/>
  <c r="E251"/>
  <c r="J250"/>
  <c r="I250"/>
  <c r="H250"/>
  <c r="G250"/>
  <c r="F250"/>
  <c r="E250"/>
  <c r="J249"/>
  <c r="I249"/>
  <c r="H249"/>
  <c r="G249"/>
  <c r="F249"/>
  <c r="E249"/>
  <c r="J248"/>
  <c r="I248"/>
  <c r="H248"/>
  <c r="G248"/>
  <c r="F248"/>
  <c r="E248"/>
  <c r="H247"/>
  <c r="G247"/>
  <c r="F247"/>
  <c r="E247"/>
  <c r="J246"/>
  <c r="I246"/>
  <c r="H246"/>
  <c r="G246"/>
  <c r="F246"/>
  <c r="E246"/>
  <c r="J245"/>
  <c r="I245"/>
  <c r="H245"/>
  <c r="G245"/>
  <c r="F245"/>
  <c r="E245"/>
  <c r="J244"/>
  <c r="I244"/>
  <c r="H244"/>
  <c r="G244"/>
  <c r="F244"/>
  <c r="E244"/>
  <c r="J243"/>
  <c r="I243"/>
  <c r="H243"/>
  <c r="G243"/>
  <c r="F243"/>
  <c r="E243"/>
  <c r="H242"/>
  <c r="G242"/>
  <c r="F242"/>
  <c r="E242"/>
  <c r="J241"/>
  <c r="I241"/>
  <c r="H241"/>
  <c r="G241"/>
  <c r="F241"/>
  <c r="E241"/>
  <c r="H240"/>
  <c r="G240"/>
  <c r="F240"/>
  <c r="E240"/>
  <c r="J239"/>
  <c r="I239"/>
  <c r="H239"/>
  <c r="G239"/>
  <c r="F239"/>
  <c r="E239"/>
  <c r="J238"/>
  <c r="I238"/>
  <c r="H238"/>
  <c r="G238"/>
  <c r="F238"/>
  <c r="E238"/>
  <c r="H237"/>
  <c r="G237"/>
  <c r="F237"/>
  <c r="E237"/>
  <c r="H236"/>
  <c r="G236"/>
  <c r="F236"/>
  <c r="E236"/>
  <c r="H235"/>
  <c r="G235"/>
  <c r="F235"/>
  <c r="E235"/>
  <c r="J234"/>
  <c r="I234"/>
  <c r="H234"/>
  <c r="G234"/>
  <c r="F234"/>
  <c r="E234"/>
  <c r="J233"/>
  <c r="I233"/>
  <c r="H233"/>
  <c r="G233"/>
  <c r="F233"/>
  <c r="E233"/>
  <c r="J232"/>
  <c r="I232"/>
  <c r="H232"/>
  <c r="G232"/>
  <c r="F232"/>
  <c r="E232"/>
  <c r="G231"/>
  <c r="F231"/>
  <c r="E231"/>
  <c r="J230"/>
  <c r="I230"/>
  <c r="H230"/>
  <c r="G230"/>
  <c r="F230"/>
  <c r="E230"/>
  <c r="J229"/>
  <c r="I229"/>
  <c r="H229"/>
  <c r="G229"/>
  <c r="F229"/>
  <c r="E229"/>
  <c r="J228"/>
  <c r="I228"/>
  <c r="H228"/>
  <c r="G228"/>
  <c r="F228"/>
  <c r="E228"/>
  <c r="H227"/>
  <c r="G227"/>
  <c r="F227"/>
  <c r="E227"/>
  <c r="J226"/>
  <c r="I226"/>
  <c r="H226"/>
  <c r="G226"/>
  <c r="F226"/>
  <c r="E226"/>
  <c r="H225"/>
  <c r="G225"/>
  <c r="F225"/>
  <c r="E225"/>
  <c r="H224"/>
  <c r="G224"/>
  <c r="F224"/>
  <c r="E224"/>
  <c r="H223"/>
  <c r="G223"/>
  <c r="F223"/>
  <c r="E223"/>
  <c r="J222"/>
  <c r="I222"/>
  <c r="H222"/>
  <c r="G222"/>
  <c r="F222"/>
  <c r="E222"/>
  <c r="G221"/>
  <c r="F221"/>
  <c r="E221"/>
  <c r="J220"/>
  <c r="I220"/>
  <c r="H220"/>
  <c r="G220"/>
  <c r="F220"/>
  <c r="E220"/>
  <c r="J219"/>
  <c r="I219"/>
  <c r="H219"/>
  <c r="G219"/>
  <c r="F219"/>
  <c r="E219"/>
  <c r="J218"/>
  <c r="I218"/>
  <c r="H218"/>
  <c r="G218"/>
  <c r="F218"/>
  <c r="E218"/>
  <c r="J217"/>
  <c r="I217"/>
  <c r="H217"/>
  <c r="G217"/>
  <c r="F217"/>
  <c r="E217"/>
  <c r="H216"/>
  <c r="G216"/>
  <c r="F216"/>
  <c r="E216"/>
  <c r="J215"/>
  <c r="I215"/>
  <c r="H215"/>
  <c r="G215"/>
  <c r="F215"/>
  <c r="E215"/>
  <c r="H214"/>
  <c r="G214"/>
  <c r="F214"/>
  <c r="E214"/>
  <c r="J213"/>
  <c r="I213"/>
  <c r="H213"/>
  <c r="G213"/>
  <c r="F213"/>
  <c r="E213"/>
  <c r="J212"/>
  <c r="I212"/>
  <c r="H212"/>
  <c r="G212"/>
  <c r="F212"/>
  <c r="E212"/>
  <c r="J211"/>
  <c r="I211"/>
  <c r="H211"/>
  <c r="G211"/>
  <c r="F211"/>
  <c r="E211"/>
  <c r="H210"/>
  <c r="G210"/>
  <c r="F210"/>
  <c r="E210"/>
  <c r="J209"/>
  <c r="I209"/>
  <c r="H209"/>
  <c r="G209"/>
  <c r="F209"/>
  <c r="E209"/>
  <c r="H208"/>
  <c r="G208"/>
  <c r="F208"/>
  <c r="E208"/>
  <c r="J207"/>
  <c r="I207"/>
  <c r="H207"/>
  <c r="G207"/>
  <c r="F207"/>
  <c r="E207"/>
  <c r="J206"/>
  <c r="I206"/>
  <c r="H206"/>
  <c r="G206"/>
  <c r="F206"/>
  <c r="E206"/>
  <c r="G205"/>
  <c r="F205"/>
  <c r="E205"/>
  <c r="H204"/>
  <c r="G204"/>
  <c r="F204"/>
  <c r="E204"/>
  <c r="J203"/>
  <c r="I203"/>
  <c r="H203"/>
  <c r="G203"/>
  <c r="F203"/>
  <c r="E203"/>
  <c r="J202"/>
  <c r="I202"/>
  <c r="H202"/>
  <c r="G202"/>
  <c r="F202"/>
  <c r="E202"/>
  <c r="J201"/>
  <c r="I201"/>
  <c r="H201"/>
  <c r="G201"/>
  <c r="F201"/>
  <c r="E201"/>
  <c r="H200"/>
  <c r="G200"/>
  <c r="F200"/>
  <c r="E200"/>
  <c r="J199"/>
  <c r="I199"/>
  <c r="H199"/>
  <c r="G199"/>
  <c r="F199"/>
  <c r="E199"/>
  <c r="J198"/>
  <c r="I198"/>
  <c r="H198"/>
  <c r="G198"/>
  <c r="F198"/>
  <c r="E198"/>
  <c r="J197"/>
  <c r="I197"/>
  <c r="H197"/>
  <c r="G197"/>
  <c r="F197"/>
  <c r="E197"/>
  <c r="J196"/>
  <c r="I196"/>
  <c r="H196"/>
  <c r="G196"/>
  <c r="F196"/>
  <c r="E196"/>
  <c r="J195"/>
  <c r="I195"/>
  <c r="H195"/>
  <c r="G195"/>
  <c r="F195"/>
  <c r="E195"/>
  <c r="J194"/>
  <c r="I194"/>
  <c r="H194"/>
  <c r="G194"/>
  <c r="F194"/>
  <c r="E194"/>
  <c r="H193"/>
  <c r="G193"/>
  <c r="F193"/>
  <c r="E193"/>
  <c r="H192"/>
  <c r="G192"/>
  <c r="F192"/>
  <c r="E192"/>
  <c r="J191"/>
  <c r="I191"/>
  <c r="H191"/>
  <c r="G191"/>
  <c r="F191"/>
  <c r="E191"/>
  <c r="J190"/>
  <c r="I190"/>
  <c r="H190"/>
  <c r="G190"/>
  <c r="F190"/>
  <c r="E190"/>
  <c r="J189"/>
  <c r="I189"/>
  <c r="H189"/>
  <c r="G189"/>
  <c r="F189"/>
  <c r="E189"/>
  <c r="G188"/>
  <c r="F188"/>
  <c r="E188"/>
  <c r="J187"/>
  <c r="I187"/>
  <c r="H187"/>
  <c r="G187"/>
  <c r="F187"/>
  <c r="E187"/>
  <c r="H186"/>
  <c r="G186"/>
  <c r="F186"/>
  <c r="E186"/>
  <c r="H185"/>
  <c r="G185"/>
  <c r="F185"/>
  <c r="E185"/>
  <c r="J184"/>
  <c r="I184"/>
  <c r="H184"/>
  <c r="G184"/>
  <c r="F184"/>
  <c r="E184"/>
  <c r="H183"/>
  <c r="G183"/>
  <c r="F183"/>
  <c r="E183"/>
  <c r="J182"/>
  <c r="I182"/>
  <c r="H182"/>
  <c r="G182"/>
  <c r="F182"/>
  <c r="E182"/>
  <c r="J181"/>
  <c r="I181"/>
  <c r="H181"/>
  <c r="G181"/>
  <c r="F181"/>
  <c r="E181"/>
  <c r="J180"/>
  <c r="I180"/>
  <c r="H180"/>
  <c r="G180"/>
  <c r="F180"/>
  <c r="E180"/>
  <c r="H179"/>
  <c r="G179"/>
  <c r="F179"/>
  <c r="E179"/>
  <c r="J178"/>
  <c r="I178"/>
  <c r="H178"/>
  <c r="G178"/>
  <c r="F178"/>
  <c r="E178"/>
  <c r="J177"/>
  <c r="I177"/>
  <c r="H177"/>
  <c r="G177"/>
  <c r="F177"/>
  <c r="E177"/>
  <c r="J176"/>
  <c r="I176"/>
  <c r="H176"/>
  <c r="G176"/>
  <c r="F176"/>
  <c r="E176"/>
  <c r="J175"/>
  <c r="I175"/>
  <c r="H175"/>
  <c r="G175"/>
  <c r="F175"/>
  <c r="E175"/>
  <c r="J174"/>
  <c r="I174"/>
  <c r="H174"/>
  <c r="G174"/>
  <c r="F174"/>
  <c r="E174"/>
  <c r="J173"/>
  <c r="I173"/>
  <c r="H173"/>
  <c r="G173"/>
  <c r="F173"/>
  <c r="E173"/>
  <c r="J172"/>
  <c r="I172"/>
  <c r="H172"/>
  <c r="G172"/>
  <c r="F172"/>
  <c r="E172"/>
  <c r="J171"/>
  <c r="I171"/>
  <c r="H171"/>
  <c r="G171"/>
  <c r="F171"/>
  <c r="E171"/>
  <c r="J170"/>
  <c r="I170"/>
  <c r="H170"/>
  <c r="G170"/>
  <c r="F170"/>
  <c r="E170"/>
  <c r="H169"/>
  <c r="G169"/>
  <c r="F169"/>
  <c r="E169"/>
  <c r="J168"/>
  <c r="I168"/>
  <c r="H168"/>
  <c r="G168"/>
  <c r="F168"/>
  <c r="E168"/>
  <c r="H167"/>
  <c r="G167"/>
  <c r="F167"/>
  <c r="E167"/>
  <c r="J166"/>
  <c r="I166"/>
  <c r="H166"/>
  <c r="G166"/>
  <c r="F166"/>
  <c r="E166"/>
  <c r="J165"/>
  <c r="I165"/>
  <c r="H165"/>
  <c r="G165"/>
  <c r="F165"/>
  <c r="E165"/>
  <c r="J164"/>
  <c r="I164"/>
  <c r="H164"/>
  <c r="G164"/>
  <c r="F164"/>
  <c r="E164"/>
  <c r="J163"/>
  <c r="I163"/>
  <c r="H163"/>
  <c r="G163"/>
  <c r="F163"/>
  <c r="E163"/>
  <c r="J162"/>
  <c r="I162"/>
  <c r="H162"/>
  <c r="G162"/>
  <c r="F162"/>
  <c r="E162"/>
  <c r="J161"/>
  <c r="I161"/>
  <c r="H161"/>
  <c r="G161"/>
  <c r="F161"/>
  <c r="E161"/>
  <c r="J160"/>
  <c r="I160"/>
  <c r="H160"/>
  <c r="G160"/>
  <c r="F160"/>
  <c r="E160"/>
  <c r="J159"/>
  <c r="I159"/>
  <c r="H159"/>
  <c r="G159"/>
  <c r="F159"/>
  <c r="E159"/>
  <c r="H158"/>
  <c r="G158"/>
  <c r="F158"/>
  <c r="E158"/>
  <c r="J157"/>
  <c r="I157"/>
  <c r="H157"/>
  <c r="G157"/>
  <c r="F157"/>
  <c r="E157"/>
  <c r="J156"/>
  <c r="I156"/>
  <c r="H156"/>
  <c r="G156"/>
  <c r="F156"/>
  <c r="E156"/>
  <c r="J155"/>
  <c r="I155"/>
  <c r="H155"/>
  <c r="G155"/>
  <c r="F155"/>
  <c r="E155"/>
  <c r="H154"/>
  <c r="G154"/>
  <c r="F154"/>
  <c r="E154"/>
  <c r="G153"/>
  <c r="F153"/>
  <c r="E153"/>
  <c r="J152"/>
  <c r="I152"/>
  <c r="H152"/>
  <c r="G152"/>
  <c r="F152"/>
  <c r="E152"/>
  <c r="H151"/>
  <c r="G151"/>
  <c r="F151"/>
  <c r="E151"/>
  <c r="J150"/>
  <c r="I150"/>
  <c r="H150"/>
  <c r="G150"/>
  <c r="F150"/>
  <c r="E150"/>
  <c r="J149"/>
  <c r="I149"/>
  <c r="H149"/>
  <c r="G149"/>
  <c r="F149"/>
  <c r="E149"/>
  <c r="J148"/>
  <c r="I148"/>
  <c r="H148"/>
  <c r="G148"/>
  <c r="F148"/>
  <c r="E148"/>
  <c r="H147"/>
  <c r="G147"/>
  <c r="F147"/>
  <c r="E147"/>
  <c r="J146"/>
  <c r="I146"/>
  <c r="H146"/>
  <c r="G146"/>
  <c r="F146"/>
  <c r="E146"/>
  <c r="J145"/>
  <c r="I145"/>
  <c r="H145"/>
  <c r="G145"/>
  <c r="F145"/>
  <c r="E145"/>
  <c r="H144"/>
  <c r="G144"/>
  <c r="F144"/>
  <c r="E144"/>
  <c r="G143"/>
  <c r="F143"/>
  <c r="E143"/>
  <c r="H142"/>
  <c r="G142"/>
  <c r="F142"/>
  <c r="E142"/>
  <c r="J141"/>
  <c r="I141"/>
  <c r="H141"/>
  <c r="G141"/>
  <c r="F141"/>
  <c r="E141"/>
  <c r="J140"/>
  <c r="I140"/>
  <c r="H140"/>
  <c r="G140"/>
  <c r="F140"/>
  <c r="E140"/>
  <c r="J139"/>
  <c r="I139"/>
  <c r="H139"/>
  <c r="G139"/>
  <c r="F139"/>
  <c r="E139"/>
  <c r="J138"/>
  <c r="I138"/>
  <c r="H138"/>
  <c r="G138"/>
  <c r="F138"/>
  <c r="E138"/>
  <c r="J137"/>
  <c r="I137"/>
  <c r="H137"/>
  <c r="G137"/>
  <c r="F137"/>
  <c r="E137"/>
  <c r="H136"/>
  <c r="G136"/>
  <c r="F136"/>
  <c r="E136"/>
  <c r="J135"/>
  <c r="I135"/>
  <c r="H135"/>
  <c r="G135"/>
  <c r="F135"/>
  <c r="E135"/>
  <c r="J134"/>
  <c r="I134"/>
  <c r="H134"/>
  <c r="G134"/>
  <c r="F134"/>
  <c r="E134"/>
  <c r="J133"/>
  <c r="I133"/>
  <c r="H133"/>
  <c r="G133"/>
  <c r="F133"/>
  <c r="E133"/>
  <c r="H132"/>
  <c r="G132"/>
  <c r="F132"/>
  <c r="E132"/>
  <c r="J131"/>
  <c r="I131"/>
  <c r="H131"/>
  <c r="G131"/>
  <c r="F131"/>
  <c r="E131"/>
  <c r="H130"/>
  <c r="G130"/>
  <c r="F130"/>
  <c r="E130"/>
  <c r="J129"/>
  <c r="I129"/>
  <c r="H129"/>
  <c r="G129"/>
  <c r="F129"/>
  <c r="E129"/>
  <c r="J128"/>
  <c r="I128"/>
  <c r="H128"/>
  <c r="G128"/>
  <c r="F128"/>
  <c r="E128"/>
  <c r="J127"/>
  <c r="I127"/>
  <c r="H127"/>
  <c r="G127"/>
  <c r="F127"/>
  <c r="E127"/>
  <c r="J126"/>
  <c r="I126"/>
  <c r="H126"/>
  <c r="G126"/>
  <c r="F126"/>
  <c r="E126"/>
  <c r="J125"/>
  <c r="I125"/>
  <c r="H125"/>
  <c r="G125"/>
  <c r="F125"/>
  <c r="E125"/>
  <c r="J124"/>
  <c r="I124"/>
  <c r="H124"/>
  <c r="G124"/>
  <c r="F124"/>
  <c r="E124"/>
  <c r="J123"/>
  <c r="I123"/>
  <c r="H123"/>
  <c r="G123"/>
  <c r="F123"/>
  <c r="E123"/>
  <c r="J122"/>
  <c r="I122"/>
  <c r="H122"/>
  <c r="G122"/>
  <c r="F122"/>
  <c r="E122"/>
  <c r="J121"/>
  <c r="I121"/>
  <c r="H121"/>
  <c r="G121"/>
  <c r="F121"/>
  <c r="E121"/>
  <c r="H120"/>
  <c r="G120"/>
  <c r="F120"/>
  <c r="E120"/>
  <c r="J119"/>
  <c r="I119"/>
  <c r="H119"/>
  <c r="G119"/>
  <c r="F119"/>
  <c r="E119"/>
  <c r="J118"/>
  <c r="I118"/>
  <c r="H118"/>
  <c r="G118"/>
  <c r="F118"/>
  <c r="E118"/>
  <c r="J117"/>
  <c r="I117"/>
  <c r="H117"/>
  <c r="G117"/>
  <c r="F117"/>
  <c r="E117"/>
  <c r="J116"/>
  <c r="I116"/>
  <c r="H116"/>
  <c r="G116"/>
  <c r="F116"/>
  <c r="E116"/>
  <c r="H115"/>
  <c r="G115"/>
  <c r="F115"/>
  <c r="E115"/>
  <c r="J114"/>
  <c r="I114"/>
  <c r="H114"/>
  <c r="G114"/>
  <c r="F114"/>
  <c r="E114"/>
  <c r="J113"/>
  <c r="I113"/>
  <c r="H113"/>
  <c r="G113"/>
  <c r="F113"/>
  <c r="E113"/>
  <c r="J112"/>
  <c r="I112"/>
  <c r="H112"/>
  <c r="G112"/>
  <c r="F112"/>
  <c r="E112"/>
  <c r="J111"/>
  <c r="I111"/>
  <c r="H111"/>
  <c r="G111"/>
  <c r="F111"/>
  <c r="E111"/>
  <c r="H110"/>
  <c r="G110"/>
  <c r="F110"/>
  <c r="E110"/>
  <c r="J109"/>
  <c r="I109"/>
  <c r="H109"/>
  <c r="G109"/>
  <c r="F109"/>
  <c r="E109"/>
  <c r="J108"/>
  <c r="I108"/>
  <c r="H108"/>
  <c r="G108"/>
  <c r="F108"/>
  <c r="E108"/>
  <c r="J107"/>
  <c r="I107"/>
  <c r="H107"/>
  <c r="G107"/>
  <c r="F107"/>
  <c r="E107"/>
  <c r="J106"/>
  <c r="I106"/>
  <c r="H106"/>
  <c r="G106"/>
  <c r="F106"/>
  <c r="E106"/>
  <c r="J105"/>
  <c r="I105"/>
  <c r="H105"/>
  <c r="G105"/>
  <c r="F105"/>
  <c r="E105"/>
  <c r="J104"/>
  <c r="I104"/>
  <c r="H104"/>
  <c r="G104"/>
  <c r="F104"/>
  <c r="E104"/>
  <c r="J103"/>
  <c r="I103"/>
  <c r="H103"/>
  <c r="G103"/>
  <c r="F103"/>
  <c r="E103"/>
  <c r="J102"/>
  <c r="I102"/>
  <c r="H102"/>
  <c r="G102"/>
  <c r="F102"/>
  <c r="E102"/>
  <c r="J101"/>
  <c r="I101"/>
  <c r="H101"/>
  <c r="G101"/>
  <c r="F101"/>
  <c r="E101"/>
  <c r="G100"/>
  <c r="F100"/>
  <c r="E100"/>
  <c r="J99"/>
  <c r="I99"/>
  <c r="H99"/>
  <c r="G99"/>
  <c r="F99"/>
  <c r="E99"/>
  <c r="G98"/>
  <c r="F98"/>
  <c r="E98"/>
  <c r="J97"/>
  <c r="I97"/>
  <c r="H97"/>
  <c r="G97"/>
  <c r="F97"/>
  <c r="E97"/>
  <c r="H96"/>
  <c r="G96"/>
  <c r="F96"/>
  <c r="E96"/>
  <c r="J95"/>
  <c r="I95"/>
  <c r="H95"/>
  <c r="G95"/>
  <c r="F95"/>
  <c r="E95"/>
  <c r="H94"/>
  <c r="G94"/>
  <c r="F94"/>
  <c r="E94"/>
  <c r="J93"/>
  <c r="I93"/>
  <c r="H93"/>
  <c r="G93"/>
  <c r="F93"/>
  <c r="E93"/>
  <c r="H92"/>
  <c r="G92"/>
  <c r="F92"/>
  <c r="E92"/>
  <c r="J91"/>
  <c r="I91"/>
  <c r="H91"/>
  <c r="G91"/>
  <c r="F91"/>
  <c r="E91"/>
  <c r="G90"/>
  <c r="F90"/>
  <c r="E90"/>
  <c r="J89"/>
  <c r="I89"/>
  <c r="H89"/>
  <c r="G89"/>
  <c r="F89"/>
  <c r="E89"/>
  <c r="H88"/>
  <c r="G88"/>
  <c r="F88"/>
  <c r="E88"/>
  <c r="J87"/>
  <c r="I87"/>
  <c r="H87"/>
  <c r="G87"/>
  <c r="F87"/>
  <c r="E87"/>
  <c r="J86"/>
  <c r="I86"/>
  <c r="H86"/>
  <c r="G86"/>
  <c r="F86"/>
  <c r="E86"/>
  <c r="J85"/>
  <c r="I85"/>
  <c r="H85"/>
  <c r="G85"/>
  <c r="F85"/>
  <c r="E85"/>
  <c r="J84"/>
  <c r="I84"/>
  <c r="H84"/>
  <c r="G84"/>
  <c r="F84"/>
  <c r="E84"/>
  <c r="H83"/>
  <c r="G83"/>
  <c r="F83"/>
  <c r="E83"/>
  <c r="J82"/>
  <c r="I82"/>
  <c r="H82"/>
  <c r="G82"/>
  <c r="F82"/>
  <c r="E82"/>
  <c r="J81"/>
  <c r="I81"/>
  <c r="H81"/>
  <c r="G81"/>
  <c r="F81"/>
  <c r="E81"/>
  <c r="J80"/>
  <c r="I80"/>
  <c r="H80"/>
  <c r="G80"/>
  <c r="F80"/>
  <c r="E80"/>
  <c r="J79"/>
  <c r="I79"/>
  <c r="H79"/>
  <c r="G79"/>
  <c r="F79"/>
  <c r="E79"/>
  <c r="J78"/>
  <c r="I78"/>
  <c r="H78"/>
  <c r="G78"/>
  <c r="F78"/>
  <c r="E78"/>
  <c r="J77"/>
  <c r="I77"/>
  <c r="H77"/>
  <c r="G77"/>
  <c r="F77"/>
  <c r="E77"/>
  <c r="J76"/>
  <c r="I76"/>
  <c r="H76"/>
  <c r="G76"/>
  <c r="F76"/>
  <c r="E76"/>
  <c r="J75"/>
  <c r="I75"/>
  <c r="H75"/>
  <c r="G75"/>
  <c r="F75"/>
  <c r="E75"/>
  <c r="J74"/>
  <c r="I74"/>
  <c r="H74"/>
  <c r="G74"/>
  <c r="F74"/>
  <c r="E74"/>
  <c r="J73"/>
  <c r="I73"/>
  <c r="H73"/>
  <c r="G73"/>
  <c r="F73"/>
  <c r="E73"/>
  <c r="J72"/>
  <c r="I72"/>
  <c r="H72"/>
  <c r="G72"/>
  <c r="F72"/>
  <c r="E72"/>
  <c r="J71"/>
  <c r="I71"/>
  <c r="H71"/>
  <c r="G71"/>
  <c r="F71"/>
  <c r="E71"/>
  <c r="J70"/>
  <c r="I70"/>
  <c r="H70"/>
  <c r="G70"/>
  <c r="F70"/>
  <c r="E70"/>
  <c r="H69"/>
  <c r="G69"/>
  <c r="F69"/>
  <c r="E69"/>
  <c r="H68"/>
  <c r="G68"/>
  <c r="F68"/>
  <c r="E68"/>
  <c r="J67"/>
  <c r="I67"/>
  <c r="H67"/>
  <c r="G67"/>
  <c r="F67"/>
  <c r="E67"/>
  <c r="H66"/>
  <c r="G66"/>
  <c r="F66"/>
  <c r="E66"/>
  <c r="J65"/>
  <c r="I65"/>
  <c r="H65"/>
  <c r="G65"/>
  <c r="F65"/>
  <c r="E65"/>
  <c r="J64"/>
  <c r="I64"/>
  <c r="H64"/>
  <c r="G64"/>
  <c r="F64"/>
  <c r="E64"/>
  <c r="J63"/>
  <c r="I63"/>
  <c r="H63"/>
  <c r="G63"/>
  <c r="F63"/>
  <c r="E63"/>
  <c r="J62"/>
  <c r="I62"/>
  <c r="H62"/>
  <c r="G62"/>
  <c r="F62"/>
  <c r="E62"/>
  <c r="J61"/>
  <c r="I61"/>
  <c r="H61"/>
  <c r="G61"/>
  <c r="F61"/>
  <c r="E61"/>
  <c r="J60"/>
  <c r="I60"/>
  <c r="H60"/>
  <c r="G60"/>
  <c r="F60"/>
  <c r="E60"/>
  <c r="J59"/>
  <c r="I59"/>
  <c r="H59"/>
  <c r="G59"/>
  <c r="F59"/>
  <c r="E59"/>
  <c r="J58"/>
  <c r="I58"/>
  <c r="H58"/>
  <c r="G58"/>
  <c r="F58"/>
  <c r="E58"/>
  <c r="J57"/>
  <c r="I57"/>
  <c r="H57"/>
  <c r="G57"/>
  <c r="F57"/>
  <c r="E57"/>
  <c r="J56"/>
  <c r="I56"/>
  <c r="H56"/>
  <c r="G56"/>
  <c r="F56"/>
  <c r="E56"/>
  <c r="J55"/>
  <c r="I55"/>
  <c r="H55"/>
  <c r="G55"/>
  <c r="F55"/>
  <c r="E55"/>
  <c r="J54"/>
  <c r="I54"/>
  <c r="H54"/>
  <c r="G54"/>
  <c r="F54"/>
  <c r="E54"/>
  <c r="H53"/>
  <c r="G53"/>
  <c r="F53"/>
  <c r="E53"/>
  <c r="J52"/>
  <c r="I52"/>
  <c r="H52"/>
  <c r="G52"/>
  <c r="F52"/>
  <c r="E52"/>
  <c r="J51"/>
  <c r="I51"/>
  <c r="H51"/>
  <c r="G51"/>
  <c r="F51"/>
  <c r="E51"/>
  <c r="J50"/>
  <c r="I50"/>
  <c r="H50"/>
  <c r="G50"/>
  <c r="F50"/>
  <c r="E50"/>
  <c r="G49"/>
  <c r="F49"/>
  <c r="E49"/>
  <c r="H48"/>
  <c r="G48"/>
  <c r="F48"/>
  <c r="E48"/>
  <c r="J47"/>
  <c r="I47"/>
  <c r="H47"/>
  <c r="G47"/>
  <c r="F47"/>
  <c r="E47"/>
  <c r="J46"/>
  <c r="I46"/>
  <c r="H46"/>
  <c r="G46"/>
  <c r="F46"/>
  <c r="E46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H41"/>
  <c r="G41"/>
  <c r="F41"/>
  <c r="E41"/>
  <c r="J40"/>
  <c r="I40"/>
  <c r="H40"/>
  <c r="G40"/>
  <c r="F40"/>
  <c r="E40"/>
  <c r="J39"/>
  <c r="I39"/>
  <c r="H39"/>
  <c r="G39"/>
  <c r="F39"/>
  <c r="E39"/>
  <c r="J38"/>
  <c r="I38"/>
  <c r="H38"/>
  <c r="G38"/>
  <c r="F38"/>
  <c r="E38"/>
  <c r="J37"/>
  <c r="I37"/>
  <c r="H37"/>
  <c r="G37"/>
  <c r="F37"/>
  <c r="E37"/>
  <c r="H36"/>
  <c r="G36"/>
  <c r="F36"/>
  <c r="E36"/>
  <c r="H35"/>
  <c r="G35"/>
  <c r="F35"/>
  <c r="E35"/>
  <c r="H34"/>
  <c r="G34"/>
  <c r="F34"/>
  <c r="E34"/>
  <c r="J33"/>
  <c r="I33"/>
  <c r="H33"/>
  <c r="G33"/>
  <c r="F33"/>
  <c r="E33"/>
  <c r="J32"/>
  <c r="I32"/>
  <c r="H32"/>
  <c r="G32"/>
  <c r="F32"/>
  <c r="E32"/>
  <c r="H31"/>
  <c r="G31"/>
  <c r="F31"/>
  <c r="E31"/>
  <c r="H30"/>
  <c r="G30"/>
  <c r="F30"/>
  <c r="E30"/>
  <c r="J29"/>
  <c r="I29"/>
  <c r="H29"/>
  <c r="G29"/>
  <c r="F29"/>
  <c r="E29"/>
  <c r="J28"/>
  <c r="I28"/>
  <c r="H28"/>
  <c r="G28"/>
  <c r="F28"/>
  <c r="E28"/>
  <c r="H27"/>
  <c r="G27"/>
  <c r="F27"/>
  <c r="E27"/>
  <c r="J26"/>
  <c r="I26"/>
  <c r="H26"/>
  <c r="G26"/>
  <c r="F26"/>
  <c r="E26"/>
  <c r="J25"/>
  <c r="I25"/>
  <c r="H25"/>
  <c r="G25"/>
  <c r="F25"/>
  <c r="E25"/>
  <c r="J24"/>
  <c r="I24"/>
  <c r="H24"/>
  <c r="G24"/>
  <c r="F24"/>
  <c r="E24"/>
  <c r="J23"/>
  <c r="I23"/>
  <c r="H23"/>
  <c r="G23"/>
  <c r="F23"/>
  <c r="E23"/>
  <c r="J22"/>
  <c r="I22"/>
  <c r="H22"/>
  <c r="G22"/>
  <c r="F22"/>
  <c r="E22"/>
  <c r="H21"/>
  <c r="G21"/>
  <c r="F21"/>
  <c r="E21"/>
  <c r="H20"/>
  <c r="G20"/>
  <c r="F20"/>
  <c r="E20"/>
  <c r="J19"/>
  <c r="I19"/>
  <c r="H19"/>
  <c r="G19"/>
  <c r="F19"/>
  <c r="E19"/>
  <c r="J18"/>
  <c r="I18"/>
  <c r="H18"/>
  <c r="G18"/>
  <c r="F18"/>
  <c r="E18"/>
  <c r="H17"/>
  <c r="G17"/>
  <c r="F17"/>
  <c r="E17"/>
  <c r="J16"/>
  <c r="I16"/>
  <c r="H16"/>
  <c r="G16"/>
  <c r="F16"/>
  <c r="E16"/>
  <c r="H15"/>
  <c r="G15"/>
  <c r="F15"/>
  <c r="E15"/>
  <c r="J14"/>
  <c r="I14"/>
  <c r="H14"/>
  <c r="G14"/>
  <c r="F14"/>
  <c r="E14"/>
  <c r="H13"/>
  <c r="G13"/>
  <c r="F13"/>
  <c r="E13"/>
  <c r="G12"/>
  <c r="F12"/>
  <c r="E12"/>
  <c r="J11"/>
  <c r="I11"/>
  <c r="H11"/>
  <c r="G11"/>
  <c r="F11"/>
  <c r="E11"/>
  <c r="J10"/>
  <c r="I10"/>
  <c r="H10"/>
  <c r="G10"/>
  <c r="F10"/>
  <c r="E10"/>
  <c r="H9"/>
  <c r="G9"/>
  <c r="F9"/>
  <c r="E9"/>
  <c r="J8"/>
  <c r="I8"/>
  <c r="H8"/>
  <c r="G8"/>
  <c r="F8"/>
  <c r="E8"/>
  <c r="J7"/>
  <c r="I7"/>
  <c r="H7"/>
  <c r="G7"/>
  <c r="F7"/>
  <c r="E7"/>
  <c r="J6"/>
  <c r="I6"/>
  <c r="H6"/>
  <c r="G6"/>
  <c r="F6"/>
  <c r="E6"/>
  <c r="J5"/>
  <c r="I5"/>
  <c r="H5"/>
  <c r="G5"/>
  <c r="F5"/>
  <c r="E5"/>
  <c r="J4"/>
  <c r="I4"/>
  <c r="H4"/>
  <c r="G4"/>
  <c r="F4"/>
  <c r="E4"/>
  <c r="J3"/>
  <c r="I3"/>
  <c r="H3"/>
  <c r="G3"/>
  <c r="F3"/>
  <c r="E3"/>
  <c r="J2"/>
  <c r="I2"/>
  <c r="H2"/>
  <c r="G2"/>
  <c r="F2"/>
  <c r="E2"/>
  <c r="J1"/>
  <c r="I1"/>
  <c r="H1"/>
  <c r="G1"/>
  <c r="F1"/>
  <c r="E1"/>
</calcChain>
</file>

<file path=xl/sharedStrings.xml><?xml version="1.0" encoding="utf-8"?>
<sst xmlns="http://schemas.openxmlformats.org/spreadsheetml/2006/main" count="214" uniqueCount="110">
  <si>
    <t>PIN2/TERF1 interacting, telomerase inhibitor 1</t>
  </si>
  <si>
    <t>synergin, gamma</t>
  </si>
  <si>
    <t>solute carrier family 25, member 33</t>
  </si>
  <si>
    <t>actin related protein 2/3 complex, subunit 3</t>
  </si>
  <si>
    <t>cytochrome P450, family 20, subfamily A, polypeptide 1</t>
  </si>
  <si>
    <t>zinc finger, CCHC domain containing 10</t>
  </si>
  <si>
    <t>guanine nucleotide binding protein, alpha 12</t>
  </si>
  <si>
    <t>enoyl-Coenzyme A, hydratase/3-hydroxyacyl Coenzyme A dehydrogenase</t>
  </si>
  <si>
    <t>family with sequence similarity 118, member A</t>
  </si>
  <si>
    <t>succinate-Coenzyme A ligase, GDP-forming, beta subunit</t>
  </si>
  <si>
    <t>calcium channel, voltage-dependent, L type, alpha 1D subunit</t>
  </si>
  <si>
    <t>lon peptidase 2, peroxisomal</t>
  </si>
  <si>
    <t>tumor necrosis factor, alpha-induced protein 8</t>
  </si>
  <si>
    <t>transient receptor potential cation channel, subfamily M, member 5</t>
  </si>
  <si>
    <t>pyrroline-5-carboxylate reductase family, member 2</t>
  </si>
  <si>
    <t>solute carrier family 31, member 1</t>
  </si>
  <si>
    <t>engulfment and cell motility 1, ced-12 homolog (C. elegans)</t>
  </si>
  <si>
    <t>predicted gene, 16710</t>
  </si>
  <si>
    <t>gene segment</t>
  </si>
  <si>
    <t>sodium channel, voltage-gated, type VIII, alpha</t>
  </si>
  <si>
    <t>actin, gamma, cytoplasmic 1</t>
  </si>
  <si>
    <t>family with sequence similarity 76, member B</t>
  </si>
  <si>
    <t>peptidyl arginine deiminase, type II</t>
  </si>
  <si>
    <t>family with sequence similarity 57, member A</t>
  </si>
  <si>
    <t>PTPRF interacting protein, binding protein 1 (liprin beta 1)</t>
  </si>
  <si>
    <t>transforming growth factor, beta 3</t>
  </si>
  <si>
    <t>zinc finger, DHHC domain containing 6</t>
  </si>
  <si>
    <t>discs, large homolog 5 (Drosophila)</t>
  </si>
  <si>
    <t>family with sequence similarity 82, member A1</t>
  </si>
  <si>
    <t>calcium channel, voltage-dependent, alpha 1I subunit</t>
  </si>
  <si>
    <t>ATP-binding cassette, sub-family A (ABC1), member 3</t>
  </si>
  <si>
    <t>serine (or cysteine) peptidase inhibitor, clade B, member 6b</t>
  </si>
  <si>
    <t>guanine nucleotide binding protein (G protein), gamma 12</t>
  </si>
  <si>
    <t>solute carrier family 4, sodium bicarbonate cotransporter, member 7</t>
  </si>
  <si>
    <t>fascin homolog 1, actin bundling protein (Strongylocentrotus purpuratus)</t>
  </si>
  <si>
    <t>family with sequence similarity 105, member B</t>
  </si>
  <si>
    <t>selenoprotein P, plasma, 1</t>
  </si>
  <si>
    <t>calcium channel, voltage-dependent, T type, alpha 1H subunit</t>
  </si>
  <si>
    <t>6-phosphofructo-2-kinase/fructose-2,6-biphosphatase 1</t>
  </si>
  <si>
    <t>melanoma antigen, family D, 1</t>
  </si>
  <si>
    <t>ubiquitin-conjugating enzyme E2, J1</t>
  </si>
  <si>
    <t>coronin, actin binding protein 1C</t>
  </si>
  <si>
    <t>lipase, hepatic</t>
  </si>
  <si>
    <t>family with sequence similarity 135, member A</t>
  </si>
  <si>
    <t>indoleamine 2,3-dioxygenase 1</t>
  </si>
  <si>
    <t>Cbp/p300-interacting transactivator, with Glu/Asp-rich carboxy-terminal domain, 2</t>
  </si>
  <si>
    <t>glucosaminyl (N-acetyl) transferase 3, mucin type</t>
  </si>
  <si>
    <t>phosphate cytidylyltransferase 1, choline, beta isoform</t>
  </si>
  <si>
    <t>AF4/FMR2 family, member 4</t>
  </si>
  <si>
    <t>castor homolog 1, zinc finger (Drosophila)</t>
  </si>
  <si>
    <t>solute carrier family 12, member 2</t>
  </si>
  <si>
    <t>crystallin, zeta</t>
  </si>
  <si>
    <t>protein kinase C, delta</t>
  </si>
  <si>
    <t>Fanconi anemia, complementation group M</t>
  </si>
  <si>
    <t>glutaredoxin, cysteine rich 1</t>
  </si>
  <si>
    <t>ATPase, aminophospholipid transporter (APLT), class I, type 8A, member 1</t>
  </si>
  <si>
    <t>guanine nucleotide binding protein, alpha 13</t>
  </si>
  <si>
    <t>Der1-like domain family, member 3</t>
  </si>
  <si>
    <t>nuclear factor, interleukin 3, regulated</t>
  </si>
  <si>
    <t>Sec24 related gene family, member A (S. cerevisiae)</t>
  </si>
  <si>
    <t>phosphofructokinase, platelet</t>
  </si>
  <si>
    <t>WAS/WASL interacting protein family, member 1</t>
  </si>
  <si>
    <t>ArfGAP with SH# domain, ankyrin repeat and PH domain1</t>
  </si>
  <si>
    <t>PRKC, apoptosis, WT1, regulator</t>
  </si>
  <si>
    <t>consortin, connexin sorting protein</t>
  </si>
  <si>
    <t>sterol-C5-desaturase (fungal ERG3, delta-5-desaturase) homolog (S. cerevisae)</t>
  </si>
  <si>
    <t>sodium channel, voltage-gated, type XI, alpha</t>
  </si>
  <si>
    <t>pyruvate dehydrogenase kinase, isoenzyme 3</t>
  </si>
  <si>
    <t>FoldChange</t>
  </si>
  <si>
    <t>Stdv</t>
  </si>
  <si>
    <t>RAS, guanyl releasing protein 3</t>
  </si>
  <si>
    <t>protein coding gene</t>
  </si>
  <si>
    <t>Fc receptor, IgE, low affinity II, alpha polypeptide</t>
  </si>
  <si>
    <t>solute carrier family 41, member 2</t>
  </si>
  <si>
    <t>POU domain, class 2, associating factor 1</t>
  </si>
  <si>
    <t>RAB30, member RAS oncogene family</t>
  </si>
  <si>
    <t>poly (ADP-ribose) polymerase family, member 8</t>
  </si>
  <si>
    <t>zinc finger, DHHC domain containing 2</t>
  </si>
  <si>
    <t>5' nucleotidase, ecto</t>
  </si>
  <si>
    <t>phospholipase C, gamma 2</t>
  </si>
  <si>
    <t>bone morphogenetic protein receptor, type 1A</t>
  </si>
  <si>
    <t>beta galactoside alpha 2,6 sialyltransferase 1</t>
  </si>
  <si>
    <t>C-type lectin domain family 12, member a</t>
  </si>
  <si>
    <t>vomeronasal 2, receptor 96</t>
  </si>
  <si>
    <t>tumor necrosis factor receptor superfamily, member 13c</t>
  </si>
  <si>
    <t>hemoglobin Z, beta-like embryonic chain</t>
  </si>
  <si>
    <t>brain abundant, membrane attached signal protein 1</t>
  </si>
  <si>
    <t>apolipoprotein B mRNA editing enzyme, catalytic polypeptide 1</t>
  </si>
  <si>
    <t>alcohol dehydrogenase, iron containing, 1</t>
  </si>
  <si>
    <t>microtubule-associated protein, RP/EB family, member 2</t>
  </si>
  <si>
    <t>family with sequence similarity 46, member C</t>
  </si>
  <si>
    <t>FYVE, RhoGEF and PH domain containing 6</t>
  </si>
  <si>
    <t>hemoglobin, beta adult major chain</t>
  </si>
  <si>
    <t>family with sequence similarity 134, member B</t>
  </si>
  <si>
    <t>cytochrome P450, family 51</t>
  </si>
  <si>
    <t>pleckstrin homology domain containing, family O member 1</t>
  </si>
  <si>
    <t>helicase, POLQ-like</t>
  </si>
  <si>
    <t>protein phosphatase 4, regulatory subunit 2</t>
  </si>
  <si>
    <t>ATPase, class VI, type 11A</t>
  </si>
  <si>
    <t>solute carrier family 25 (mitochondrial thiamine pyrophosphate carrier), member 19</t>
  </si>
  <si>
    <t>H1 histone family, member X</t>
  </si>
  <si>
    <t>phosphatidylinositol transfer protein, cytoplasmic 1</t>
  </si>
  <si>
    <t>solute carrier family 15, member 3</t>
  </si>
  <si>
    <t>discoidin, CUB  and LCCL domain containing 1</t>
  </si>
  <si>
    <t>solute carrier family 22 (organic anion/cation transporter), member 15</t>
  </si>
  <si>
    <t>protein kinase, cAMP dependent regulatory, type II alpha</t>
  </si>
  <si>
    <t>zinc finger, CCHC domain containing 18</t>
  </si>
  <si>
    <t>guanine nucleotide binding protein, alpha z subunit</t>
  </si>
  <si>
    <t>catenin (cadherin associated protein), alpha-like 1</t>
  </si>
  <si>
    <t>tumor necrosis factor (ligand) superfamily, member 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</si>
</sst>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54"/>
  <sheetViews>
    <sheetView tabSelected="1" workbookViewId="0">
      <selection sqref="A1:K1048576"/>
    </sheetView>
  </sheetViews>
  <sheetFormatPr baseColWidth="10" defaultRowHeight="13"/>
  <cols>
    <col min="9" max="9" width="26.7109375" customWidth="1"/>
  </cols>
  <sheetData>
    <row r="1" spans="1:10">
      <c r="B1" t="s">
        <v>68</v>
      </c>
      <c r="C1" t="s">
        <v>69</v>
      </c>
      <c r="E1" t="str">
        <f>"Input"</f>
        <v>Input</v>
      </c>
      <c r="F1" t="str">
        <f>"Input type"</f>
        <v>Input type</v>
      </c>
      <c r="G1" t="str">
        <f>"MGI Gene/Marker ID"</f>
        <v>MGI Gene/Marker ID</v>
      </c>
      <c r="H1" t="str">
        <f>"Symbol"</f>
        <v>Symbol</v>
      </c>
      <c r="I1" t="str">
        <f>"Name"</f>
        <v>Name</v>
      </c>
      <c r="J1" t="str">
        <f>"Feature Type"</f>
        <v>Feature Type</v>
      </c>
    </row>
    <row r="2" spans="1:10">
      <c r="A2">
        <v>10358399</v>
      </c>
      <c r="B2">
        <v>104.93175203451401</v>
      </c>
      <c r="C2">
        <v>9.2737538136101598</v>
      </c>
      <c r="E2" t="str">
        <f>"10358399"</f>
        <v>10358399</v>
      </c>
      <c r="F2" t="str">
        <f t="shared" ref="F2:F11" si="0">"Affy 1.0 ST"</f>
        <v>Affy 1.0 ST</v>
      </c>
      <c r="G2" t="str">
        <f>"MGI:2180585"</f>
        <v>MGI:2180585</v>
      </c>
      <c r="H2" t="str">
        <f>"Rgs13"</f>
        <v>Rgs13</v>
      </c>
      <c r="I2" t="str">
        <f>"regulator of G-protein signaling 13"</f>
        <v>regulator of G-protein signaling 13</v>
      </c>
      <c r="J2" t="str">
        <f t="shared" ref="J2:J8" si="1">"protein coding gene"</f>
        <v>protein coding gene</v>
      </c>
    </row>
    <row r="3" spans="1:10">
      <c r="A3">
        <v>10531126</v>
      </c>
      <c r="B3">
        <v>82.478896910434301</v>
      </c>
      <c r="C3">
        <v>32.692964427247198</v>
      </c>
      <c r="E3" t="str">
        <f>"10531126"</f>
        <v>10531126</v>
      </c>
      <c r="F3" t="str">
        <f t="shared" si="0"/>
        <v>Affy 1.0 ST</v>
      </c>
      <c r="G3" t="str">
        <f>"MGI:96493"</f>
        <v>MGI:96493</v>
      </c>
      <c r="H3" t="str">
        <f>"Igj"</f>
        <v>Igj</v>
      </c>
      <c r="I3" t="str">
        <f>"immunoglobulin joining chain"</f>
        <v>immunoglobulin joining chain</v>
      </c>
      <c r="J3" t="str">
        <f t="shared" si="1"/>
        <v>protein coding gene</v>
      </c>
    </row>
    <row r="4" spans="1:10">
      <c r="A4">
        <v>10541507</v>
      </c>
      <c r="B4">
        <v>79.031691380460302</v>
      </c>
      <c r="C4">
        <v>8.0599037162853708</v>
      </c>
      <c r="E4" t="str">
        <f>"10541507"</f>
        <v>10541507</v>
      </c>
      <c r="F4" t="str">
        <f t="shared" si="0"/>
        <v>Affy 1.0 ST</v>
      </c>
      <c r="G4" t="str">
        <f>"MGI:1342279"</f>
        <v>MGI:1342279</v>
      </c>
      <c r="H4" t="str">
        <f>"Aicda"</f>
        <v>Aicda</v>
      </c>
      <c r="I4" t="str">
        <f>"activation-induced cytidine deaminase"</f>
        <v>activation-induced cytidine deaminase</v>
      </c>
      <c r="J4" t="str">
        <f t="shared" si="1"/>
        <v>protein coding gene</v>
      </c>
    </row>
    <row r="5" spans="1:10">
      <c r="A5">
        <v>10416006</v>
      </c>
      <c r="B5">
        <v>54.592122335399601</v>
      </c>
      <c r="C5">
        <v>1.88292030157223</v>
      </c>
      <c r="E5" t="str">
        <f>"10416006"</f>
        <v>10416006</v>
      </c>
      <c r="F5" t="str">
        <f t="shared" si="0"/>
        <v>Affy 1.0 ST</v>
      </c>
      <c r="G5" t="str">
        <f>"MGI:2685446"</f>
        <v>MGI:2685446</v>
      </c>
      <c r="H5" t="str">
        <f>"Gm600"</f>
        <v>Gm600</v>
      </c>
      <c r="I5" t="str">
        <f>"predicted gene 600"</f>
        <v>predicted gene 600</v>
      </c>
      <c r="J5" t="str">
        <f t="shared" si="1"/>
        <v>protein coding gene</v>
      </c>
    </row>
    <row r="6" spans="1:10">
      <c r="A6">
        <v>10353010</v>
      </c>
      <c r="B6">
        <v>48.690814703551503</v>
      </c>
      <c r="C6">
        <v>62.135082993029599</v>
      </c>
      <c r="E6" t="str">
        <f>"10353010"</f>
        <v>10353010</v>
      </c>
      <c r="F6" t="str">
        <f t="shared" si="0"/>
        <v>Affy 1.0 ST</v>
      </c>
      <c r="G6" t="str">
        <f>"MGI:99925"</f>
        <v>MGI:99925</v>
      </c>
      <c r="H6" t="str">
        <f>"Mybl1"</f>
        <v>Mybl1</v>
      </c>
      <c r="I6" t="str">
        <f>"myeloblastosis oncogene-like 1"</f>
        <v>myeloblastosis oncogene-like 1</v>
      </c>
      <c r="J6" t="str">
        <f t="shared" si="1"/>
        <v>protein coding gene</v>
      </c>
    </row>
    <row r="7" spans="1:10">
      <c r="A7">
        <v>10531261</v>
      </c>
      <c r="B7">
        <v>42.250006128773599</v>
      </c>
      <c r="C7">
        <v>8.9546228551559697</v>
      </c>
      <c r="E7" t="str">
        <f>"10531261"</f>
        <v>10531261</v>
      </c>
      <c r="F7" t="str">
        <f t="shared" si="0"/>
        <v>Affy 1.0 ST</v>
      </c>
      <c r="G7" t="str">
        <f>"MGI:1920496"</f>
        <v>MGI:1920496</v>
      </c>
      <c r="H7" t="str">
        <f>"Rassf6"</f>
        <v>Rassf6</v>
      </c>
      <c r="I7" t="str">
        <f>"Ras association (RalGDS/AF-6) domain family member 6"</f>
        <v>Ras association (RalGDS/AF-6) domain family member 6</v>
      </c>
      <c r="J7" t="str">
        <f t="shared" si="1"/>
        <v>protein coding gene</v>
      </c>
    </row>
    <row r="8" spans="1:10">
      <c r="A8">
        <v>10436024</v>
      </c>
      <c r="B8">
        <v>41.493531776886201</v>
      </c>
      <c r="C8">
        <v>13.1712673020435</v>
      </c>
      <c r="E8" t="str">
        <f>"10436024"</f>
        <v>10436024</v>
      </c>
      <c r="F8" t="str">
        <f t="shared" si="0"/>
        <v>Affy 1.0 ST</v>
      </c>
      <c r="G8" t="str">
        <f>"MGI:102969"</f>
        <v>MGI:102969</v>
      </c>
      <c r="H8" t="str">
        <f>"Gcet2"</f>
        <v>Gcet2</v>
      </c>
      <c r="I8" t="str">
        <f>"germinal center expressed transcript 2"</f>
        <v>germinal center expressed transcript 2</v>
      </c>
      <c r="J8" t="str">
        <f t="shared" si="1"/>
        <v>protein coding gene</v>
      </c>
    </row>
    <row r="9" spans="1:10">
      <c r="A9">
        <v>10446965</v>
      </c>
      <c r="B9">
        <v>39.477808550961498</v>
      </c>
      <c r="C9">
        <v>46.113665376230799</v>
      </c>
      <c r="E9" t="str">
        <f>"10446965"</f>
        <v>10446965</v>
      </c>
      <c r="F9" t="str">
        <f t="shared" si="0"/>
        <v>Affy 1.0 ST</v>
      </c>
      <c r="G9" t="str">
        <f>"MGI:3028579"</f>
        <v>MGI:3028579</v>
      </c>
      <c r="H9" t="str">
        <f>"Rasgrp3"</f>
        <v>Rasgrp3</v>
      </c>
      <c r="I9" t="s">
        <v>70</v>
      </c>
      <c r="J9" t="s">
        <v>71</v>
      </c>
    </row>
    <row r="10" spans="1:10">
      <c r="A10">
        <v>10403021</v>
      </c>
      <c r="B10">
        <v>34.682572930476802</v>
      </c>
      <c r="C10">
        <v>54.754439186917402</v>
      </c>
      <c r="E10" t="str">
        <f>"10403021"</f>
        <v>10403021</v>
      </c>
      <c r="F10" t="str">
        <f t="shared" si="0"/>
        <v>Affy 1.0 ST</v>
      </c>
      <c r="G10" t="str">
        <f>"MGI:3704124"</f>
        <v>MGI:3704124</v>
      </c>
      <c r="H10" t="str">
        <f>"Ighv1-43"</f>
        <v>Ighv1-43</v>
      </c>
      <c r="I10" t="str">
        <f>"immunoglobulin heavy variable V1-43"</f>
        <v>immunoglobulin heavy variable V1-43</v>
      </c>
      <c r="J10" t="str">
        <f>"gene segment"</f>
        <v>gene segment</v>
      </c>
    </row>
    <row r="11" spans="1:10">
      <c r="A11">
        <v>10531737</v>
      </c>
      <c r="B11">
        <v>24.887416368493799</v>
      </c>
      <c r="C11">
        <v>19.416306766909599</v>
      </c>
      <c r="E11" t="str">
        <f>"10531737"</f>
        <v>10531737</v>
      </c>
      <c r="F11" t="str">
        <f t="shared" si="0"/>
        <v>Affy 1.0 ST</v>
      </c>
      <c r="G11" t="str">
        <f>"MGI:1343124"</f>
        <v>MGI:1343124</v>
      </c>
      <c r="H11" t="str">
        <f>"Hpse"</f>
        <v>Hpse</v>
      </c>
      <c r="I11" t="str">
        <f>"heparanase"</f>
        <v>heparanase</v>
      </c>
      <c r="J11" t="str">
        <f>"protein coding gene"</f>
        <v>protein coding gene</v>
      </c>
    </row>
    <row r="12" spans="1:10">
      <c r="A12">
        <v>10545190</v>
      </c>
      <c r="B12">
        <v>24.118268553074302</v>
      </c>
      <c r="C12">
        <v>24.607609024832399</v>
      </c>
      <c r="E12" t="str">
        <f>"10545190"</f>
        <v>10545190</v>
      </c>
      <c r="F12" t="str">
        <f>""</f>
        <v/>
      </c>
      <c r="G12" t="str">
        <f>"No associated gene"</f>
        <v>No associated gene</v>
      </c>
    </row>
    <row r="13" spans="1:10">
      <c r="A13">
        <v>10576757</v>
      </c>
      <c r="B13">
        <v>22.952606186713801</v>
      </c>
      <c r="C13">
        <v>18.301002768968299</v>
      </c>
      <c r="E13" t="str">
        <f>"10576757"</f>
        <v>10576757</v>
      </c>
      <c r="F13" t="str">
        <f t="shared" ref="F13:F48" si="2">"Affy 1.0 ST"</f>
        <v>Affy 1.0 ST</v>
      </c>
      <c r="G13" t="str">
        <f>"MGI:95497"</f>
        <v>MGI:95497</v>
      </c>
      <c r="H13" t="str">
        <f>"Fcer2a"</f>
        <v>Fcer2a</v>
      </c>
      <c r="I13" t="s">
        <v>72</v>
      </c>
      <c r="J13" t="s">
        <v>71</v>
      </c>
    </row>
    <row r="14" spans="1:10">
      <c r="A14">
        <v>10487011</v>
      </c>
      <c r="B14">
        <v>20.8268677843331</v>
      </c>
      <c r="C14">
        <v>4.14500868225727</v>
      </c>
      <c r="E14" t="str">
        <f>"10487011"</f>
        <v>10487011</v>
      </c>
      <c r="F14" t="str">
        <f t="shared" si="2"/>
        <v>Affy 1.0 ST</v>
      </c>
      <c r="G14" t="str">
        <f>"MGI:1914342"</f>
        <v>MGI:1914342</v>
      </c>
      <c r="H14" t="str">
        <f>"Gatm"</f>
        <v>Gatm</v>
      </c>
      <c r="I14" t="str">
        <f>"glycine amidinotransferase (L-arginine:glycine amidinotransferase)"</f>
        <v>glycine amidinotransferase (L-arginine:glycine amidinotransferase)</v>
      </c>
      <c r="J14" t="str">
        <f>"protein coding gene"</f>
        <v>protein coding gene</v>
      </c>
    </row>
    <row r="15" spans="1:10">
      <c r="A15">
        <v>10371321</v>
      </c>
      <c r="B15">
        <v>20.1289236770426</v>
      </c>
      <c r="C15">
        <v>13.589797888703</v>
      </c>
      <c r="E15" t="str">
        <f>"10371321"</f>
        <v>10371321</v>
      </c>
      <c r="F15" t="str">
        <f t="shared" si="2"/>
        <v>Affy 1.0 ST</v>
      </c>
      <c r="G15" t="str">
        <f>"MGI:2442940"</f>
        <v>MGI:2442940</v>
      </c>
      <c r="H15" t="str">
        <f>"Slc41a2"</f>
        <v>Slc41a2</v>
      </c>
      <c r="I15" t="s">
        <v>73</v>
      </c>
      <c r="J15" t="s">
        <v>71</v>
      </c>
    </row>
    <row r="16" spans="1:10">
      <c r="A16">
        <v>10368289</v>
      </c>
      <c r="B16">
        <v>17.8825927642315</v>
      </c>
      <c r="C16">
        <v>13.0988310400452</v>
      </c>
      <c r="E16" t="str">
        <f>"10368289"</f>
        <v>10368289</v>
      </c>
      <c r="F16" t="str">
        <f t="shared" si="2"/>
        <v>Affy 1.0 ST</v>
      </c>
      <c r="G16" t="str">
        <f>"MGI:97370"</f>
        <v>MGI:97370</v>
      </c>
      <c r="H16" t="str">
        <f>"Enpp1"</f>
        <v>Enpp1</v>
      </c>
      <c r="I16" t="str">
        <f>"ectonucleotide pyrophosphatase/phosphodiesterase 1"</f>
        <v>ectonucleotide pyrophosphatase/phosphodiesterase 1</v>
      </c>
      <c r="J16" t="str">
        <f>"protein coding gene"</f>
        <v>protein coding gene</v>
      </c>
    </row>
    <row r="17" spans="1:10">
      <c r="A17">
        <v>10585276</v>
      </c>
      <c r="B17">
        <v>16.644459890760999</v>
      </c>
      <c r="C17">
        <v>25.739101427755202</v>
      </c>
      <c r="E17" t="str">
        <f>"10585276"</f>
        <v>10585276</v>
      </c>
      <c r="F17" t="str">
        <f t="shared" si="2"/>
        <v>Affy 1.0 ST</v>
      </c>
      <c r="G17" t="str">
        <f>"MGI:105086"</f>
        <v>MGI:105086</v>
      </c>
      <c r="H17" t="str">
        <f>"Pou2af1"</f>
        <v>Pou2af1</v>
      </c>
      <c r="I17" t="s">
        <v>74</v>
      </c>
      <c r="J17" t="s">
        <v>71</v>
      </c>
    </row>
    <row r="18" spans="1:10">
      <c r="A18">
        <v>10387985</v>
      </c>
      <c r="B18">
        <v>16.128818980373602</v>
      </c>
      <c r="C18">
        <v>3.5394879046682899</v>
      </c>
      <c r="E18" t="str">
        <f>"10387985"</f>
        <v>10387985</v>
      </c>
      <c r="F18" t="str">
        <f t="shared" si="2"/>
        <v>Affy 1.0 ST</v>
      </c>
      <c r="G18" t="str">
        <f>"MGI:3610314"</f>
        <v>MGI:3610314</v>
      </c>
      <c r="H18" t="str">
        <f>"A430084P05Rik"</f>
        <v>A430084P05Rik</v>
      </c>
      <c r="I18" t="str">
        <f>"RIKEN cDNA A430084P05 gene"</f>
        <v>RIKEN cDNA A430084P05 gene</v>
      </c>
      <c r="J18" t="str">
        <f>"protein coding gene"</f>
        <v>protein coding gene</v>
      </c>
    </row>
    <row r="19" spans="1:10">
      <c r="A19">
        <v>10384458</v>
      </c>
      <c r="B19">
        <v>16.098994205367699</v>
      </c>
      <c r="C19">
        <v>21.606145928923901</v>
      </c>
      <c r="E19" t="str">
        <f>"10384458"</f>
        <v>10384458</v>
      </c>
      <c r="F19" t="str">
        <f t="shared" si="2"/>
        <v>Affy 1.0 ST</v>
      </c>
      <c r="G19" t="str">
        <f>"MGI:1860485"</f>
        <v>MGI:1860485</v>
      </c>
      <c r="H19" t="str">
        <f>"Plek"</f>
        <v>Plek</v>
      </c>
      <c r="I19" t="str">
        <f>"pleckstrin"</f>
        <v>pleckstrin</v>
      </c>
      <c r="J19" t="str">
        <f>"protein coding gene"</f>
        <v>protein coding gene</v>
      </c>
    </row>
    <row r="20" spans="1:10">
      <c r="A20">
        <v>10554938</v>
      </c>
      <c r="B20">
        <v>15.6194077847997</v>
      </c>
      <c r="C20">
        <v>12.162235286381801</v>
      </c>
      <c r="E20" t="str">
        <f>"10554938"</f>
        <v>10554938</v>
      </c>
      <c r="F20" t="str">
        <f t="shared" si="2"/>
        <v>Affy 1.0 ST</v>
      </c>
      <c r="G20" t="str">
        <f>"MGI:1923235"</f>
        <v>MGI:1923235</v>
      </c>
      <c r="H20" t="str">
        <f>"Rab30"</f>
        <v>Rab30</v>
      </c>
      <c r="I20" t="s">
        <v>75</v>
      </c>
      <c r="J20" t="s">
        <v>71</v>
      </c>
    </row>
    <row r="21" spans="1:10">
      <c r="A21">
        <v>10412345</v>
      </c>
      <c r="B21">
        <v>15.273184262981699</v>
      </c>
      <c r="C21">
        <v>15.6681013799322</v>
      </c>
      <c r="E21" t="str">
        <f>"10412345"</f>
        <v>10412345</v>
      </c>
      <c r="F21" t="str">
        <f t="shared" si="2"/>
        <v>Affy 1.0 ST</v>
      </c>
      <c r="G21" t="str">
        <f>"MGI:1098713"</f>
        <v>MGI:1098713</v>
      </c>
      <c r="H21" t="str">
        <f>"Parp8"</f>
        <v>Parp8</v>
      </c>
      <c r="I21" t="s">
        <v>76</v>
      </c>
      <c r="J21" t="s">
        <v>71</v>
      </c>
    </row>
    <row r="22" spans="1:10">
      <c r="A22">
        <v>10432636</v>
      </c>
      <c r="B22">
        <v>14.140025618345099</v>
      </c>
      <c r="C22">
        <v>6.6368873741948597</v>
      </c>
      <c r="E22" t="str">
        <f>"10432636"</f>
        <v>10432636</v>
      </c>
      <c r="F22" t="str">
        <f t="shared" si="2"/>
        <v>Affy 1.0 ST</v>
      </c>
      <c r="G22" t="str">
        <f>"MGI:2448476"</f>
        <v>MGI:2448476</v>
      </c>
      <c r="H22" t="str">
        <f>"Smagp"</f>
        <v>Smagp</v>
      </c>
      <c r="I22" t="str">
        <f>"small cell adhesion glycoprotein"</f>
        <v>small cell adhesion glycoprotein</v>
      </c>
      <c r="J22" t="str">
        <f>"protein coding gene"</f>
        <v>protein coding gene</v>
      </c>
    </row>
    <row r="23" spans="1:10">
      <c r="A23">
        <v>10462603</v>
      </c>
      <c r="B23">
        <v>13.559633785869</v>
      </c>
      <c r="C23">
        <v>11.0440265815897</v>
      </c>
      <c r="E23" t="str">
        <f>"10462603"</f>
        <v>10462603</v>
      </c>
      <c r="F23" t="str">
        <f t="shared" si="2"/>
        <v>Affy 1.0 ST</v>
      </c>
      <c r="G23" t="str">
        <f>"MGI:95484"</f>
        <v>MGI:95484</v>
      </c>
      <c r="H23" t="str">
        <f>"Fas"</f>
        <v>Fas</v>
      </c>
      <c r="I23" t="str">
        <f>"Fas (TNF receptor superfamily member 6)"</f>
        <v>Fas (TNF receptor superfamily member 6)</v>
      </c>
      <c r="J23" t="str">
        <f>"protein coding gene"</f>
        <v>protein coding gene</v>
      </c>
    </row>
    <row r="24" spans="1:10">
      <c r="A24">
        <v>10404840</v>
      </c>
      <c r="B24">
        <v>13.389192426543399</v>
      </c>
      <c r="C24">
        <v>9.1280817788803699</v>
      </c>
      <c r="E24" t="str">
        <f>"10404840"</f>
        <v>10404840</v>
      </c>
      <c r="F24" t="str">
        <f t="shared" si="2"/>
        <v>Affy 1.0 ST</v>
      </c>
      <c r="G24" t="str">
        <f>"MGI:1328316"</f>
        <v>MGI:1328316</v>
      </c>
      <c r="H24" t="str">
        <f>"Cd83"</f>
        <v>Cd83</v>
      </c>
      <c r="I24" t="str">
        <f>"CD83 antigen"</f>
        <v>CD83 antigen</v>
      </c>
      <c r="J24" t="str">
        <f>"protein coding gene"</f>
        <v>protein coding gene</v>
      </c>
    </row>
    <row r="25" spans="1:10">
      <c r="A25">
        <v>10439346</v>
      </c>
      <c r="B25">
        <v>13.257635662251801</v>
      </c>
      <c r="C25">
        <v>4.0338885228313996</v>
      </c>
      <c r="E25" t="str">
        <f>"10439346"</f>
        <v>10439346</v>
      </c>
      <c r="F25" t="str">
        <f t="shared" si="2"/>
        <v>Affy 1.0 ST</v>
      </c>
      <c r="G25" t="str">
        <f>"MGI:2146616"</f>
        <v>MGI:2146616</v>
      </c>
      <c r="H25" t="str">
        <f>"Eaf2"</f>
        <v>Eaf2</v>
      </c>
      <c r="I25" t="str">
        <f>"ELL associated factor 2"</f>
        <v>ELL associated factor 2</v>
      </c>
      <c r="J25" t="str">
        <f>"protein coding gene"</f>
        <v>protein coding gene</v>
      </c>
    </row>
    <row r="26" spans="1:10">
      <c r="A26">
        <v>10375463</v>
      </c>
      <c r="B26">
        <v>12.7290202205402</v>
      </c>
      <c r="C26">
        <v>2.50084893058043</v>
      </c>
      <c r="E26" t="str">
        <f>"10375463"</f>
        <v>10375463</v>
      </c>
      <c r="F26" t="str">
        <f t="shared" si="2"/>
        <v>Affy 1.0 ST</v>
      </c>
      <c r="G26" t="str">
        <f>"MGI:2159680"</f>
        <v>MGI:2159680</v>
      </c>
      <c r="H26" t="str">
        <f>"Havcr1"</f>
        <v>Havcr1</v>
      </c>
      <c r="I26" t="str">
        <f>"hepatitis A virus cellular receptor 1"</f>
        <v>hepatitis A virus cellular receptor 1</v>
      </c>
      <c r="J26" t="str">
        <f>"protein coding gene"</f>
        <v>protein coding gene</v>
      </c>
    </row>
    <row r="27" spans="1:10">
      <c r="A27">
        <v>10571399</v>
      </c>
      <c r="B27">
        <v>11.9088818487262</v>
      </c>
      <c r="C27">
        <v>5.4230892665599404</v>
      </c>
      <c r="E27" t="str">
        <f>"10571399"</f>
        <v>10571399</v>
      </c>
      <c r="F27" t="str">
        <f t="shared" si="2"/>
        <v>Affy 1.0 ST</v>
      </c>
      <c r="G27" t="str">
        <f>"MGI:1923452"</f>
        <v>MGI:1923452</v>
      </c>
      <c r="H27" t="str">
        <f>"Zdhhc2"</f>
        <v>Zdhhc2</v>
      </c>
      <c r="I27" t="s">
        <v>77</v>
      </c>
      <c r="J27" t="s">
        <v>71</v>
      </c>
    </row>
    <row r="28" spans="1:10">
      <c r="A28">
        <v>10431424</v>
      </c>
      <c r="B28">
        <v>11.7044386690586</v>
      </c>
      <c r="C28">
        <v>9.3529691848986207</v>
      </c>
      <c r="E28" t="str">
        <f>"10431424"</f>
        <v>10431424</v>
      </c>
      <c r="F28" t="str">
        <f t="shared" si="2"/>
        <v>Affy 1.0 ST</v>
      </c>
      <c r="G28" t="str">
        <f>"MGI:2154239"</f>
        <v>MGI:2154239</v>
      </c>
      <c r="H28" t="str">
        <f>"Plxnb2"</f>
        <v>Plxnb2</v>
      </c>
      <c r="I28" t="str">
        <f>"plexin B2"</f>
        <v>plexin B2</v>
      </c>
      <c r="J28" t="str">
        <f>"protein coding gene"</f>
        <v>protein coding gene</v>
      </c>
    </row>
    <row r="29" spans="1:10">
      <c r="A29">
        <v>10473809</v>
      </c>
      <c r="B29">
        <v>11.330349278502601</v>
      </c>
      <c r="C29">
        <v>16.314885866891501</v>
      </c>
      <c r="E29" t="str">
        <f>"10473809"</f>
        <v>10473809</v>
      </c>
      <c r="F29" t="str">
        <f t="shared" si="2"/>
        <v>Affy 1.0 ST</v>
      </c>
      <c r="G29" t="str">
        <f>"MGI:98282"</f>
        <v>MGI:98282</v>
      </c>
      <c r="H29" t="str">
        <f>"Sfpi1"</f>
        <v>Sfpi1</v>
      </c>
      <c r="I29" t="str">
        <f>"SFFV proviral integration 1"</f>
        <v>SFFV proviral integration 1</v>
      </c>
      <c r="J29" t="str">
        <f>"protein coding gene"</f>
        <v>protein coding gene</v>
      </c>
    </row>
    <row r="30" spans="1:10">
      <c r="A30">
        <v>10587639</v>
      </c>
      <c r="B30">
        <v>11.163315074702201</v>
      </c>
      <c r="C30">
        <v>2.2650419007346101</v>
      </c>
      <c r="E30" t="str">
        <f>"10587639"</f>
        <v>10587639</v>
      </c>
      <c r="F30" t="str">
        <f t="shared" si="2"/>
        <v>Affy 1.0 ST</v>
      </c>
      <c r="G30" t="str">
        <f>"MGI:99782"</f>
        <v>MGI:99782</v>
      </c>
      <c r="H30" t="str">
        <f>"Nt5e"</f>
        <v>Nt5e</v>
      </c>
      <c r="I30" t="s">
        <v>78</v>
      </c>
      <c r="J30" t="s">
        <v>71</v>
      </c>
    </row>
    <row r="31" spans="1:10">
      <c r="A31">
        <v>10575799</v>
      </c>
      <c r="B31">
        <v>10.491735347663701</v>
      </c>
      <c r="C31">
        <v>15.2104890194395</v>
      </c>
      <c r="E31" t="str">
        <f>"10575799"</f>
        <v>10575799</v>
      </c>
      <c r="F31" t="str">
        <f t="shared" si="2"/>
        <v>Affy 1.0 ST</v>
      </c>
      <c r="G31" t="str">
        <f>"MGI:97616"</f>
        <v>MGI:97616</v>
      </c>
      <c r="H31" t="str">
        <f>"Plcg2"</f>
        <v>Plcg2</v>
      </c>
      <c r="I31" t="s">
        <v>79</v>
      </c>
      <c r="J31" t="s">
        <v>71</v>
      </c>
    </row>
    <row r="32" spans="1:10">
      <c r="A32">
        <v>10364950</v>
      </c>
      <c r="B32">
        <v>10.137992947330901</v>
      </c>
      <c r="C32">
        <v>9.1432433074407502</v>
      </c>
      <c r="E32" t="str">
        <f>"10364950"</f>
        <v>10364950</v>
      </c>
      <c r="F32" t="str">
        <f t="shared" si="2"/>
        <v>Affy 1.0 ST</v>
      </c>
      <c r="G32" t="str">
        <f>"MGI:107776"</f>
        <v>MGI:107776</v>
      </c>
      <c r="H32" t="str">
        <f>"Gadd45b"</f>
        <v>Gadd45b</v>
      </c>
      <c r="I32" t="str">
        <f>"growth arrest and DNA-damage-inducible 45 beta"</f>
        <v>growth arrest and DNA-damage-inducible 45 beta</v>
      </c>
      <c r="J32" t="str">
        <f>"protein coding gene"</f>
        <v>protein coding gene</v>
      </c>
    </row>
    <row r="33" spans="1:10">
      <c r="A33">
        <v>10539850</v>
      </c>
      <c r="B33">
        <v>9.8787042651377508</v>
      </c>
      <c r="C33">
        <v>2.4031100079399801</v>
      </c>
      <c r="E33" t="str">
        <f>"10539850"</f>
        <v>10539850</v>
      </c>
      <c r="F33" t="str">
        <f t="shared" si="2"/>
        <v>Affy 1.0 ST</v>
      </c>
      <c r="G33" t="str">
        <f>"MGI:1914053"</f>
        <v>MGI:1914053</v>
      </c>
      <c r="H33" t="str">
        <f>"8430410A17Rik"</f>
        <v>8430410A17Rik</v>
      </c>
      <c r="I33" t="str">
        <f>"RIKEN cDNA 8430410A17 gene"</f>
        <v>RIKEN cDNA 8430410A17 gene</v>
      </c>
      <c r="J33" t="str">
        <f>"protein coding gene"</f>
        <v>protein coding gene</v>
      </c>
    </row>
    <row r="34" spans="1:10">
      <c r="A34">
        <v>10418927</v>
      </c>
      <c r="B34">
        <v>9.5314013162859208</v>
      </c>
      <c r="C34">
        <v>0.30969097977996402</v>
      </c>
      <c r="E34" t="str">
        <f>"10418927"</f>
        <v>10418927</v>
      </c>
      <c r="F34" t="str">
        <f t="shared" si="2"/>
        <v>Affy 1.0 ST</v>
      </c>
      <c r="G34" t="str">
        <f>"MGI:1338938"</f>
        <v>MGI:1338938</v>
      </c>
      <c r="H34" t="str">
        <f>"Bmpr1a"</f>
        <v>Bmpr1a</v>
      </c>
      <c r="I34" t="s">
        <v>80</v>
      </c>
      <c r="J34" t="s">
        <v>71</v>
      </c>
    </row>
    <row r="35" spans="1:10">
      <c r="A35">
        <v>10434758</v>
      </c>
      <c r="B35">
        <v>9.4680951327574299</v>
      </c>
      <c r="C35">
        <v>12.454641740221501</v>
      </c>
      <c r="E35" t="str">
        <f>"10434758"</f>
        <v>10434758</v>
      </c>
      <c r="F35" t="str">
        <f t="shared" si="2"/>
        <v>Affy 1.0 ST</v>
      </c>
      <c r="G35" t="str">
        <f>"MGI:108470"</f>
        <v>MGI:108470</v>
      </c>
      <c r="H35" t="str">
        <f>"St6gal1"</f>
        <v>St6gal1</v>
      </c>
      <c r="I35" t="s">
        <v>81</v>
      </c>
      <c r="J35" t="s">
        <v>71</v>
      </c>
    </row>
    <row r="36" spans="1:10">
      <c r="A36">
        <v>10542164</v>
      </c>
      <c r="B36">
        <v>9.4231375669456998</v>
      </c>
      <c r="C36">
        <v>6.4082153510899102</v>
      </c>
      <c r="E36" t="str">
        <f>"10542164"</f>
        <v>10542164</v>
      </c>
      <c r="F36" t="str">
        <f t="shared" si="2"/>
        <v>Affy 1.0 ST</v>
      </c>
      <c r="G36" t="str">
        <f>"MGI:3040968"</f>
        <v>MGI:3040968</v>
      </c>
      <c r="H36" t="str">
        <f>"Clec12a"</f>
        <v>Clec12a</v>
      </c>
      <c r="I36" t="s">
        <v>82</v>
      </c>
      <c r="J36" t="s">
        <v>71</v>
      </c>
    </row>
    <row r="37" spans="1:10">
      <c r="A37">
        <v>10593887</v>
      </c>
      <c r="B37">
        <v>9.3732038970863396</v>
      </c>
      <c r="C37">
        <v>6.6735051264729197</v>
      </c>
      <c r="E37" t="str">
        <f>"10593887"</f>
        <v>10593887</v>
      </c>
      <c r="F37" t="str">
        <f t="shared" si="2"/>
        <v>Affy 1.0 ST</v>
      </c>
      <c r="G37" t="str">
        <f>"MGI:1920024"</f>
        <v>MGI:1920024</v>
      </c>
      <c r="H37" t="str">
        <f>"Neil1"</f>
        <v>Neil1</v>
      </c>
      <c r="I37" t="str">
        <f>"nei endonuclease VIII-like 1 (E. coli)"</f>
        <v>nei endonuclease VIII-like 1 (E. coli)</v>
      </c>
      <c r="J37" t="str">
        <f>"protein coding gene"</f>
        <v>protein coding gene</v>
      </c>
    </row>
    <row r="38" spans="1:10">
      <c r="A38">
        <v>10543067</v>
      </c>
      <c r="B38">
        <v>9.2502862826337697</v>
      </c>
      <c r="C38">
        <v>4.7928777381849201</v>
      </c>
      <c r="E38" t="str">
        <f>"10543067"</f>
        <v>10543067</v>
      </c>
      <c r="F38" t="str">
        <f t="shared" si="2"/>
        <v>Affy 1.0 ST</v>
      </c>
      <c r="G38" t="str">
        <f>"MGI:1350929"</f>
        <v>MGI:1350929</v>
      </c>
      <c r="H38" t="str">
        <f>"Asns"</f>
        <v>Asns</v>
      </c>
      <c r="I38" t="str">
        <f>"asparagine synthetase"</f>
        <v>asparagine synthetase</v>
      </c>
      <c r="J38" t="str">
        <f>"protein coding gene"</f>
        <v>protein coding gene</v>
      </c>
    </row>
    <row r="39" spans="1:10">
      <c r="A39">
        <v>10534585</v>
      </c>
      <c r="B39">
        <v>9.09990170558466</v>
      </c>
      <c r="C39">
        <v>2.25750370490915</v>
      </c>
      <c r="E39" t="str">
        <f>"10534585"</f>
        <v>10534585</v>
      </c>
      <c r="F39" t="str">
        <f t="shared" si="2"/>
        <v>Affy 1.0 ST</v>
      </c>
      <c r="G39" t="str">
        <f>"MGI:1345171"</f>
        <v>MGI:1345171</v>
      </c>
      <c r="H39" t="str">
        <f>"Sh2b2"</f>
        <v>Sh2b2</v>
      </c>
      <c r="I39" t="str">
        <f>"SH2B adaptor protein 2"</f>
        <v>SH2B adaptor protein 2</v>
      </c>
      <c r="J39" t="str">
        <f>"protein coding gene"</f>
        <v>protein coding gene</v>
      </c>
    </row>
    <row r="40" spans="1:10">
      <c r="A40">
        <v>10435514</v>
      </c>
      <c r="B40">
        <v>8.6490915162302997</v>
      </c>
      <c r="C40">
        <v>2.5933374265518601</v>
      </c>
      <c r="E40" t="str">
        <f>"10435514"</f>
        <v>10435514</v>
      </c>
      <c r="F40" t="str">
        <f t="shared" si="2"/>
        <v>Affy 1.0 ST</v>
      </c>
      <c r="G40" t="str">
        <f>"MGI:2146574"</f>
        <v>MGI:2146574</v>
      </c>
      <c r="H40" t="str">
        <f>"Ildr1"</f>
        <v>Ildr1</v>
      </c>
      <c r="I40" t="str">
        <f>"immunoglobulin-like domain containing receptor 1"</f>
        <v>immunoglobulin-like domain containing receptor 1</v>
      </c>
      <c r="J40" t="str">
        <f>"protein coding gene"</f>
        <v>protein coding gene</v>
      </c>
    </row>
    <row r="41" spans="1:10">
      <c r="A41">
        <v>10442115</v>
      </c>
      <c r="B41">
        <v>8.5278441503367706</v>
      </c>
      <c r="C41">
        <v>2.23478140146148</v>
      </c>
      <c r="E41" t="str">
        <f>"10442115"</f>
        <v>10442115</v>
      </c>
      <c r="F41" t="str">
        <f t="shared" si="2"/>
        <v>Affy 1.0 ST</v>
      </c>
      <c r="G41" t="str">
        <f>"MGI:3644514"</f>
        <v>MGI:3644514</v>
      </c>
      <c r="H41" t="str">
        <f>"Vmn2r96"</f>
        <v>Vmn2r96</v>
      </c>
      <c r="I41" t="s">
        <v>83</v>
      </c>
      <c r="J41" t="s">
        <v>71</v>
      </c>
    </row>
    <row r="42" spans="1:10">
      <c r="A42">
        <v>10427816</v>
      </c>
      <c r="B42">
        <v>8.4339692159869202</v>
      </c>
      <c r="C42">
        <v>3.3109012685236099</v>
      </c>
      <c r="E42" t="str">
        <f>"10427816"</f>
        <v>10427816</v>
      </c>
      <c r="F42" t="str">
        <f t="shared" si="2"/>
        <v>Affy 1.0 ST</v>
      </c>
      <c r="G42" t="str">
        <f>"MGI:1922394"</f>
        <v>MGI:1922394</v>
      </c>
      <c r="H42" t="str">
        <f>"Pdzd2"</f>
        <v>Pdzd2</v>
      </c>
      <c r="I42" t="str">
        <f>"PDZ domain containing 2"</f>
        <v>PDZ domain containing 2</v>
      </c>
      <c r="J42" t="str">
        <f>"protein coding gene"</f>
        <v>protein coding gene</v>
      </c>
    </row>
    <row r="43" spans="1:10">
      <c r="A43">
        <v>10557342</v>
      </c>
      <c r="B43">
        <v>8.3771189287915195</v>
      </c>
      <c r="C43">
        <v>6.2804462143912803</v>
      </c>
      <c r="E43" t="str">
        <f>"10557342"</f>
        <v>10557342</v>
      </c>
      <c r="F43" t="str">
        <f t="shared" si="2"/>
        <v>Affy 1.0 ST</v>
      </c>
      <c r="G43" t="str">
        <f>"MGI:1890475"</f>
        <v>MGI:1890475</v>
      </c>
      <c r="H43" t="str">
        <f>"Il21r"</f>
        <v>Il21r</v>
      </c>
      <c r="I43" t="str">
        <f>"interleukin 21 receptor"</f>
        <v>interleukin 21 receptor</v>
      </c>
      <c r="J43" t="str">
        <f>"protein coding gene"</f>
        <v>protein coding gene</v>
      </c>
    </row>
    <row r="44" spans="1:10">
      <c r="A44">
        <v>10410099</v>
      </c>
      <c r="B44">
        <v>8.0733953623710093</v>
      </c>
      <c r="C44">
        <v>2.5002905973821101</v>
      </c>
      <c r="E44" t="str">
        <f>"10410099"</f>
        <v>10410099</v>
      </c>
      <c r="F44" t="str">
        <f t="shared" si="2"/>
        <v>Affy 1.0 ST</v>
      </c>
      <c r="G44" t="str">
        <f>"MGI:2441808"</f>
        <v>MGI:2441808</v>
      </c>
      <c r="H44" t="str">
        <f>"Cdc14b"</f>
        <v>Cdc14b</v>
      </c>
      <c r="I44" t="str">
        <f>"CDC14 cell division cycle 14 homolog B (S. cerevisiae)"</f>
        <v>CDC14 cell division cycle 14 homolog B (S. cerevisiae)</v>
      </c>
      <c r="J44" t="str">
        <f>"protein coding gene"</f>
        <v>protein coding gene</v>
      </c>
    </row>
    <row r="45" spans="1:10">
      <c r="A45">
        <v>10430818</v>
      </c>
      <c r="B45">
        <v>7.6099723130315402</v>
      </c>
      <c r="C45">
        <v>6.31593149209841</v>
      </c>
      <c r="E45" t="str">
        <f>"10430818"</f>
        <v>10430818</v>
      </c>
      <c r="F45" t="str">
        <f t="shared" si="2"/>
        <v>Affy 1.0 ST</v>
      </c>
      <c r="G45" t="str">
        <f>"MGI:1919299"</f>
        <v>MGI:1919299</v>
      </c>
      <c r="H45" t="str">
        <f>"Tnfrsf13c"</f>
        <v>Tnfrsf13c</v>
      </c>
      <c r="I45" t="s">
        <v>84</v>
      </c>
      <c r="J45" t="s">
        <v>71</v>
      </c>
    </row>
    <row r="46" spans="1:10">
      <c r="A46">
        <v>10545101</v>
      </c>
      <c r="B46">
        <v>7.6022242703552596</v>
      </c>
      <c r="C46">
        <v>4.3825755822330104</v>
      </c>
      <c r="E46" t="str">
        <f>"10545101"</f>
        <v>10545101</v>
      </c>
      <c r="F46" t="str">
        <f t="shared" si="2"/>
        <v>Affy 1.0 ST</v>
      </c>
      <c r="G46" t="str">
        <f>"MGI:1859384"</f>
        <v>MGI:1859384</v>
      </c>
      <c r="H46" t="str">
        <f>"Hpgds"</f>
        <v>Hpgds</v>
      </c>
      <c r="I46" t="str">
        <f>"hematopoietic prostaglandin D synthase"</f>
        <v>hematopoietic prostaglandin D synthase</v>
      </c>
      <c r="J46" t="str">
        <f>"protein coding gene"</f>
        <v>protein coding gene</v>
      </c>
    </row>
    <row r="47" spans="1:10">
      <c r="A47">
        <v>10356267</v>
      </c>
      <c r="B47">
        <v>7.5754984155884797</v>
      </c>
      <c r="C47">
        <v>5.3305860958093501</v>
      </c>
      <c r="E47" t="str">
        <f>"10356267"</f>
        <v>10356267</v>
      </c>
      <c r="F47" t="str">
        <f t="shared" si="2"/>
        <v>Affy 1.0 ST</v>
      </c>
      <c r="G47" t="str">
        <f>"MGI:3037746"</f>
        <v>MGI:3037746</v>
      </c>
      <c r="H47" t="str">
        <f>"A530032D15Rik"</f>
        <v>A530032D15Rik</v>
      </c>
      <c r="I47" t="str">
        <f>"RIKEN cDNA A530032D15Rik gene"</f>
        <v>RIKEN cDNA A530032D15Rik gene</v>
      </c>
      <c r="J47" t="str">
        <f>"protein coding gene"</f>
        <v>protein coding gene</v>
      </c>
    </row>
    <row r="48" spans="1:10">
      <c r="A48">
        <v>10566268</v>
      </c>
      <c r="B48">
        <v>7.5164381278430197</v>
      </c>
      <c r="C48">
        <v>0.93786499257616096</v>
      </c>
      <c r="E48" t="str">
        <f>"10566268"</f>
        <v>10566268</v>
      </c>
      <c r="F48" t="str">
        <f t="shared" si="2"/>
        <v>Affy 1.0 ST</v>
      </c>
      <c r="G48" t="str">
        <f>"MGI:96024"</f>
        <v>MGI:96024</v>
      </c>
      <c r="H48" t="str">
        <f>"Hbb-bh1"</f>
        <v>Hbb-bh1</v>
      </c>
      <c r="I48" t="s">
        <v>85</v>
      </c>
      <c r="J48" t="s">
        <v>71</v>
      </c>
    </row>
    <row r="49" spans="1:10">
      <c r="A49">
        <v>10545184</v>
      </c>
      <c r="B49">
        <v>7.4918220888830298</v>
      </c>
      <c r="C49">
        <v>4.9450548607343796</v>
      </c>
      <c r="E49" t="str">
        <f>"10545184"</f>
        <v>10545184</v>
      </c>
      <c r="F49" t="str">
        <f>""</f>
        <v/>
      </c>
      <c r="G49" t="str">
        <f>"No associated gene"</f>
        <v>No associated gene</v>
      </c>
    </row>
    <row r="50" spans="1:10">
      <c r="A50">
        <v>10479833</v>
      </c>
      <c r="B50">
        <v>7.4813730429473004</v>
      </c>
      <c r="C50">
        <v>3.08529140595319</v>
      </c>
      <c r="E50" t="str">
        <f>"10479833"</f>
        <v>10479833</v>
      </c>
      <c r="F50" t="str">
        <f t="shared" ref="F50:F89" si="3">"Affy 1.0 ST"</f>
        <v>Affy 1.0 ST</v>
      </c>
      <c r="G50" t="str">
        <f>"MGI:1918898"</f>
        <v>MGI:1918898</v>
      </c>
      <c r="H50" t="str">
        <f>"Optn"</f>
        <v>Optn</v>
      </c>
      <c r="I50" t="str">
        <f>"optineurin"</f>
        <v>optineurin</v>
      </c>
      <c r="J50" t="str">
        <f>"protein coding gene"</f>
        <v>protein coding gene</v>
      </c>
    </row>
    <row r="51" spans="1:10">
      <c r="A51">
        <v>10351667</v>
      </c>
      <c r="B51">
        <v>7.3714470735864204</v>
      </c>
      <c r="C51">
        <v>7.5946420052931698</v>
      </c>
      <c r="E51" t="str">
        <f>"10351667"</f>
        <v>10351667</v>
      </c>
      <c r="F51" t="str">
        <f t="shared" si="3"/>
        <v>Affy 1.0 ST</v>
      </c>
      <c r="G51" t="str">
        <f>"MGI:1351314"</f>
        <v>MGI:1351314</v>
      </c>
      <c r="H51" t="str">
        <f>"Slamf1"</f>
        <v>Slamf1</v>
      </c>
      <c r="I51" t="str">
        <f>"signaling lymphocytic activation molecule family member 1"</f>
        <v>signaling lymphocytic activation molecule family member 1</v>
      </c>
      <c r="J51" t="str">
        <f>"protein coding gene"</f>
        <v>protein coding gene</v>
      </c>
    </row>
    <row r="52" spans="1:10">
      <c r="A52">
        <v>10434806</v>
      </c>
      <c r="B52">
        <v>7.32258904668155</v>
      </c>
      <c r="C52">
        <v>1.1505443145279799</v>
      </c>
      <c r="E52" t="str">
        <f>"10434806"</f>
        <v>10434806</v>
      </c>
      <c r="F52" t="str">
        <f t="shared" si="3"/>
        <v>Affy 1.0 ST</v>
      </c>
      <c r="G52" t="str">
        <f>"MGI:2441849"</f>
        <v>MGI:2441849</v>
      </c>
      <c r="H52" t="str">
        <f>"Lpp"</f>
        <v>Lpp</v>
      </c>
      <c r="I52" t="str">
        <f>"LIM domain containing preferred translocation partner in lipoma"</f>
        <v>LIM domain containing preferred translocation partner in lipoma</v>
      </c>
      <c r="J52" t="str">
        <f>"protein coding gene"</f>
        <v>protein coding gene</v>
      </c>
    </row>
    <row r="53" spans="1:10">
      <c r="A53">
        <v>10427895</v>
      </c>
      <c r="B53">
        <v>7.2621370604562197</v>
      </c>
      <c r="C53">
        <v>1.20490098313376</v>
      </c>
      <c r="E53" t="str">
        <f>"10427895"</f>
        <v>10427895</v>
      </c>
      <c r="F53" t="str">
        <f t="shared" si="3"/>
        <v>Affy 1.0 ST</v>
      </c>
      <c r="G53" t="str">
        <f>"MGI:1917600"</f>
        <v>MGI:1917600</v>
      </c>
      <c r="H53" t="str">
        <f>"Basp1"</f>
        <v>Basp1</v>
      </c>
      <c r="I53" t="s">
        <v>86</v>
      </c>
      <c r="J53" t="s">
        <v>71</v>
      </c>
    </row>
    <row r="54" spans="1:10">
      <c r="A54">
        <v>10600936</v>
      </c>
      <c r="B54">
        <v>7.2421473699086398</v>
      </c>
      <c r="C54">
        <v>0.64939139004680602</v>
      </c>
      <c r="E54" t="str">
        <f>"10600936"</f>
        <v>10600936</v>
      </c>
      <c r="F54" t="str">
        <f t="shared" si="3"/>
        <v>Affy 1.0 ST</v>
      </c>
      <c r="G54" t="str">
        <f>"MGI:102708"</f>
        <v>MGI:102708</v>
      </c>
      <c r="H54" t="str">
        <f>"Efnb1"</f>
        <v>Efnb1</v>
      </c>
      <c r="I54" t="str">
        <f>"ephrin B1"</f>
        <v>ephrin B1</v>
      </c>
      <c r="J54" t="str">
        <f t="shared" ref="J54:J62" si="4">"protein coding gene"</f>
        <v>protein coding gene</v>
      </c>
    </row>
    <row r="55" spans="1:10">
      <c r="A55">
        <v>10438738</v>
      </c>
      <c r="B55">
        <v>7.1373654545271998</v>
      </c>
      <c r="C55">
        <v>3.6085607026426798</v>
      </c>
      <c r="E55" t="str">
        <f>"10438738"</f>
        <v>10438738</v>
      </c>
      <c r="F55" t="str">
        <f t="shared" si="3"/>
        <v>Affy 1.0 ST</v>
      </c>
      <c r="G55" t="str">
        <f>"MGI:107187"</f>
        <v>MGI:107187</v>
      </c>
      <c r="H55" t="str">
        <f>"Bcl6"</f>
        <v>Bcl6</v>
      </c>
      <c r="I55" t="str">
        <f>"B-cell leukemia/lymphoma 6"</f>
        <v>B-cell leukemia/lymphoma 6</v>
      </c>
      <c r="J55" t="str">
        <f t="shared" si="4"/>
        <v>protein coding gene</v>
      </c>
    </row>
    <row r="56" spans="1:10">
      <c r="A56">
        <v>10434782</v>
      </c>
      <c r="B56">
        <v>7.0304391612299302</v>
      </c>
      <c r="C56">
        <v>1.3507739194142701</v>
      </c>
      <c r="E56" t="str">
        <f>"10434782"</f>
        <v>10434782</v>
      </c>
      <c r="F56" t="str">
        <f t="shared" si="3"/>
        <v>Affy 1.0 ST</v>
      </c>
      <c r="G56" t="str">
        <f>"MGI:2441849"</f>
        <v>MGI:2441849</v>
      </c>
      <c r="H56" t="str">
        <f>"Lpp"</f>
        <v>Lpp</v>
      </c>
      <c r="I56" t="str">
        <f>"LIM domain containing preferred translocation partner in lipoma"</f>
        <v>LIM domain containing preferred translocation partner in lipoma</v>
      </c>
      <c r="J56" t="str">
        <f t="shared" si="4"/>
        <v>protein coding gene</v>
      </c>
    </row>
    <row r="57" spans="1:10">
      <c r="A57">
        <v>10596222</v>
      </c>
      <c r="B57">
        <v>6.9892830839929099</v>
      </c>
      <c r="C57">
        <v>1.2507620775713999</v>
      </c>
      <c r="E57" t="str">
        <f>"10596222"</f>
        <v>10596222</v>
      </c>
      <c r="F57" t="str">
        <f t="shared" si="3"/>
        <v>Affy 1.0 ST</v>
      </c>
      <c r="G57" t="str">
        <f>"MGI:2181676"</f>
        <v>MGI:2181676</v>
      </c>
      <c r="H57" t="str">
        <f>"Ccrl1"</f>
        <v>Ccrl1</v>
      </c>
      <c r="I57" t="str">
        <f>"chemokine (C-C motif) receptor-like 1"</f>
        <v>chemokine (C-C motif) receptor-like 1</v>
      </c>
      <c r="J57" t="str">
        <f t="shared" si="4"/>
        <v>protein coding gene</v>
      </c>
    </row>
    <row r="58" spans="1:10">
      <c r="A58">
        <v>10476648</v>
      </c>
      <c r="B58">
        <v>6.9535490525628898</v>
      </c>
      <c r="C58">
        <v>2.9870352950713599</v>
      </c>
      <c r="E58" t="str">
        <f>"10476648"</f>
        <v>10476648</v>
      </c>
      <c r="F58" t="str">
        <f t="shared" si="3"/>
        <v>Affy 1.0 ST</v>
      </c>
      <c r="G58" t="str">
        <f>"MGI:1929270"</f>
        <v>MGI:1929270</v>
      </c>
      <c r="H58" t="str">
        <f>"Dstn"</f>
        <v>Dstn</v>
      </c>
      <c r="I58" t="str">
        <f>"destrin"</f>
        <v>destrin</v>
      </c>
      <c r="J58" t="str">
        <f t="shared" si="4"/>
        <v>protein coding gene</v>
      </c>
    </row>
    <row r="59" spans="1:10">
      <c r="A59">
        <v>10425890</v>
      </c>
      <c r="B59">
        <v>6.9422407829186303</v>
      </c>
      <c r="C59">
        <v>0.55990008577038097</v>
      </c>
      <c r="E59" t="str">
        <f>"10425890"</f>
        <v>10425890</v>
      </c>
      <c r="F59" t="str">
        <f t="shared" si="3"/>
        <v>Affy 1.0 ST</v>
      </c>
      <c r="G59" t="str">
        <f>"MGI:1920417"</f>
        <v>MGI:1920417</v>
      </c>
      <c r="H59" t="str">
        <f>"Arhgap8"</f>
        <v>Arhgap8</v>
      </c>
      <c r="I59" t="str">
        <f>"Rho GTPase activating protein 8"</f>
        <v>Rho GTPase activating protein 8</v>
      </c>
      <c r="J59" t="str">
        <f t="shared" si="4"/>
        <v>protein coding gene</v>
      </c>
    </row>
    <row r="60" spans="1:10">
      <c r="A60">
        <v>10591412</v>
      </c>
      <c r="B60">
        <v>6.8925546709953496</v>
      </c>
      <c r="C60">
        <v>1.17863985334967</v>
      </c>
      <c r="E60" t="str">
        <f>"10591412"</f>
        <v>10591412</v>
      </c>
      <c r="F60" t="str">
        <f t="shared" si="3"/>
        <v>Affy 1.0 ST</v>
      </c>
      <c r="G60" t="str">
        <f>"MGI:99569"</f>
        <v>MGI:99569</v>
      </c>
      <c r="H60" t="str">
        <f>"S1pr2"</f>
        <v>S1pr2</v>
      </c>
      <c r="I60" t="str">
        <f>"sphingosine-1-phosphate receptor 2"</f>
        <v>sphingosine-1-phosphate receptor 2</v>
      </c>
      <c r="J60" t="str">
        <f t="shared" si="4"/>
        <v>protein coding gene</v>
      </c>
    </row>
    <row r="61" spans="1:10">
      <c r="A61">
        <v>10489391</v>
      </c>
      <c r="B61">
        <v>6.3365775849319999</v>
      </c>
      <c r="C61">
        <v>4.1052523800437797</v>
      </c>
      <c r="E61" t="str">
        <f>"10489391"</f>
        <v>10489391</v>
      </c>
      <c r="F61" t="str">
        <f t="shared" si="3"/>
        <v>Affy 1.0 ST</v>
      </c>
      <c r="G61" t="str">
        <f>"MGI:87916"</f>
        <v>MGI:87916</v>
      </c>
      <c r="H61" t="str">
        <f>"Ada"</f>
        <v>Ada</v>
      </c>
      <c r="I61" t="str">
        <f>"adenosine deaminase"</f>
        <v>adenosine deaminase</v>
      </c>
      <c r="J61" t="str">
        <f t="shared" si="4"/>
        <v>protein coding gene</v>
      </c>
    </row>
    <row r="62" spans="1:10">
      <c r="A62">
        <v>10560624</v>
      </c>
      <c r="B62">
        <v>6.1402734998393003</v>
      </c>
      <c r="C62">
        <v>3.80888269329796</v>
      </c>
      <c r="E62" t="str">
        <f>"10560624"</f>
        <v>10560624</v>
      </c>
      <c r="F62" t="str">
        <f t="shared" si="3"/>
        <v>Affy 1.0 ST</v>
      </c>
      <c r="G62" t="str">
        <f>"MGI:88057"</f>
        <v>MGI:88057</v>
      </c>
      <c r="H62" t="str">
        <f>"Apoe"</f>
        <v>Apoe</v>
      </c>
      <c r="I62" t="str">
        <f>"apolipoprotein E"</f>
        <v>apolipoprotein E</v>
      </c>
      <c r="J62" t="str">
        <f t="shared" si="4"/>
        <v>protein coding gene</v>
      </c>
    </row>
    <row r="63" spans="1:10">
      <c r="A63">
        <v>10403009</v>
      </c>
      <c r="B63">
        <v>6.1207073772296603</v>
      </c>
      <c r="C63">
        <v>6.5377042450158598</v>
      </c>
      <c r="E63" t="str">
        <f>"10403009"</f>
        <v>10403009</v>
      </c>
      <c r="F63" t="str">
        <f t="shared" si="3"/>
        <v>Affy 1.0 ST</v>
      </c>
      <c r="G63" t="str">
        <f>"MGI:3645298"</f>
        <v>MGI:3645298</v>
      </c>
      <c r="H63" t="str">
        <f>"Ighv3-8"</f>
        <v>Ighv3-8</v>
      </c>
      <c r="I63" t="str">
        <f>"immunoglobulin heavy variable V3-8"</f>
        <v>immunoglobulin heavy variable V3-8</v>
      </c>
      <c r="J63" t="str">
        <f>"gene segment"</f>
        <v>gene segment</v>
      </c>
    </row>
    <row r="64" spans="1:10">
      <c r="A64">
        <v>10576034</v>
      </c>
      <c r="B64">
        <v>6.0543842998208799</v>
      </c>
      <c r="C64">
        <v>7.1784329789222996</v>
      </c>
      <c r="E64" t="str">
        <f>"10576034"</f>
        <v>10576034</v>
      </c>
      <c r="F64" t="str">
        <f t="shared" si="3"/>
        <v>Affy 1.0 ST</v>
      </c>
      <c r="G64" t="str">
        <f>"MGI:96395"</f>
        <v>MGI:96395</v>
      </c>
      <c r="H64" t="str">
        <f>"Irf8"</f>
        <v>Irf8</v>
      </c>
      <c r="I64" t="str">
        <f>"interferon regulatory factor 8"</f>
        <v>interferon regulatory factor 8</v>
      </c>
      <c r="J64" t="str">
        <f>"protein coding gene"</f>
        <v>protein coding gene</v>
      </c>
    </row>
    <row r="65" spans="1:10">
      <c r="A65">
        <v>10425880</v>
      </c>
      <c r="B65">
        <v>6.0198837544646997</v>
      </c>
      <c r="C65">
        <v>4.5305324274215799</v>
      </c>
      <c r="E65" t="str">
        <f>"10425880"</f>
        <v>10425880</v>
      </c>
      <c r="F65" t="str">
        <f t="shared" si="3"/>
        <v>Affy 1.0 ST</v>
      </c>
      <c r="G65" t="str">
        <f>"MGI:1924714"</f>
        <v>MGI:1924714</v>
      </c>
      <c r="H65" t="str">
        <f>"Prr5"</f>
        <v>Prr5</v>
      </c>
      <c r="I65" t="str">
        <f>"proline rich 5 (renal)"</f>
        <v>proline rich 5 (renal)</v>
      </c>
      <c r="J65" t="str">
        <f>"protein coding gene"</f>
        <v>protein coding gene</v>
      </c>
    </row>
    <row r="66" spans="1:10">
      <c r="A66">
        <v>10547621</v>
      </c>
      <c r="B66">
        <v>5.9651526033367999</v>
      </c>
      <c r="C66">
        <v>6.4085102388308997</v>
      </c>
      <c r="E66" t="str">
        <f>"10547621"</f>
        <v>10547621</v>
      </c>
      <c r="F66" t="str">
        <f t="shared" si="3"/>
        <v>Affy 1.0 ST</v>
      </c>
      <c r="G66" t="str">
        <f>"MGI:103298"</f>
        <v>MGI:103298</v>
      </c>
      <c r="H66" t="str">
        <f>"Apobec1"</f>
        <v>Apobec1</v>
      </c>
      <c r="I66" t="s">
        <v>87</v>
      </c>
      <c r="J66" t="s">
        <v>71</v>
      </c>
    </row>
    <row r="67" spans="1:10">
      <c r="A67">
        <v>10345546</v>
      </c>
      <c r="B67">
        <v>5.9355476630623798</v>
      </c>
      <c r="C67">
        <v>0.40381169158555102</v>
      </c>
      <c r="E67" t="str">
        <f>"10345546"</f>
        <v>10345546</v>
      </c>
      <c r="F67" t="str">
        <f t="shared" si="3"/>
        <v>Affy 1.0 ST</v>
      </c>
      <c r="G67" t="str">
        <f>"MGI:1918103"</f>
        <v>MGI:1918103</v>
      </c>
      <c r="H67" t="str">
        <f>"Vwa3b"</f>
        <v>Vwa3b</v>
      </c>
      <c r="I67" t="str">
        <f>"von Willebrand factor A domain containing 3B"</f>
        <v>von Willebrand factor A domain containing 3B</v>
      </c>
      <c r="J67" t="str">
        <f>"protein coding gene"</f>
        <v>protein coding gene</v>
      </c>
    </row>
    <row r="68" spans="1:10">
      <c r="A68">
        <v>10344725</v>
      </c>
      <c r="B68">
        <v>5.9193098490610696</v>
      </c>
      <c r="C68">
        <v>0.34049836525807098</v>
      </c>
      <c r="E68" t="str">
        <f>"10344725"</f>
        <v>10344725</v>
      </c>
      <c r="F68" t="str">
        <f t="shared" si="3"/>
        <v>Affy 1.0 ST</v>
      </c>
      <c r="G68" t="str">
        <f>"MGI:1923437"</f>
        <v>MGI:1923437</v>
      </c>
      <c r="H68" t="str">
        <f>"Adhfe1"</f>
        <v>Adhfe1</v>
      </c>
      <c r="I68" t="s">
        <v>88</v>
      </c>
      <c r="J68" t="s">
        <v>71</v>
      </c>
    </row>
    <row r="69" spans="1:10">
      <c r="A69">
        <v>10454286</v>
      </c>
      <c r="B69">
        <v>5.8867235212652602</v>
      </c>
      <c r="C69">
        <v>3.86737162298913</v>
      </c>
      <c r="E69" t="str">
        <f>"10454286"</f>
        <v>10454286</v>
      </c>
      <c r="F69" t="str">
        <f t="shared" si="3"/>
        <v>Affy 1.0 ST</v>
      </c>
      <c r="G69" t="str">
        <f>"MGI:106271"</f>
        <v>MGI:106271</v>
      </c>
      <c r="H69" t="str">
        <f>"Mapre2"</f>
        <v>Mapre2</v>
      </c>
      <c r="I69" t="s">
        <v>89</v>
      </c>
      <c r="J69" t="s">
        <v>71</v>
      </c>
    </row>
    <row r="70" spans="1:10">
      <c r="A70">
        <v>10527940</v>
      </c>
      <c r="B70">
        <v>5.8791875211801097</v>
      </c>
      <c r="C70">
        <v>0.27379970346459698</v>
      </c>
      <c r="E70" t="str">
        <f>"10527940"</f>
        <v>10527940</v>
      </c>
      <c r="F70" t="str">
        <f t="shared" si="3"/>
        <v>Affy 1.0 ST</v>
      </c>
      <c r="G70" t="str">
        <f>"MGI:894318"</f>
        <v>MGI:894318</v>
      </c>
      <c r="H70" t="str">
        <f>"Cdk14"</f>
        <v>Cdk14</v>
      </c>
      <c r="I70" t="str">
        <f>"cyclin-dependent kinase 14"</f>
        <v>cyclin-dependent kinase 14</v>
      </c>
      <c r="J70" t="str">
        <f t="shared" ref="J70:J82" si="5">"protein coding gene"</f>
        <v>protein coding gene</v>
      </c>
    </row>
    <row r="71" spans="1:10">
      <c r="A71">
        <v>10406254</v>
      </c>
      <c r="B71">
        <v>5.7753922588689601</v>
      </c>
      <c r="C71">
        <v>4.1813924835248404</v>
      </c>
      <c r="E71" t="str">
        <f>"10406254"</f>
        <v>10406254</v>
      </c>
      <c r="F71" t="str">
        <f t="shared" si="3"/>
        <v>Affy 1.0 ST</v>
      </c>
      <c r="G71" t="str">
        <f>"MGI:2183438"</f>
        <v>MGI:2183438</v>
      </c>
      <c r="H71" t="str">
        <f>"Ell2"</f>
        <v>Ell2</v>
      </c>
      <c r="I71" t="str">
        <f>"elongation factor RNA polymerase II 2"</f>
        <v>elongation factor RNA polymerase II 2</v>
      </c>
      <c r="J71" t="str">
        <f t="shared" si="5"/>
        <v>protein coding gene</v>
      </c>
    </row>
    <row r="72" spans="1:10">
      <c r="A72">
        <v>10400748</v>
      </c>
      <c r="B72">
        <v>5.7556453769851696</v>
      </c>
      <c r="C72">
        <v>1.2543351015638999</v>
      </c>
      <c r="E72" t="str">
        <f>"10400748"</f>
        <v>10400748</v>
      </c>
      <c r="F72" t="str">
        <f t="shared" si="3"/>
        <v>Affy 1.0 ST</v>
      </c>
      <c r="G72" t="str">
        <f>"MGI:1918341"</f>
        <v>MGI:1918341</v>
      </c>
      <c r="H72" t="str">
        <f>"Cdkl1"</f>
        <v>Cdkl1</v>
      </c>
      <c r="I72" t="str">
        <f>"cyclin-dependent kinase-like 1 (CDC2-related kinase)"</f>
        <v>cyclin-dependent kinase-like 1 (CDC2-related kinase)</v>
      </c>
      <c r="J72" t="str">
        <f t="shared" si="5"/>
        <v>protein coding gene</v>
      </c>
    </row>
    <row r="73" spans="1:10">
      <c r="A73">
        <v>10508392</v>
      </c>
      <c r="B73">
        <v>5.7325069590359297</v>
      </c>
      <c r="C73">
        <v>3.3212923026274099</v>
      </c>
      <c r="E73" t="str">
        <f>"10508392"</f>
        <v>10508392</v>
      </c>
      <c r="F73" t="str">
        <f t="shared" si="3"/>
        <v>Affy 1.0 ST</v>
      </c>
      <c r="G73" t="str">
        <f>"MGI:1922484"</f>
        <v>MGI:1922484</v>
      </c>
      <c r="H73" t="str">
        <f>"Rnf19b"</f>
        <v>Rnf19b</v>
      </c>
      <c r="I73" t="str">
        <f>"ring finger protein 19B"</f>
        <v>ring finger protein 19B</v>
      </c>
      <c r="J73" t="str">
        <f t="shared" si="5"/>
        <v>protein coding gene</v>
      </c>
    </row>
    <row r="74" spans="1:10">
      <c r="A74">
        <v>10418842</v>
      </c>
      <c r="B74">
        <v>5.7239225016707698</v>
      </c>
      <c r="C74">
        <v>0.272681228322112</v>
      </c>
      <c r="E74" t="str">
        <f>"10418842"</f>
        <v>10418842</v>
      </c>
      <c r="F74" t="str">
        <f t="shared" si="3"/>
        <v>Affy 1.0 ST</v>
      </c>
      <c r="G74" t="str">
        <f>"MGI:3588196"</f>
        <v>MGI:3588196</v>
      </c>
      <c r="H74" t="str">
        <f>"3425401B19Rik"</f>
        <v>3425401B19Rik</v>
      </c>
      <c r="I74" t="str">
        <f>"RIKEN cDNA 3425401B19 gene"</f>
        <v>RIKEN cDNA 3425401B19 gene</v>
      </c>
      <c r="J74" t="str">
        <f t="shared" si="5"/>
        <v>protein coding gene</v>
      </c>
    </row>
    <row r="75" spans="1:10">
      <c r="A75">
        <v>10416800</v>
      </c>
      <c r="B75">
        <v>5.7009095817900599</v>
      </c>
      <c r="C75">
        <v>1.1701609435048601</v>
      </c>
      <c r="E75" t="str">
        <f>"10416800"</f>
        <v>10416800</v>
      </c>
      <c r="F75" t="str">
        <f t="shared" si="3"/>
        <v>Affy 1.0 ST</v>
      </c>
      <c r="G75" t="str">
        <f>"MGI:1353586"</f>
        <v>MGI:1353586</v>
      </c>
      <c r="H75" t="str">
        <f>"Lmo7"</f>
        <v>Lmo7</v>
      </c>
      <c r="I75" t="str">
        <f>"LIM domain only 7"</f>
        <v>LIM domain only 7</v>
      </c>
      <c r="J75" t="str">
        <f t="shared" si="5"/>
        <v>protein coding gene</v>
      </c>
    </row>
    <row r="76" spans="1:10">
      <c r="A76">
        <v>10450501</v>
      </c>
      <c r="B76">
        <v>5.6228639799915703</v>
      </c>
      <c r="C76">
        <v>3.1429581016649601</v>
      </c>
      <c r="E76" t="str">
        <f>"10450501"</f>
        <v>10450501</v>
      </c>
      <c r="F76" t="str">
        <f t="shared" si="3"/>
        <v>Affy 1.0 ST</v>
      </c>
      <c r="G76" t="str">
        <f>"MGI:104798"</f>
        <v>MGI:104798</v>
      </c>
      <c r="H76" t="str">
        <f>"Tnf"</f>
        <v>Tnf</v>
      </c>
      <c r="I76" t="str">
        <f>"tumor necrosis factor"</f>
        <v>tumor necrosis factor</v>
      </c>
      <c r="J76" t="str">
        <f t="shared" si="5"/>
        <v>protein coding gene</v>
      </c>
    </row>
    <row r="77" spans="1:10">
      <c r="A77">
        <v>10601328</v>
      </c>
      <c r="B77">
        <v>5.5872826750201998</v>
      </c>
      <c r="C77">
        <v>2.07247213598948</v>
      </c>
      <c r="E77" t="str">
        <f>"10601328"</f>
        <v>10601328</v>
      </c>
      <c r="F77" t="str">
        <f t="shared" si="3"/>
        <v>Affy 1.0 ST</v>
      </c>
      <c r="G77" t="str">
        <f>"MGI:2685620"</f>
        <v>MGI:2685620</v>
      </c>
      <c r="H77" t="str">
        <f>"Uprt"</f>
        <v>Uprt</v>
      </c>
      <c r="I77" t="str">
        <f>"uracil phosphoribosyltransferase (FUR1) homolog (S. cerevisiae)"</f>
        <v>uracil phosphoribosyltransferase (FUR1) homolog (S. cerevisiae)</v>
      </c>
      <c r="J77" t="str">
        <f t="shared" si="5"/>
        <v>protein coding gene</v>
      </c>
    </row>
    <row r="78" spans="1:10">
      <c r="A78">
        <v>10390780</v>
      </c>
      <c r="B78">
        <v>5.5423591551911002</v>
      </c>
      <c r="C78">
        <v>1.37759193726617</v>
      </c>
      <c r="E78" t="str">
        <f>"10390780"</f>
        <v>10390780</v>
      </c>
      <c r="F78" t="str">
        <f t="shared" si="3"/>
        <v>Affy 1.0 ST</v>
      </c>
      <c r="G78" t="str">
        <f>"MGI:2442728"</f>
        <v>MGI:2442728</v>
      </c>
      <c r="H78" t="str">
        <f>"Krt222"</f>
        <v>Krt222</v>
      </c>
      <c r="I78" t="str">
        <f>"keratin 222"</f>
        <v>keratin 222</v>
      </c>
      <c r="J78" t="str">
        <f t="shared" si="5"/>
        <v>protein coding gene</v>
      </c>
    </row>
    <row r="79" spans="1:10">
      <c r="A79">
        <v>10525365</v>
      </c>
      <c r="B79">
        <v>5.52637329438428</v>
      </c>
      <c r="C79">
        <v>5.61979340570005</v>
      </c>
      <c r="E79" t="str">
        <f>"10525365"</f>
        <v>10525365</v>
      </c>
      <c r="F79" t="str">
        <f t="shared" si="3"/>
        <v>Affy 1.0 ST</v>
      </c>
      <c r="G79" t="str">
        <f>"MGI:1921346"</f>
        <v>MGI:1921346</v>
      </c>
      <c r="H79" t="str">
        <f>"Hvcn1"</f>
        <v>Hvcn1</v>
      </c>
      <c r="I79" t="str">
        <f>"hydrogen voltage-gated channel 1"</f>
        <v>hydrogen voltage-gated channel 1</v>
      </c>
      <c r="J79" t="str">
        <f t="shared" si="5"/>
        <v>protein coding gene</v>
      </c>
    </row>
    <row r="80" spans="1:10">
      <c r="A80">
        <v>10587503</v>
      </c>
      <c r="B80">
        <v>5.5180605527021296</v>
      </c>
      <c r="C80">
        <v>0.574569125214204</v>
      </c>
      <c r="E80" t="str">
        <f>"10587503"</f>
        <v>10587503</v>
      </c>
      <c r="F80" t="str">
        <f t="shared" si="3"/>
        <v>Affy 1.0 ST</v>
      </c>
      <c r="G80" t="str">
        <f>"MGI:1915350"</f>
        <v>MGI:1915350</v>
      </c>
      <c r="H80" t="str">
        <f>"Sh3bgrl2"</f>
        <v>Sh3bgrl2</v>
      </c>
      <c r="I80" t="str">
        <f>"SH3 domain binding glutamic acid-rich protein like 2"</f>
        <v>SH3 domain binding glutamic acid-rich protein like 2</v>
      </c>
      <c r="J80" t="str">
        <f t="shared" si="5"/>
        <v>protein coding gene</v>
      </c>
    </row>
    <row r="81" spans="1:10">
      <c r="A81">
        <v>10361381</v>
      </c>
      <c r="B81">
        <v>5.4560318363251703</v>
      </c>
      <c r="C81">
        <v>0.85125814108793696</v>
      </c>
      <c r="E81" t="str">
        <f>"10361381"</f>
        <v>10361381</v>
      </c>
      <c r="F81" t="str">
        <f t="shared" si="3"/>
        <v>Affy 1.0 ST</v>
      </c>
      <c r="G81" t="str">
        <f>"MGI:1927152"</f>
        <v>MGI:1927152</v>
      </c>
      <c r="H81" t="str">
        <f>"Syne1"</f>
        <v>Syne1</v>
      </c>
      <c r="I81" t="str">
        <f>"synaptic nuclear envelope 1"</f>
        <v>synaptic nuclear envelope 1</v>
      </c>
      <c r="J81" t="str">
        <f t="shared" si="5"/>
        <v>protein coding gene</v>
      </c>
    </row>
    <row r="82" spans="1:10">
      <c r="A82">
        <v>10434802</v>
      </c>
      <c r="B82">
        <v>5.3946832780451599</v>
      </c>
      <c r="C82">
        <v>0.37484486198384098</v>
      </c>
      <c r="E82" t="str">
        <f>"10434802"</f>
        <v>10434802</v>
      </c>
      <c r="F82" t="str">
        <f t="shared" si="3"/>
        <v>Affy 1.0 ST</v>
      </c>
      <c r="G82" t="str">
        <f>"MGI:2441849"</f>
        <v>MGI:2441849</v>
      </c>
      <c r="H82" t="str">
        <f>"Lpp"</f>
        <v>Lpp</v>
      </c>
      <c r="I82" t="str">
        <f>"LIM domain containing preferred translocation partner in lipoma"</f>
        <v>LIM domain containing preferred translocation partner in lipoma</v>
      </c>
      <c r="J82" t="str">
        <f t="shared" si="5"/>
        <v>protein coding gene</v>
      </c>
    </row>
    <row r="83" spans="1:10">
      <c r="A83">
        <v>10500610</v>
      </c>
      <c r="B83">
        <v>5.3659804008599901</v>
      </c>
      <c r="C83">
        <v>0.96447427162769395</v>
      </c>
      <c r="E83" t="str">
        <f>"10500610"</f>
        <v>10500610</v>
      </c>
      <c r="F83" t="str">
        <f t="shared" si="3"/>
        <v>Affy 1.0 ST</v>
      </c>
      <c r="G83" t="str">
        <f>"MGI:1921895"</f>
        <v>MGI:1921895</v>
      </c>
      <c r="H83" t="str">
        <f>"Fam46c"</f>
        <v>Fam46c</v>
      </c>
      <c r="I83" t="s">
        <v>90</v>
      </c>
      <c r="J83" t="s">
        <v>71</v>
      </c>
    </row>
    <row r="84" spans="1:10">
      <c r="A84">
        <v>10461765</v>
      </c>
      <c r="B84">
        <v>5.3455868034843501</v>
      </c>
      <c r="C84">
        <v>3.38354551951192</v>
      </c>
      <c r="E84" t="str">
        <f>"10461765"</f>
        <v>10461765</v>
      </c>
      <c r="F84" t="str">
        <f t="shared" si="3"/>
        <v>Affy 1.0 ST</v>
      </c>
      <c r="G84" t="str">
        <f>"MGI:2147677"</f>
        <v>MGI:2147677</v>
      </c>
      <c r="H84" t="str">
        <f>"Lpxn"</f>
        <v>Lpxn</v>
      </c>
      <c r="I84" t="str">
        <f>"leupaxin"</f>
        <v>leupaxin</v>
      </c>
      <c r="J84" t="str">
        <f>"protein coding gene"</f>
        <v>protein coding gene</v>
      </c>
    </row>
    <row r="85" spans="1:10">
      <c r="A85">
        <v>10353272</v>
      </c>
      <c r="B85">
        <v>5.3432493133004604</v>
      </c>
      <c r="C85">
        <v>2.5991583973907</v>
      </c>
      <c r="E85" t="str">
        <f>"10353272"</f>
        <v>10353272</v>
      </c>
      <c r="F85" t="str">
        <f t="shared" si="3"/>
        <v>Affy 1.0 ST</v>
      </c>
      <c r="G85" t="str">
        <f>"MGI:1352508"</f>
        <v>MGI:1352508</v>
      </c>
      <c r="H85" t="str">
        <f>"Stau2"</f>
        <v>Stau2</v>
      </c>
      <c r="I85" t="str">
        <f>"staufen (RNA binding protein) homolog 2 (Drosophila)"</f>
        <v>staufen (RNA binding protein) homolog 2 (Drosophila)</v>
      </c>
      <c r="J85" t="str">
        <f>"protein coding gene"</f>
        <v>protein coding gene</v>
      </c>
    </row>
    <row r="86" spans="1:10">
      <c r="A86">
        <v>10364593</v>
      </c>
      <c r="B86">
        <v>5.32098678967568</v>
      </c>
      <c r="C86">
        <v>3.37537253068357</v>
      </c>
      <c r="E86" t="str">
        <f>"10364593"</f>
        <v>10364593</v>
      </c>
      <c r="F86" t="str">
        <f t="shared" si="3"/>
        <v>Affy 1.0 ST</v>
      </c>
      <c r="G86" t="str">
        <f>"MGI:105093"</f>
        <v>MGI:105093</v>
      </c>
      <c r="H86" t="str">
        <f>"Cnn2"</f>
        <v>Cnn2</v>
      </c>
      <c r="I86" t="str">
        <f>"calponin 2"</f>
        <v>calponin 2</v>
      </c>
      <c r="J86" t="str">
        <f>"protein coding gene"</f>
        <v>protein coding gene</v>
      </c>
    </row>
    <row r="87" spans="1:10">
      <c r="A87">
        <v>10408741</v>
      </c>
      <c r="B87">
        <v>5.3093841731506197</v>
      </c>
      <c r="C87">
        <v>2.53473358059358</v>
      </c>
      <c r="E87" t="str">
        <f>"10408741"</f>
        <v>10408741</v>
      </c>
      <c r="F87" t="str">
        <f t="shared" si="3"/>
        <v>Affy 1.0 ST</v>
      </c>
      <c r="G87" t="str">
        <f>"MGI:2145316"</f>
        <v>MGI:2145316</v>
      </c>
      <c r="H87" t="str">
        <f>"Txndc5"</f>
        <v>Txndc5</v>
      </c>
      <c r="I87" t="str">
        <f>"thioredoxin domain containing 5"</f>
        <v>thioredoxin domain containing 5</v>
      </c>
      <c r="J87" t="str">
        <f>"protein coding gene"</f>
        <v>protein coding gene</v>
      </c>
    </row>
    <row r="88" spans="1:10">
      <c r="A88">
        <v>10365845</v>
      </c>
      <c r="B88">
        <v>5.2632409861552798</v>
      </c>
      <c r="C88">
        <v>1.91387202392329</v>
      </c>
      <c r="E88" t="str">
        <f>"10365845"</f>
        <v>10365845</v>
      </c>
      <c r="F88" t="str">
        <f t="shared" si="3"/>
        <v>Affy 1.0 ST</v>
      </c>
      <c r="G88" t="str">
        <f>"MGI:1261419"</f>
        <v>MGI:1261419</v>
      </c>
      <c r="H88" t="str">
        <f>"Fgd6"</f>
        <v>Fgd6</v>
      </c>
      <c r="I88" t="s">
        <v>91</v>
      </c>
      <c r="J88" t="s">
        <v>71</v>
      </c>
    </row>
    <row r="89" spans="1:10">
      <c r="A89">
        <v>10421697</v>
      </c>
      <c r="B89">
        <v>5.2366617602009198</v>
      </c>
      <c r="C89">
        <v>3.0821051187146402</v>
      </c>
      <c r="E89" t="str">
        <f>"10421697"</f>
        <v>10421697</v>
      </c>
      <c r="F89" t="str">
        <f t="shared" si="3"/>
        <v>Affy 1.0 ST</v>
      </c>
      <c r="G89" t="str">
        <f>"MGI:2445077"</f>
        <v>MGI:2445077</v>
      </c>
      <c r="H89" t="str">
        <f>"9030625A04Rik"</f>
        <v>9030625A04Rik</v>
      </c>
      <c r="I89" t="str">
        <f>"RIKEN cDNA 9030625A04 gene"</f>
        <v>RIKEN cDNA 9030625A04 gene</v>
      </c>
      <c r="J89" t="str">
        <f>"protein coding gene"</f>
        <v>protein coding gene</v>
      </c>
    </row>
    <row r="90" spans="1:10">
      <c r="A90">
        <v>10395908</v>
      </c>
      <c r="B90">
        <v>5.2191479199755397</v>
      </c>
      <c r="C90">
        <v>1.9425674219950599</v>
      </c>
      <c r="E90" t="str">
        <f>"10395908"</f>
        <v>10395908</v>
      </c>
      <c r="F90" t="str">
        <f>""</f>
        <v/>
      </c>
      <c r="G90" t="str">
        <f>"No associated gene"</f>
        <v>No associated gene</v>
      </c>
    </row>
    <row r="91" spans="1:10">
      <c r="A91">
        <v>10544660</v>
      </c>
      <c r="B91">
        <v>5.1696123306163502</v>
      </c>
      <c r="C91">
        <v>1.3741056867466599</v>
      </c>
      <c r="E91" t="str">
        <f>"10544660"</f>
        <v>10544660</v>
      </c>
      <c r="F91" t="str">
        <f t="shared" ref="F91:F97" si="6">"Affy 1.0 ST"</f>
        <v>Affy 1.0 ST</v>
      </c>
      <c r="G91" t="str">
        <f>"MGI:1918970"</f>
        <v>MGI:1918970</v>
      </c>
      <c r="H91" t="str">
        <f>"Osbpl3"</f>
        <v>Osbpl3</v>
      </c>
      <c r="I91" t="str">
        <f>"oxysterol binding protein-like 3"</f>
        <v>oxysterol binding protein-like 3</v>
      </c>
      <c r="J91" t="str">
        <f>"protein coding gene"</f>
        <v>protein coding gene</v>
      </c>
    </row>
    <row r="92" spans="1:10">
      <c r="A92">
        <v>10566254</v>
      </c>
      <c r="B92">
        <v>5.0823887028537396</v>
      </c>
      <c r="C92">
        <v>1.6377137548044101</v>
      </c>
      <c r="E92" t="str">
        <f>"10566254"</f>
        <v>10566254</v>
      </c>
      <c r="F92" t="str">
        <f t="shared" si="6"/>
        <v>Affy 1.0 ST</v>
      </c>
      <c r="G92" t="str">
        <f>"MGI:96021"</f>
        <v>MGI:96021</v>
      </c>
      <c r="H92" t="str">
        <f>"Hbb-b1"</f>
        <v>Hbb-b1</v>
      </c>
      <c r="I92" t="s">
        <v>92</v>
      </c>
      <c r="J92" t="s">
        <v>71</v>
      </c>
    </row>
    <row r="93" spans="1:10">
      <c r="A93">
        <v>10545205</v>
      </c>
      <c r="B93">
        <v>5.0462468542633898</v>
      </c>
      <c r="C93">
        <v>2.5209836090126099</v>
      </c>
      <c r="E93" t="str">
        <f>"10545205"</f>
        <v>10545205</v>
      </c>
      <c r="F93" t="str">
        <f t="shared" si="6"/>
        <v>Affy 1.0 ST</v>
      </c>
      <c r="G93" t="str">
        <f>"MGI:2686264"</f>
        <v>MGI:2686264</v>
      </c>
      <c r="H93" t="str">
        <f>"Igkv4-57-1"</f>
        <v>Igkv4-57-1</v>
      </c>
      <c r="I93" t="str">
        <f>"immunoglobulin kappa variable 4-57-1"</f>
        <v>immunoglobulin kappa variable 4-57-1</v>
      </c>
      <c r="J93" t="str">
        <f>"gene segment"</f>
        <v>gene segment</v>
      </c>
    </row>
    <row r="94" spans="1:10">
      <c r="A94">
        <v>10423333</v>
      </c>
      <c r="B94">
        <v>5.0420224418825299</v>
      </c>
      <c r="C94">
        <v>4.3821572226594103</v>
      </c>
      <c r="E94" t="str">
        <f>"10423333"</f>
        <v>10423333</v>
      </c>
      <c r="F94" t="str">
        <f t="shared" si="6"/>
        <v>Affy 1.0 ST</v>
      </c>
      <c r="G94" t="str">
        <f>"MGI:1913520"</f>
        <v>MGI:1913520</v>
      </c>
      <c r="H94" t="str">
        <f>"Fam134b"</f>
        <v>Fam134b</v>
      </c>
      <c r="I94" t="s">
        <v>93</v>
      </c>
      <c r="J94" t="s">
        <v>71</v>
      </c>
    </row>
    <row r="95" spans="1:10">
      <c r="A95">
        <v>10530536</v>
      </c>
      <c r="B95">
        <v>5.00179069434457</v>
      </c>
      <c r="C95">
        <v>3.8534628172327601</v>
      </c>
      <c r="E95" t="str">
        <f>"10530536"</f>
        <v>10530536</v>
      </c>
      <c r="F95" t="str">
        <f t="shared" si="6"/>
        <v>Affy 1.0 ST</v>
      </c>
      <c r="G95" t="str">
        <f>"MGI:98662"</f>
        <v>MGI:98662</v>
      </c>
      <c r="H95" t="str">
        <f>"Tec"</f>
        <v>Tec</v>
      </c>
      <c r="I95" t="str">
        <f>"tec protein tyrosine kinase"</f>
        <v>tec protein tyrosine kinase</v>
      </c>
      <c r="J95" t="str">
        <f>"protein coding gene"</f>
        <v>protein coding gene</v>
      </c>
    </row>
    <row r="96" spans="1:10">
      <c r="A96">
        <v>10527920</v>
      </c>
      <c r="B96">
        <v>4.98571616447314</v>
      </c>
      <c r="C96">
        <v>1.4529534192545299</v>
      </c>
      <c r="E96" t="str">
        <f>"10527920"</f>
        <v>10527920</v>
      </c>
      <c r="F96" t="str">
        <f t="shared" si="6"/>
        <v>Affy 1.0 ST</v>
      </c>
      <c r="G96" t="str">
        <f>"MGI:106040"</f>
        <v>MGI:106040</v>
      </c>
      <c r="H96" t="str">
        <f>"Cyp51"</f>
        <v>Cyp51</v>
      </c>
      <c r="I96" t="s">
        <v>94</v>
      </c>
      <c r="J96" t="s">
        <v>71</v>
      </c>
    </row>
    <row r="97" spans="1:10">
      <c r="A97">
        <v>10565315</v>
      </c>
      <c r="B97">
        <v>4.9826748842138802</v>
      </c>
      <c r="C97">
        <v>1.29594961409472</v>
      </c>
      <c r="E97" t="str">
        <f>"10565315"</f>
        <v>10565315</v>
      </c>
      <c r="F97" t="str">
        <f t="shared" si="6"/>
        <v>Affy 1.0 ST</v>
      </c>
      <c r="G97" t="str">
        <f>"MGI:95482"</f>
        <v>MGI:95482</v>
      </c>
      <c r="H97" t="str">
        <f>"Fah"</f>
        <v>Fah</v>
      </c>
      <c r="I97" t="str">
        <f>"fumarylacetoacetate hydrolase"</f>
        <v>fumarylacetoacetate hydrolase</v>
      </c>
      <c r="J97" t="str">
        <f>"protein coding gene"</f>
        <v>protein coding gene</v>
      </c>
    </row>
    <row r="98" spans="1:10">
      <c r="A98">
        <v>10514658</v>
      </c>
      <c r="B98">
        <v>4.9781442913359202</v>
      </c>
      <c r="C98">
        <v>2.2489123907507298</v>
      </c>
      <c r="E98" t="str">
        <f>"10514658"</f>
        <v>10514658</v>
      </c>
      <c r="F98" t="str">
        <f>""</f>
        <v/>
      </c>
      <c r="G98" t="str">
        <f>"No associated gene"</f>
        <v>No associated gene</v>
      </c>
    </row>
    <row r="99" spans="1:10">
      <c r="A99">
        <v>10407211</v>
      </c>
      <c r="B99">
        <v>4.9756686042605001</v>
      </c>
      <c r="C99">
        <v>0.50788373078325</v>
      </c>
      <c r="E99" t="str">
        <f>"10407211"</f>
        <v>10407211</v>
      </c>
      <c r="F99" t="str">
        <f>"Affy 1.0 ST"</f>
        <v>Affy 1.0 ST</v>
      </c>
      <c r="G99" t="str">
        <f>"MGI:108412"</f>
        <v>MGI:108412</v>
      </c>
      <c r="H99" t="str">
        <f>"Ppap2a"</f>
        <v>Ppap2a</v>
      </c>
      <c r="I99" t="str">
        <f>"phosphatidic acid phosphatase type 2A"</f>
        <v>phosphatidic acid phosphatase type 2A</v>
      </c>
      <c r="J99" t="str">
        <f>"protein coding gene"</f>
        <v>protein coding gene</v>
      </c>
    </row>
    <row r="100" spans="1:10">
      <c r="A100">
        <v>10487506</v>
      </c>
      <c r="B100">
        <v>4.8291968102618004</v>
      </c>
      <c r="C100">
        <v>0.84718363099960703</v>
      </c>
      <c r="E100" t="str">
        <f>"10487506"</f>
        <v>10487506</v>
      </c>
      <c r="F100" t="str">
        <f>""</f>
        <v/>
      </c>
      <c r="G100" t="str">
        <f>"No associated gene"</f>
        <v>No associated gene</v>
      </c>
    </row>
    <row r="101" spans="1:10">
      <c r="A101">
        <v>10434869</v>
      </c>
      <c r="B101">
        <v>4.7954132057409904</v>
      </c>
      <c r="C101">
        <v>2.3186265239164001</v>
      </c>
      <c r="E101" t="str">
        <f>"10434869"</f>
        <v>10434869</v>
      </c>
      <c r="F101" t="str">
        <f t="shared" ref="F101:F142" si="7">"Affy 1.0 ST"</f>
        <v>Affy 1.0 ST</v>
      </c>
      <c r="G101" t="str">
        <f>"MGI:1914751"</f>
        <v>MGI:1914751</v>
      </c>
      <c r="H101" t="str">
        <f>"Ccdc50"</f>
        <v>Ccdc50</v>
      </c>
      <c r="I101" t="str">
        <f>"coiled-coil domain containing 50"</f>
        <v>coiled-coil domain containing 50</v>
      </c>
      <c r="J101" t="str">
        <f t="shared" ref="J101:J109" si="8">"protein coding gene"</f>
        <v>protein coding gene</v>
      </c>
    </row>
    <row r="102" spans="1:10">
      <c r="A102">
        <v>10595371</v>
      </c>
      <c r="B102">
        <v>4.7523407428880597</v>
      </c>
      <c r="C102">
        <v>2.5221422934595799</v>
      </c>
      <c r="E102" t="str">
        <f>"10595371"</f>
        <v>10595371</v>
      </c>
      <c r="F102" t="str">
        <f t="shared" si="7"/>
        <v>Affy 1.0 ST</v>
      </c>
      <c r="G102" t="str">
        <f>"MGI:2138069"</f>
        <v>MGI:2138069</v>
      </c>
      <c r="H102" t="str">
        <f>"Hmgn3"</f>
        <v>Hmgn3</v>
      </c>
      <c r="I102" t="str">
        <f>"high mobility group nucleosomal binding domain 3"</f>
        <v>high mobility group nucleosomal binding domain 3</v>
      </c>
      <c r="J102" t="str">
        <f t="shared" si="8"/>
        <v>protein coding gene</v>
      </c>
    </row>
    <row r="103" spans="1:10">
      <c r="A103">
        <v>10446777</v>
      </c>
      <c r="B103">
        <v>4.7407031005576901</v>
      </c>
      <c r="C103">
        <v>2.6163825594807499</v>
      </c>
      <c r="E103" t="str">
        <f>"10446777"</f>
        <v>10446777</v>
      </c>
      <c r="F103" t="str">
        <f t="shared" si="7"/>
        <v>Affy 1.0 ST</v>
      </c>
      <c r="G103" t="str">
        <f>"MGI:1928900"</f>
        <v>MGI:1928900</v>
      </c>
      <c r="H103" t="str">
        <f>"Ehd3"</f>
        <v>Ehd3</v>
      </c>
      <c r="I103" t="str">
        <f>"EH-domain containing 3"</f>
        <v>EH-domain containing 3</v>
      </c>
      <c r="J103" t="str">
        <f t="shared" si="8"/>
        <v>protein coding gene</v>
      </c>
    </row>
    <row r="104" spans="1:10">
      <c r="A104">
        <v>10395287</v>
      </c>
      <c r="B104">
        <v>4.7403397985884697</v>
      </c>
      <c r="C104">
        <v>2.3514524480446202</v>
      </c>
      <c r="E104" t="str">
        <f>"10395287"</f>
        <v>10395287</v>
      </c>
      <c r="F104" t="str">
        <f t="shared" si="7"/>
        <v>Affy 1.0 ST</v>
      </c>
      <c r="G104" t="str">
        <f>"MGI:3584458"</f>
        <v>MGI:3584458</v>
      </c>
      <c r="H104" t="str">
        <f>"Atxn7l1"</f>
        <v>Atxn7l1</v>
      </c>
      <c r="I104" t="str">
        <f>"ataxin 7-like 1"</f>
        <v>ataxin 7-like 1</v>
      </c>
      <c r="J104" t="str">
        <f t="shared" si="8"/>
        <v>protein coding gene</v>
      </c>
    </row>
    <row r="105" spans="1:10">
      <c r="A105">
        <v>10392415</v>
      </c>
      <c r="B105">
        <v>4.7232196078455901</v>
      </c>
      <c r="C105">
        <v>0.48572666657803298</v>
      </c>
      <c r="E105" t="str">
        <f>"10392415"</f>
        <v>10392415</v>
      </c>
      <c r="F105" t="str">
        <f t="shared" si="7"/>
        <v>Affy 1.0 ST</v>
      </c>
      <c r="G105" t="str">
        <f>"MGI:1338824"</f>
        <v>MGI:1338824</v>
      </c>
      <c r="H105" t="str">
        <f>"Rgs9"</f>
        <v>Rgs9</v>
      </c>
      <c r="I105" t="str">
        <f>"regulator of G-protein signaling 9"</f>
        <v>regulator of G-protein signaling 9</v>
      </c>
      <c r="J105" t="str">
        <f t="shared" si="8"/>
        <v>protein coding gene</v>
      </c>
    </row>
    <row r="106" spans="1:10">
      <c r="A106">
        <v>10535780</v>
      </c>
      <c r="B106">
        <v>4.6027001713712803</v>
      </c>
      <c r="C106">
        <v>0.87059034824257697</v>
      </c>
      <c r="E106" t="str">
        <f>"10535780"</f>
        <v>10535780</v>
      </c>
      <c r="F106" t="str">
        <f t="shared" si="7"/>
        <v>Affy 1.0 ST</v>
      </c>
      <c r="G106" t="str">
        <f>"MGI:95559"</f>
        <v>MGI:95559</v>
      </c>
      <c r="H106" t="str">
        <f>"Flt3"</f>
        <v>Flt3</v>
      </c>
      <c r="I106" t="str">
        <f>"FMS-like tyrosine kinase 3"</f>
        <v>FMS-like tyrosine kinase 3</v>
      </c>
      <c r="J106" t="str">
        <f t="shared" si="8"/>
        <v>protein coding gene</v>
      </c>
    </row>
    <row r="107" spans="1:10">
      <c r="A107">
        <v>10444312</v>
      </c>
      <c r="B107">
        <v>4.5938139647285698</v>
      </c>
      <c r="C107">
        <v>1.4213505438106799</v>
      </c>
      <c r="E107" t="str">
        <f>"10444312"</f>
        <v>10444312</v>
      </c>
      <c r="F107" t="str">
        <f t="shared" si="7"/>
        <v>Affy 1.0 ST</v>
      </c>
      <c r="G107" t="str">
        <f>"MGI:1859549"</f>
        <v>MGI:1859549</v>
      </c>
      <c r="H107" t="str">
        <f>"Btnl2"</f>
        <v>Btnl2</v>
      </c>
      <c r="I107" t="str">
        <f>"butyrophilin-like 2"</f>
        <v>butyrophilin-like 2</v>
      </c>
      <c r="J107" t="str">
        <f t="shared" si="8"/>
        <v>protein coding gene</v>
      </c>
    </row>
    <row r="108" spans="1:10">
      <c r="A108">
        <v>10435789</v>
      </c>
      <c r="B108">
        <v>4.5091191037207299</v>
      </c>
      <c r="C108">
        <v>2.2754389494151899</v>
      </c>
      <c r="E108" t="str">
        <f>"10435789"</f>
        <v>10435789</v>
      </c>
      <c r="F108" t="str">
        <f t="shared" si="7"/>
        <v>Affy 1.0 ST</v>
      </c>
      <c r="G108" t="str">
        <f>"MGI:1929213"</f>
        <v>MGI:1929213</v>
      </c>
      <c r="H108" t="str">
        <f>"Zbtb20"</f>
        <v>Zbtb20</v>
      </c>
      <c r="I108" t="str">
        <f>"zinc finger and BTB domain containing 20"</f>
        <v>zinc finger and BTB domain containing 20</v>
      </c>
      <c r="J108" t="str">
        <f t="shared" si="8"/>
        <v>protein coding gene</v>
      </c>
    </row>
    <row r="109" spans="1:10">
      <c r="A109">
        <v>10578916</v>
      </c>
      <c r="B109">
        <v>4.3593233953661397</v>
      </c>
      <c r="C109">
        <v>1.0136017848196299</v>
      </c>
      <c r="E109" t="str">
        <f>"10578916"</f>
        <v>10578916</v>
      </c>
      <c r="F109" t="str">
        <f t="shared" si="7"/>
        <v>Affy 1.0 ST</v>
      </c>
      <c r="G109" t="str">
        <f>"MGI:1913484"</f>
        <v>MGI:1913484</v>
      </c>
      <c r="H109" t="str">
        <f>"Sc4mol"</f>
        <v>Sc4mol</v>
      </c>
      <c r="I109" t="str">
        <f>"sterol-C4-methyl oxidase-like"</f>
        <v>sterol-C4-methyl oxidase-like</v>
      </c>
      <c r="J109" t="str">
        <f t="shared" si="8"/>
        <v>protein coding gene</v>
      </c>
    </row>
    <row r="110" spans="1:10">
      <c r="A110">
        <v>10500295</v>
      </c>
      <c r="B110">
        <v>4.2815819809014704</v>
      </c>
      <c r="C110">
        <v>3.2126718107919401</v>
      </c>
      <c r="E110" t="str">
        <f>"10500295"</f>
        <v>10500295</v>
      </c>
      <c r="F110" t="str">
        <f t="shared" si="7"/>
        <v>Affy 1.0 ST</v>
      </c>
      <c r="G110" t="str">
        <f>"MGI:1914470"</f>
        <v>MGI:1914470</v>
      </c>
      <c r="H110" t="str">
        <f>"Plekho1"</f>
        <v>Plekho1</v>
      </c>
      <c r="I110" t="s">
        <v>95</v>
      </c>
      <c r="J110" t="s">
        <v>71</v>
      </c>
    </row>
    <row r="111" spans="1:10">
      <c r="A111">
        <v>10395277</v>
      </c>
      <c r="B111">
        <v>4.2333585742610298</v>
      </c>
      <c r="C111">
        <v>1.12542699110285</v>
      </c>
      <c r="E111" t="str">
        <f>"10395277"</f>
        <v>10395277</v>
      </c>
      <c r="F111" t="str">
        <f t="shared" si="7"/>
        <v>Affy 1.0 ST</v>
      </c>
      <c r="G111" t="str">
        <f>"MGI:108081"</f>
        <v>MGI:108081</v>
      </c>
      <c r="H111" t="str">
        <f>"Sypl"</f>
        <v>Sypl</v>
      </c>
      <c r="I111" t="str">
        <f>"synaptophysin-like protein"</f>
        <v>synaptophysin-like protein</v>
      </c>
      <c r="J111" t="str">
        <f>"protein coding gene"</f>
        <v>protein coding gene</v>
      </c>
    </row>
    <row r="112" spans="1:10">
      <c r="A112">
        <v>10595831</v>
      </c>
      <c r="B112">
        <v>4.2190455761321202</v>
      </c>
      <c r="C112">
        <v>1.4208609829027301</v>
      </c>
      <c r="E112" t="str">
        <f>"10595831"</f>
        <v>10595831</v>
      </c>
      <c r="F112" t="str">
        <f t="shared" si="7"/>
        <v>Affy 1.0 ST</v>
      </c>
      <c r="G112" t="str">
        <f>"MGI:2442866"</f>
        <v>MGI:2442866</v>
      </c>
      <c r="H112" t="str">
        <f>"Zbtb38"</f>
        <v>Zbtb38</v>
      </c>
      <c r="I112" t="str">
        <f>"zinc finger and BTB domain containing 38"</f>
        <v>zinc finger and BTB domain containing 38</v>
      </c>
      <c r="J112" t="str">
        <f>"protein coding gene"</f>
        <v>protein coding gene</v>
      </c>
    </row>
    <row r="113" spans="1:10">
      <c r="A113">
        <v>10424349</v>
      </c>
      <c r="B113">
        <v>4.2163815464879297</v>
      </c>
      <c r="C113">
        <v>2.5703185809832201</v>
      </c>
      <c r="E113" t="str">
        <f>"10424349"</f>
        <v>10424349</v>
      </c>
      <c r="F113" t="str">
        <f t="shared" si="7"/>
        <v>Affy 1.0 ST</v>
      </c>
      <c r="G113" t="str">
        <f>"MGI:109296"</f>
        <v>MGI:109296</v>
      </c>
      <c r="H113" t="str">
        <f>"Sqle"</f>
        <v>Sqle</v>
      </c>
      <c r="I113" t="str">
        <f>"squalene epoxidase"</f>
        <v>squalene epoxidase</v>
      </c>
      <c r="J113" t="str">
        <f>"protein coding gene"</f>
        <v>protein coding gene</v>
      </c>
    </row>
    <row r="114" spans="1:10">
      <c r="A114">
        <v>10506680</v>
      </c>
      <c r="B114">
        <v>4.2010773058258</v>
      </c>
      <c r="C114">
        <v>3.433807523709</v>
      </c>
      <c r="E114" t="str">
        <f>"10506680"</f>
        <v>10506680</v>
      </c>
      <c r="F114" t="str">
        <f t="shared" si="7"/>
        <v>Affy 1.0 ST</v>
      </c>
      <c r="G114" t="str">
        <f>"MGI:1920037"</f>
        <v>MGI:1920037</v>
      </c>
      <c r="H114" t="str">
        <f>"Tmem48"</f>
        <v>Tmem48</v>
      </c>
      <c r="I114" t="str">
        <f>"transmembrane protein 48"</f>
        <v>transmembrane protein 48</v>
      </c>
      <c r="J114" t="str">
        <f>"protein coding gene"</f>
        <v>protein coding gene</v>
      </c>
    </row>
    <row r="115" spans="1:10">
      <c r="A115">
        <v>10531752</v>
      </c>
      <c r="B115">
        <v>4.2005207991357896</v>
      </c>
      <c r="C115">
        <v>1.1607637474525301</v>
      </c>
      <c r="E115" t="str">
        <f>"10531752"</f>
        <v>10531752</v>
      </c>
      <c r="F115" t="str">
        <f t="shared" si="7"/>
        <v>Affy 1.0 ST</v>
      </c>
      <c r="G115" t="str">
        <f>"MGI:2176740"</f>
        <v>MGI:2176740</v>
      </c>
      <c r="H115" t="str">
        <f>"Helq"</f>
        <v>Helq</v>
      </c>
      <c r="I115" t="s">
        <v>96</v>
      </c>
      <c r="J115" t="s">
        <v>71</v>
      </c>
    </row>
    <row r="116" spans="1:10">
      <c r="A116">
        <v>10555438</v>
      </c>
      <c r="B116">
        <v>4.1947117283634698</v>
      </c>
      <c r="C116">
        <v>2.5804483134331901</v>
      </c>
      <c r="E116" t="str">
        <f>"10555438"</f>
        <v>10555438</v>
      </c>
      <c r="F116" t="str">
        <f t="shared" si="7"/>
        <v>Affy 1.0 ST</v>
      </c>
      <c r="G116" t="str">
        <f>"MGI:2448475"</f>
        <v>MGI:2448475</v>
      </c>
      <c r="H116" t="str">
        <f>"Fchsd2"</f>
        <v>Fchsd2</v>
      </c>
      <c r="I116" t="str">
        <f>"FCH and double SH3 domains 2"</f>
        <v>FCH and double SH3 domains 2</v>
      </c>
      <c r="J116" t="str">
        <f>"protein coding gene"</f>
        <v>protein coding gene</v>
      </c>
    </row>
    <row r="117" spans="1:10">
      <c r="A117">
        <v>10351477</v>
      </c>
      <c r="B117">
        <v>4.1480916174471396</v>
      </c>
      <c r="C117">
        <v>1.0595855934127001</v>
      </c>
      <c r="E117" t="str">
        <f>"10351477"</f>
        <v>10351477</v>
      </c>
      <c r="F117" t="str">
        <f t="shared" si="7"/>
        <v>Affy 1.0 ST</v>
      </c>
      <c r="G117" t="str">
        <f>"MGI:1349420"</f>
        <v>MGI:1349420</v>
      </c>
      <c r="H117" t="str">
        <f>"Sh2d1b1"</f>
        <v>Sh2d1b1</v>
      </c>
      <c r="I117" t="str">
        <f>"SH2 domain protein 1B1"</f>
        <v>SH2 domain protein 1B1</v>
      </c>
      <c r="J117" t="str">
        <f>"protein coding gene"</f>
        <v>protein coding gene</v>
      </c>
    </row>
    <row r="118" spans="1:10">
      <c r="A118">
        <v>10523190</v>
      </c>
      <c r="B118">
        <v>4.1346971619194601</v>
      </c>
      <c r="C118">
        <v>0.42738226004281099</v>
      </c>
      <c r="E118" t="str">
        <f>"10523190"</f>
        <v>10523190</v>
      </c>
      <c r="F118" t="str">
        <f t="shared" si="7"/>
        <v>Affy 1.0 ST</v>
      </c>
      <c r="G118" t="str">
        <f>"MGI:2443349"</f>
        <v>MGI:2443349</v>
      </c>
      <c r="H118" t="str">
        <f>"Parm1"</f>
        <v>Parm1</v>
      </c>
      <c r="I118" t="str">
        <f>"prostate androgen-regulated mucin-like protein 1"</f>
        <v>prostate androgen-regulated mucin-like protein 1</v>
      </c>
      <c r="J118" t="str">
        <f>"protein coding gene"</f>
        <v>protein coding gene</v>
      </c>
    </row>
    <row r="119" spans="1:10">
      <c r="A119">
        <v>10592160</v>
      </c>
      <c r="B119">
        <v>4.0730046453643496</v>
      </c>
      <c r="C119">
        <v>0.99213708601985995</v>
      </c>
      <c r="E119" t="str">
        <f>"10592160"</f>
        <v>10592160</v>
      </c>
      <c r="F119" t="str">
        <f t="shared" si="7"/>
        <v>Affy 1.0 ST</v>
      </c>
      <c r="G119" t="str">
        <f>"MGI:3643568"</f>
        <v>MGI:3643568</v>
      </c>
      <c r="H119" t="str">
        <f>"Gm6762"</f>
        <v>Gm6762</v>
      </c>
      <c r="I119" t="str">
        <f>"predicted pseudogene 6762"</f>
        <v>predicted pseudogene 6762</v>
      </c>
      <c r="J119" t="str">
        <f>"pseudogene"</f>
        <v>pseudogene</v>
      </c>
    </row>
    <row r="120" spans="1:10">
      <c r="A120">
        <v>10540283</v>
      </c>
      <c r="B120">
        <v>4.0605791826639797</v>
      </c>
      <c r="C120">
        <v>0.46458680147647302</v>
      </c>
      <c r="E120" t="str">
        <f>"10540283"</f>
        <v>10540283</v>
      </c>
      <c r="F120" t="str">
        <f t="shared" si="7"/>
        <v>Affy 1.0 ST</v>
      </c>
      <c r="G120" t="str">
        <f>"MGI:3027896"</f>
        <v>MGI:3027896</v>
      </c>
      <c r="H120" t="str">
        <f>"Ppp4r2"</f>
        <v>Ppp4r2</v>
      </c>
      <c r="I120" t="s">
        <v>97</v>
      </c>
      <c r="J120" t="s">
        <v>71</v>
      </c>
    </row>
    <row r="121" spans="1:10">
      <c r="A121">
        <v>10482762</v>
      </c>
      <c r="B121">
        <v>4.01579808926554</v>
      </c>
      <c r="C121">
        <v>3.3695375124133502</v>
      </c>
      <c r="E121" t="str">
        <f>"10482762"</f>
        <v>10482762</v>
      </c>
      <c r="F121" t="str">
        <f t="shared" si="7"/>
        <v>Affy 1.0 ST</v>
      </c>
      <c r="G121" t="str">
        <f>"MGI:2442264"</f>
        <v>MGI:2442264</v>
      </c>
      <c r="H121" t="str">
        <f>"Idi1"</f>
        <v>Idi1</v>
      </c>
      <c r="I121" t="str">
        <f>"isopentenyl-diphosphate delta isomerase"</f>
        <v>isopentenyl-diphosphate delta isomerase</v>
      </c>
      <c r="J121" t="str">
        <f t="shared" ref="J121:J126" si="9">"protein coding gene"</f>
        <v>protein coding gene</v>
      </c>
    </row>
    <row r="122" spans="1:10">
      <c r="A122">
        <v>10485445</v>
      </c>
      <c r="B122">
        <v>3.99127473602862</v>
      </c>
      <c r="C122">
        <v>6.8969847697090303E-2</v>
      </c>
      <c r="E122" t="str">
        <f>"10485445"</f>
        <v>10485445</v>
      </c>
      <c r="F122" t="str">
        <f t="shared" si="7"/>
        <v>Affy 1.0 ST</v>
      </c>
      <c r="G122" t="str">
        <f>"MGI:1270840"</f>
        <v>MGI:1270840</v>
      </c>
      <c r="H122" t="str">
        <f>"Ehf"</f>
        <v>Ehf</v>
      </c>
      <c r="I122" t="str">
        <f>"ets homologous factor"</f>
        <v>ets homologous factor</v>
      </c>
      <c r="J122" t="str">
        <f t="shared" si="9"/>
        <v>protein coding gene</v>
      </c>
    </row>
    <row r="123" spans="1:10">
      <c r="A123">
        <v>10439895</v>
      </c>
      <c r="B123">
        <v>3.9668083146450099</v>
      </c>
      <c r="C123">
        <v>0.84033135476235299</v>
      </c>
      <c r="E123" t="str">
        <f>"10439895"</f>
        <v>10439895</v>
      </c>
      <c r="F123" t="str">
        <f t="shared" si="7"/>
        <v>Affy 1.0 ST</v>
      </c>
      <c r="G123" t="str">
        <f>"MGI:1313266"</f>
        <v>MGI:1313266</v>
      </c>
      <c r="H123" t="str">
        <f>"Alcam"</f>
        <v>Alcam</v>
      </c>
      <c r="I123" t="str">
        <f>"activated leukocyte cell adhesion molecule"</f>
        <v>activated leukocyte cell adhesion molecule</v>
      </c>
      <c r="J123" t="str">
        <f t="shared" si="9"/>
        <v>protein coding gene</v>
      </c>
    </row>
    <row r="124" spans="1:10">
      <c r="A124">
        <v>10381809</v>
      </c>
      <c r="B124">
        <v>3.94048525023761</v>
      </c>
      <c r="C124">
        <v>0.70229839891393397</v>
      </c>
      <c r="E124" t="str">
        <f>"10381809"</f>
        <v>10381809</v>
      </c>
      <c r="F124" t="str">
        <f t="shared" si="7"/>
        <v>Affy 1.0 ST</v>
      </c>
      <c r="G124" t="str">
        <f>"MGI:96612"</f>
        <v>MGI:96612</v>
      </c>
      <c r="H124" t="str">
        <f>"Itgb3"</f>
        <v>Itgb3</v>
      </c>
      <c r="I124" t="str">
        <f>"integrin beta 3"</f>
        <v>integrin beta 3</v>
      </c>
      <c r="J124" t="str">
        <f t="shared" si="9"/>
        <v>protein coding gene</v>
      </c>
    </row>
    <row r="125" spans="1:10">
      <c r="A125">
        <v>10579872</v>
      </c>
      <c r="B125">
        <v>3.9233813322373998</v>
      </c>
      <c r="C125">
        <v>3.1387611907770698</v>
      </c>
      <c r="E125" t="str">
        <f>"10579872"</f>
        <v>10579872</v>
      </c>
      <c r="F125" t="str">
        <f t="shared" si="7"/>
        <v>Affy 1.0 ST</v>
      </c>
      <c r="G125" t="str">
        <f>"MGI:107749"</f>
        <v>MGI:107749</v>
      </c>
      <c r="H125" t="str">
        <f>"Tpd52"</f>
        <v>Tpd52</v>
      </c>
      <c r="I125" t="str">
        <f>"tumor protein D52"</f>
        <v>tumor protein D52</v>
      </c>
      <c r="J125" t="str">
        <f t="shared" si="9"/>
        <v>protein coding gene</v>
      </c>
    </row>
    <row r="126" spans="1:10">
      <c r="A126">
        <v>10512226</v>
      </c>
      <c r="B126">
        <v>3.8867031472909499</v>
      </c>
      <c r="C126">
        <v>0.53375776578406797</v>
      </c>
      <c r="E126" t="str">
        <f>"10512226"</f>
        <v>10512226</v>
      </c>
      <c r="F126" t="str">
        <f t="shared" si="7"/>
        <v>Affy 1.0 ST</v>
      </c>
      <c r="G126" t="str">
        <f>"MGI:1916220"</f>
        <v>MGI:1916220</v>
      </c>
      <c r="H126" t="str">
        <f>"Dcaf12"</f>
        <v>Dcaf12</v>
      </c>
      <c r="I126" t="str">
        <f>"DDB1 and CUL4 associated factor 12"</f>
        <v>DDB1 and CUL4 associated factor 12</v>
      </c>
      <c r="J126" t="str">
        <f t="shared" si="9"/>
        <v>protein coding gene</v>
      </c>
    </row>
    <row r="127" spans="1:10">
      <c r="A127">
        <v>10600476</v>
      </c>
      <c r="B127">
        <v>3.8732700030788898</v>
      </c>
      <c r="C127">
        <v>1.0274663831030599</v>
      </c>
      <c r="E127" t="str">
        <f>"10600476"</f>
        <v>10600476</v>
      </c>
      <c r="F127" t="str">
        <f t="shared" si="7"/>
        <v>Affy 1.0 ST</v>
      </c>
      <c r="G127" t="str">
        <f>"MGI:3643860"</f>
        <v>MGI:3643860</v>
      </c>
      <c r="H127" t="str">
        <f>"Gm4989"</f>
        <v>Gm4989</v>
      </c>
      <c r="I127" t="str">
        <f>"predicted pseudogene 4989"</f>
        <v>predicted pseudogene 4989</v>
      </c>
      <c r="J127" t="str">
        <f>"pseudogene"</f>
        <v>pseudogene</v>
      </c>
    </row>
    <row r="128" spans="1:10">
      <c r="A128">
        <v>10403023</v>
      </c>
      <c r="B128">
        <v>3.8535448286351799</v>
      </c>
      <c r="C128">
        <v>2.7404588534708298</v>
      </c>
      <c r="E128" t="str">
        <f>"10403023"</f>
        <v>10403023</v>
      </c>
      <c r="F128" t="str">
        <f t="shared" si="7"/>
        <v>Affy 1.0 ST</v>
      </c>
      <c r="G128" t="str">
        <f>"MGI:3704124"</f>
        <v>MGI:3704124</v>
      </c>
      <c r="H128" t="str">
        <f>"Ighv1-43"</f>
        <v>Ighv1-43</v>
      </c>
      <c r="I128" t="str">
        <f>"immunoglobulin heavy variable V1-43"</f>
        <v>immunoglobulin heavy variable V1-43</v>
      </c>
      <c r="J128" t="str">
        <f>"gene segment"</f>
        <v>gene segment</v>
      </c>
    </row>
    <row r="129" spans="1:10">
      <c r="A129">
        <v>10419170</v>
      </c>
      <c r="B129">
        <v>3.84458606797042</v>
      </c>
      <c r="C129">
        <v>2.10147850464636</v>
      </c>
      <c r="E129" t="str">
        <f>"10419170"</f>
        <v>10419170</v>
      </c>
      <c r="F129" t="str">
        <f t="shared" si="7"/>
        <v>Affy 1.0 ST</v>
      </c>
      <c r="G129" t="str">
        <f>"MGI:1917811"</f>
        <v>MGI:1917811</v>
      </c>
      <c r="H129" t="str">
        <f>"Txndc16"</f>
        <v>Txndc16</v>
      </c>
      <c r="I129" t="str">
        <f>"thioredoxin domain containing 16"</f>
        <v>thioredoxin domain containing 16</v>
      </c>
      <c r="J129" t="str">
        <f>"protein coding gene"</f>
        <v>protein coding gene</v>
      </c>
    </row>
    <row r="130" spans="1:10">
      <c r="A130">
        <v>10570201</v>
      </c>
      <c r="B130">
        <v>3.8443711147384199</v>
      </c>
      <c r="C130">
        <v>1.8858720948346599</v>
      </c>
      <c r="E130" t="str">
        <f>"10570201"</f>
        <v>10570201</v>
      </c>
      <c r="F130" t="str">
        <f t="shared" si="7"/>
        <v>Affy 1.0 ST</v>
      </c>
      <c r="G130" t="str">
        <f>"MGI:1354735"</f>
        <v>MGI:1354735</v>
      </c>
      <c r="H130" t="str">
        <f>"Atp11a"</f>
        <v>Atp11a</v>
      </c>
      <c r="I130" t="s">
        <v>98</v>
      </c>
      <c r="J130" t="s">
        <v>71</v>
      </c>
    </row>
    <row r="131" spans="1:10">
      <c r="A131">
        <v>10362171</v>
      </c>
      <c r="B131">
        <v>3.8439074551596999</v>
      </c>
      <c r="C131">
        <v>2.6674925268126399</v>
      </c>
      <c r="E131" t="str">
        <f>"10362171"</f>
        <v>10362171</v>
      </c>
      <c r="F131" t="str">
        <f t="shared" si="7"/>
        <v>Affy 1.0 ST</v>
      </c>
      <c r="G131" t="str">
        <f>"MGI:1858210"</f>
        <v>MGI:1858210</v>
      </c>
      <c r="H131" t="str">
        <f>"Stx7"</f>
        <v>Stx7</v>
      </c>
      <c r="I131" t="str">
        <f>"syntaxin 7"</f>
        <v>syntaxin 7</v>
      </c>
      <c r="J131" t="str">
        <f>"protein coding gene"</f>
        <v>protein coding gene</v>
      </c>
    </row>
    <row r="132" spans="1:10">
      <c r="A132">
        <v>10392983</v>
      </c>
      <c r="B132">
        <v>3.8435820260400102</v>
      </c>
      <c r="C132">
        <v>0.91840559855099102</v>
      </c>
      <c r="E132" t="str">
        <f>"10392983"</f>
        <v>10392983</v>
      </c>
      <c r="F132" t="str">
        <f t="shared" si="7"/>
        <v>Affy 1.0 ST</v>
      </c>
      <c r="G132" t="str">
        <f>"MGI:1914533"</f>
        <v>MGI:1914533</v>
      </c>
      <c r="H132" t="str">
        <f>"Slc25a19"</f>
        <v>Slc25a19</v>
      </c>
      <c r="I132" t="s">
        <v>99</v>
      </c>
      <c r="J132" t="s">
        <v>71</v>
      </c>
    </row>
    <row r="133" spans="1:10">
      <c r="A133">
        <v>10382136</v>
      </c>
      <c r="B133">
        <v>3.8229914995515899</v>
      </c>
      <c r="C133">
        <v>0.24223208705322</v>
      </c>
      <c r="E133" t="str">
        <f>"10382136"</f>
        <v>10382136</v>
      </c>
      <c r="F133" t="str">
        <f t="shared" si="7"/>
        <v>Affy 1.0 ST</v>
      </c>
      <c r="G133" t="str">
        <f>"MGI:1916316"</f>
        <v>MGI:1916316</v>
      </c>
      <c r="H133" t="str">
        <f>"1810010H24Rik"</f>
        <v>1810010H24Rik</v>
      </c>
      <c r="I133" t="str">
        <f>"RIKEN cDNA 1810010H24 gene"</f>
        <v>RIKEN cDNA 1810010H24 gene</v>
      </c>
      <c r="J133" t="str">
        <f>"unclassified gene"</f>
        <v>unclassified gene</v>
      </c>
    </row>
    <row r="134" spans="1:10">
      <c r="A134">
        <v>10382257</v>
      </c>
      <c r="B134">
        <v>3.78138528730027</v>
      </c>
      <c r="C134">
        <v>2.6857401529156002</v>
      </c>
      <c r="E134" t="str">
        <f>"10382257"</f>
        <v>10382257</v>
      </c>
      <c r="F134" t="str">
        <f t="shared" si="7"/>
        <v>Affy 1.0 ST</v>
      </c>
      <c r="G134" t="str">
        <f>"MGI:104837"</f>
        <v>MGI:104837</v>
      </c>
      <c r="H134" t="str">
        <f>"Amz2"</f>
        <v>Amz2</v>
      </c>
      <c r="I134" t="str">
        <f>"archaelysin family metallopeptidase 2"</f>
        <v>archaelysin family metallopeptidase 2</v>
      </c>
      <c r="J134" t="str">
        <f>"protein coding gene"</f>
        <v>protein coding gene</v>
      </c>
    </row>
    <row r="135" spans="1:10">
      <c r="A135">
        <v>10599826</v>
      </c>
      <c r="B135">
        <v>3.78116313996341</v>
      </c>
      <c r="C135">
        <v>0.40638309350349799</v>
      </c>
      <c r="E135" t="str">
        <f>"10599826"</f>
        <v>10599826</v>
      </c>
      <c r="F135" t="str">
        <f t="shared" si="7"/>
        <v>Affy 1.0 ST</v>
      </c>
      <c r="G135" t="str">
        <f>"MGI:88384"</f>
        <v>MGI:88384</v>
      </c>
      <c r="H135" t="str">
        <f>"F9"</f>
        <v>F9</v>
      </c>
      <c r="I135" t="str">
        <f>"coagulation factor IX"</f>
        <v>coagulation factor IX</v>
      </c>
      <c r="J135" t="str">
        <f>"protein coding gene"</f>
        <v>protein coding gene</v>
      </c>
    </row>
    <row r="136" spans="1:10">
      <c r="A136">
        <v>10546088</v>
      </c>
      <c r="B136">
        <v>3.7744282608715198</v>
      </c>
      <c r="C136">
        <v>1.8151221670509301</v>
      </c>
      <c r="E136" t="str">
        <f>"10546088"</f>
        <v>10546088</v>
      </c>
      <c r="F136" t="str">
        <f t="shared" si="7"/>
        <v>Affy 1.0 ST</v>
      </c>
      <c r="G136" t="str">
        <f>"MGI:2685307"</f>
        <v>MGI:2685307</v>
      </c>
      <c r="H136" t="str">
        <f>"H1fx"</f>
        <v>H1fx</v>
      </c>
      <c r="I136" t="s">
        <v>100</v>
      </c>
      <c r="J136" t="s">
        <v>71</v>
      </c>
    </row>
    <row r="137" spans="1:10">
      <c r="A137">
        <v>10435769</v>
      </c>
      <c r="B137">
        <v>3.7608634183440399</v>
      </c>
      <c r="C137">
        <v>1.56206555864376</v>
      </c>
      <c r="E137" t="str">
        <f>"10435769"</f>
        <v>10435769</v>
      </c>
      <c r="F137" t="str">
        <f t="shared" si="7"/>
        <v>Affy 1.0 ST</v>
      </c>
      <c r="G137" t="str">
        <f>"MGI:1929213"</f>
        <v>MGI:1929213</v>
      </c>
      <c r="H137" t="str">
        <f>"Zbtb20"</f>
        <v>Zbtb20</v>
      </c>
      <c r="I137" t="str">
        <f>"zinc finger and BTB domain containing 20"</f>
        <v>zinc finger and BTB domain containing 20</v>
      </c>
      <c r="J137" t="str">
        <f>"protein coding gene"</f>
        <v>protein coding gene</v>
      </c>
    </row>
    <row r="138" spans="1:10">
      <c r="A138">
        <v>10540579</v>
      </c>
      <c r="B138">
        <v>3.75303938705204</v>
      </c>
      <c r="C138">
        <v>0.70315874533647704</v>
      </c>
      <c r="E138" t="str">
        <f>"10540579"</f>
        <v>10540579</v>
      </c>
      <c r="F138" t="str">
        <f t="shared" si="7"/>
        <v>Affy 1.0 ST</v>
      </c>
      <c r="G138" t="str">
        <f>"MGI:1916075"</f>
        <v>MGI:1916075</v>
      </c>
      <c r="H138" t="str">
        <f>"Mtmr14"</f>
        <v>Mtmr14</v>
      </c>
      <c r="I138" t="str">
        <f>"myotubularin related protein 14"</f>
        <v>myotubularin related protein 14</v>
      </c>
      <c r="J138" t="str">
        <f>"protein coding gene"</f>
        <v>protein coding gene</v>
      </c>
    </row>
    <row r="139" spans="1:10">
      <c r="A139">
        <v>10534281</v>
      </c>
      <c r="B139">
        <v>3.7500510136829401</v>
      </c>
      <c r="C139">
        <v>0.79057169634445801</v>
      </c>
      <c r="E139" t="str">
        <f>"10534281"</f>
        <v>10534281</v>
      </c>
      <c r="F139" t="str">
        <f t="shared" si="7"/>
        <v>Affy 1.0 ST</v>
      </c>
      <c r="G139" t="str">
        <f>"MGI:1313136"</f>
        <v>MGI:1313136</v>
      </c>
      <c r="H139" t="str">
        <f>"Clip2"</f>
        <v>Clip2</v>
      </c>
      <c r="I139" t="str">
        <f>"CAP-GLY domain containing linker protein 2"</f>
        <v>CAP-GLY domain containing linker protein 2</v>
      </c>
      <c r="J139" t="str">
        <f>"protein coding gene"</f>
        <v>protein coding gene</v>
      </c>
    </row>
    <row r="140" spans="1:10">
      <c r="A140">
        <v>10345550</v>
      </c>
      <c r="B140">
        <v>3.7415317028872499</v>
      </c>
      <c r="C140">
        <v>0.418457825240166</v>
      </c>
      <c r="E140" t="str">
        <f>"10345550"</f>
        <v>10345550</v>
      </c>
      <c r="F140" t="str">
        <f t="shared" si="7"/>
        <v>Affy 1.0 ST</v>
      </c>
      <c r="G140" t="str">
        <f>"MGI:1918103"</f>
        <v>MGI:1918103</v>
      </c>
      <c r="H140" t="str">
        <f>"Vwa3b"</f>
        <v>Vwa3b</v>
      </c>
      <c r="I140" t="str">
        <f>"von Willebrand factor A domain containing 3B"</f>
        <v>von Willebrand factor A domain containing 3B</v>
      </c>
      <c r="J140" t="str">
        <f>"protein coding gene"</f>
        <v>protein coding gene</v>
      </c>
    </row>
    <row r="141" spans="1:10">
      <c r="A141">
        <v>10411680</v>
      </c>
      <c r="B141">
        <v>3.7314919816307199</v>
      </c>
      <c r="C141">
        <v>1.3495880172063099</v>
      </c>
      <c r="E141" t="str">
        <f>"10411680"</f>
        <v>10411680</v>
      </c>
      <c r="F141" t="str">
        <f t="shared" si="7"/>
        <v>Affy 1.0 ST</v>
      </c>
      <c r="G141" t="str">
        <f>"MGI:2446166"</f>
        <v>MGI:2446166</v>
      </c>
      <c r="H141" t="str">
        <f>"Marveld2"</f>
        <v>Marveld2</v>
      </c>
      <c r="I141" t="str">
        <f>"MARVEL (membrane-associating) domain containing 2"</f>
        <v>MARVEL (membrane-associating) domain containing 2</v>
      </c>
      <c r="J141" t="str">
        <f>"protein coding gene"</f>
        <v>protein coding gene</v>
      </c>
    </row>
    <row r="142" spans="1:10">
      <c r="A142">
        <v>10392347</v>
      </c>
      <c r="B142">
        <v>3.7078093555525902</v>
      </c>
      <c r="C142">
        <v>1.40512298901124</v>
      </c>
      <c r="E142" t="str">
        <f>"10392347"</f>
        <v>10392347</v>
      </c>
      <c r="F142" t="str">
        <f t="shared" si="7"/>
        <v>Affy 1.0 ST</v>
      </c>
      <c r="G142" t="str">
        <f>"MGI:1919045"</f>
        <v>MGI:1919045</v>
      </c>
      <c r="H142" t="str">
        <f>"Pitpnc1"</f>
        <v>Pitpnc1</v>
      </c>
      <c r="I142" t="s">
        <v>101</v>
      </c>
      <c r="J142" t="s">
        <v>71</v>
      </c>
    </row>
    <row r="143" spans="1:10">
      <c r="A143">
        <v>10608685</v>
      </c>
      <c r="B143">
        <v>3.68129011661346</v>
      </c>
      <c r="C143">
        <v>0.50467078344768102</v>
      </c>
      <c r="E143" t="str">
        <f>"10608685"</f>
        <v>10608685</v>
      </c>
      <c r="F143" t="str">
        <f>""</f>
        <v/>
      </c>
      <c r="G143" t="str">
        <f>"No associated gene"</f>
        <v>No associated gene</v>
      </c>
    </row>
    <row r="144" spans="1:10">
      <c r="A144">
        <v>10461558</v>
      </c>
      <c r="B144">
        <v>3.6264399417116699</v>
      </c>
      <c r="C144">
        <v>1.9332690331243501</v>
      </c>
      <c r="E144" t="str">
        <f>"10461558"</f>
        <v>10461558</v>
      </c>
      <c r="F144" t="str">
        <f t="shared" ref="F144:F152" si="10">"Affy 1.0 ST"</f>
        <v>Affy 1.0 ST</v>
      </c>
      <c r="G144" t="str">
        <f>"MGI:1929691"</f>
        <v>MGI:1929691</v>
      </c>
      <c r="H144" t="str">
        <f>"Slc15a3"</f>
        <v>Slc15a3</v>
      </c>
      <c r="I144" t="s">
        <v>102</v>
      </c>
      <c r="J144" t="s">
        <v>71</v>
      </c>
    </row>
    <row r="145" spans="1:10">
      <c r="A145">
        <v>10511803</v>
      </c>
      <c r="B145">
        <v>3.6138213191406501</v>
      </c>
      <c r="C145">
        <v>1.72631638441665</v>
      </c>
      <c r="E145" t="str">
        <f>"10511803"</f>
        <v>10511803</v>
      </c>
      <c r="F145" t="str">
        <f t="shared" si="10"/>
        <v>Affy 1.0 ST</v>
      </c>
      <c r="G145" t="str">
        <f>"MGI:1924282"</f>
        <v>MGI:1924282</v>
      </c>
      <c r="H145" t="str">
        <f>"2610029I01Rik"</f>
        <v>2610029I01Rik</v>
      </c>
      <c r="I145" t="str">
        <f>"RIKEN cDNA 2610029I01 gene"</f>
        <v>RIKEN cDNA 2610029I01 gene</v>
      </c>
      <c r="J145" t="str">
        <f>"protein coding gene"</f>
        <v>protein coding gene</v>
      </c>
    </row>
    <row r="146" spans="1:10">
      <c r="A146">
        <v>10512851</v>
      </c>
      <c r="B146">
        <v>3.5798246762387702</v>
      </c>
      <c r="C146">
        <v>0.82644484969630005</v>
      </c>
      <c r="E146" t="str">
        <f>"10512851"</f>
        <v>10512851</v>
      </c>
      <c r="F146" t="str">
        <f t="shared" si="10"/>
        <v>Affy 1.0 ST</v>
      </c>
      <c r="G146" t="str">
        <f>"MGI:1923549"</f>
        <v>MGI:1923549</v>
      </c>
      <c r="H146" t="str">
        <f>"Erp44"</f>
        <v>Erp44</v>
      </c>
      <c r="I146" t="str">
        <f>"endoplasmic reticulum protein 44"</f>
        <v>endoplasmic reticulum protein 44</v>
      </c>
      <c r="J146" t="str">
        <f>"protein coding gene"</f>
        <v>protein coding gene</v>
      </c>
    </row>
    <row r="147" spans="1:10">
      <c r="A147">
        <v>10363118</v>
      </c>
      <c r="B147">
        <v>3.5616460415201998</v>
      </c>
      <c r="C147">
        <v>1.73424204945771</v>
      </c>
      <c r="E147" t="str">
        <f>"10363118"</f>
        <v>10363118</v>
      </c>
      <c r="F147" t="str">
        <f t="shared" si="10"/>
        <v>Affy 1.0 ST</v>
      </c>
      <c r="G147" t="str">
        <f>"MGI:1913936"</f>
        <v>MGI:1913936</v>
      </c>
      <c r="H147" t="str">
        <f>"Dcbld1"</f>
        <v>Dcbld1</v>
      </c>
      <c r="I147" t="s">
        <v>103</v>
      </c>
      <c r="J147" t="s">
        <v>71</v>
      </c>
    </row>
    <row r="148" spans="1:10">
      <c r="A148">
        <v>10603567</v>
      </c>
      <c r="B148">
        <v>3.5546723006323702</v>
      </c>
      <c r="C148">
        <v>1.8428309711856501</v>
      </c>
      <c r="E148" t="str">
        <f>"10603567"</f>
        <v>10603567</v>
      </c>
      <c r="F148" t="str">
        <f t="shared" si="10"/>
        <v>Affy 1.0 ST</v>
      </c>
      <c r="G148" t="str">
        <f>"MGI:1914367"</f>
        <v>MGI:1914367</v>
      </c>
      <c r="H148" t="str">
        <f>"Dynlt3"</f>
        <v>Dynlt3</v>
      </c>
      <c r="I148" t="str">
        <f>"dynein light chain Tctex-type 3"</f>
        <v>dynein light chain Tctex-type 3</v>
      </c>
      <c r="J148" t="str">
        <f>"protein coding gene"</f>
        <v>protein coding gene</v>
      </c>
    </row>
    <row r="149" spans="1:10">
      <c r="A149">
        <v>10399148</v>
      </c>
      <c r="B149">
        <v>3.5488564958563198</v>
      </c>
      <c r="C149">
        <v>2.2201419735016499</v>
      </c>
      <c r="E149" t="str">
        <f>"10399148"</f>
        <v>10399148</v>
      </c>
      <c r="F149" t="str">
        <f t="shared" si="10"/>
        <v>Affy 1.0 ST</v>
      </c>
      <c r="G149" t="str">
        <f>"MGI:2444365"</f>
        <v>MGI:2444365</v>
      </c>
      <c r="H149" t="str">
        <f>"Rapgef5"</f>
        <v>Rapgef5</v>
      </c>
      <c r="I149" t="str">
        <f>"Rap guanine nucleotide exchange factor (GEF) 5"</f>
        <v>Rap guanine nucleotide exchange factor (GEF) 5</v>
      </c>
      <c r="J149" t="str">
        <f>"protein coding gene"</f>
        <v>protein coding gene</v>
      </c>
    </row>
    <row r="150" spans="1:10">
      <c r="A150">
        <v>10503410</v>
      </c>
      <c r="B150">
        <v>3.54229881068184</v>
      </c>
      <c r="C150">
        <v>2.2739952114244502</v>
      </c>
      <c r="E150" t="str">
        <f>"10503410"</f>
        <v>10503410</v>
      </c>
      <c r="F150" t="str">
        <f t="shared" si="10"/>
        <v>Affy 1.0 ST</v>
      </c>
      <c r="G150" t="str">
        <f>"MGI:2140359"</f>
        <v>MGI:2140359</v>
      </c>
      <c r="H150" t="str">
        <f>"Tmem64"</f>
        <v>Tmem64</v>
      </c>
      <c r="I150" t="str">
        <f>"transmembrane protein 64"</f>
        <v>transmembrane protein 64</v>
      </c>
      <c r="J150" t="str">
        <f>"protein coding gene"</f>
        <v>protein coding gene</v>
      </c>
    </row>
    <row r="151" spans="1:10">
      <c r="A151">
        <v>10500720</v>
      </c>
      <c r="B151">
        <v>3.5406610400132399</v>
      </c>
      <c r="C151">
        <v>0.72257973485415194</v>
      </c>
      <c r="E151" t="str">
        <f>"10500720"</f>
        <v>10500720</v>
      </c>
      <c r="F151" t="str">
        <f t="shared" si="10"/>
        <v>Affy 1.0 ST</v>
      </c>
      <c r="G151" t="str">
        <f>"MGI:3607704"</f>
        <v>MGI:3607704</v>
      </c>
      <c r="H151" t="str">
        <f>"Slc22a15"</f>
        <v>Slc22a15</v>
      </c>
      <c r="I151" t="s">
        <v>104</v>
      </c>
      <c r="J151" t="s">
        <v>71</v>
      </c>
    </row>
    <row r="152" spans="1:10">
      <c r="A152">
        <v>10547088</v>
      </c>
      <c r="B152">
        <v>3.4753927941687399</v>
      </c>
      <c r="C152">
        <v>1.5988962594568801</v>
      </c>
      <c r="E152" t="str">
        <f>"10547088"</f>
        <v>10547088</v>
      </c>
      <c r="F152" t="str">
        <f t="shared" si="10"/>
        <v>Affy 1.0 ST</v>
      </c>
      <c r="G152" t="str">
        <f>"MGI:1333850"</f>
        <v>MGI:1333850</v>
      </c>
      <c r="H152" t="str">
        <f>"Mbd4"</f>
        <v>Mbd4</v>
      </c>
      <c r="I152" t="str">
        <f>"methyl-CpG binding domain protein 4"</f>
        <v>methyl-CpG binding domain protein 4</v>
      </c>
      <c r="J152" t="str">
        <f>"protein coding gene"</f>
        <v>protein coding gene</v>
      </c>
    </row>
    <row r="153" spans="1:10">
      <c r="A153">
        <v>10527959</v>
      </c>
      <c r="B153">
        <v>3.4718907847315301</v>
      </c>
      <c r="C153">
        <v>0.46265149228656999</v>
      </c>
      <c r="E153" t="str">
        <f>"10527959"</f>
        <v>10527959</v>
      </c>
      <c r="F153" t="str">
        <f>""</f>
        <v/>
      </c>
      <c r="G153" t="str">
        <f>"No associated gene"</f>
        <v>No associated gene</v>
      </c>
    </row>
    <row r="154" spans="1:10">
      <c r="A154">
        <v>10589087</v>
      </c>
      <c r="B154">
        <v>3.4229320379378598</v>
      </c>
      <c r="C154">
        <v>1.31339892217133</v>
      </c>
      <c r="E154" t="str">
        <f>"10589087"</f>
        <v>10589087</v>
      </c>
      <c r="F154" t="str">
        <f t="shared" ref="F154:F187" si="11">"Affy 1.0 ST"</f>
        <v>Affy 1.0 ST</v>
      </c>
      <c r="G154" t="str">
        <f>"MGI:108025"</f>
        <v>MGI:108025</v>
      </c>
      <c r="H154" t="str">
        <f>"Prkar2a"</f>
        <v>Prkar2a</v>
      </c>
      <c r="I154" t="s">
        <v>105</v>
      </c>
      <c r="J154" t="s">
        <v>71</v>
      </c>
    </row>
    <row r="155" spans="1:10">
      <c r="A155">
        <v>10412466</v>
      </c>
      <c r="B155">
        <v>3.3774719461398002</v>
      </c>
      <c r="C155">
        <v>1.5039807794462901</v>
      </c>
      <c r="E155" t="str">
        <f>"10412466"</f>
        <v>10412466</v>
      </c>
      <c r="F155" t="str">
        <f t="shared" si="11"/>
        <v>Affy 1.0 ST</v>
      </c>
      <c r="G155" t="str">
        <f>"MGI:107592"</f>
        <v>MGI:107592</v>
      </c>
      <c r="H155" t="str">
        <f>"Hmgcs1"</f>
        <v>Hmgcs1</v>
      </c>
      <c r="I155" t="str">
        <f>"3-hydroxy-3-methylglutaryl-Coenzyme A synthase 1"</f>
        <v>3-hydroxy-3-methylglutaryl-Coenzyme A synthase 1</v>
      </c>
      <c r="J155" t="str">
        <f>"protein coding gene"</f>
        <v>protein coding gene</v>
      </c>
    </row>
    <row r="156" spans="1:10">
      <c r="A156">
        <v>10414527</v>
      </c>
      <c r="B156">
        <v>3.37104930686947</v>
      </c>
      <c r="C156">
        <v>1.58637187659796</v>
      </c>
      <c r="E156" t="str">
        <f>"10414527"</f>
        <v>10414527</v>
      </c>
      <c r="F156" t="str">
        <f t="shared" si="11"/>
        <v>Affy 1.0 ST</v>
      </c>
      <c r="G156" t="str">
        <f>"MGI:3712328"</f>
        <v>MGI:3712328</v>
      </c>
      <c r="H156" t="str">
        <f>"Pnp2"</f>
        <v>Pnp2</v>
      </c>
      <c r="I156" t="str">
        <f>"purine-nucleoside phosphorylase 2"</f>
        <v>purine-nucleoside phosphorylase 2</v>
      </c>
      <c r="J156" t="str">
        <f>"protein coding gene"</f>
        <v>protein coding gene</v>
      </c>
    </row>
    <row r="157" spans="1:10">
      <c r="A157">
        <v>10520965</v>
      </c>
      <c r="B157">
        <v>3.3321797197898602</v>
      </c>
      <c r="C157">
        <v>0.37743719042384699</v>
      </c>
      <c r="E157" t="str">
        <f>"10520965"</f>
        <v>10520965</v>
      </c>
      <c r="F157" t="str">
        <f t="shared" si="11"/>
        <v>Affy 1.0 ST</v>
      </c>
      <c r="G157" t="str">
        <f>"MGI:99147"</f>
        <v>MGI:99147</v>
      </c>
      <c r="H157" t="str">
        <f>"Yes1"</f>
        <v>Yes1</v>
      </c>
      <c r="I157" t="str">
        <f>"Yamaguchi sarcoma viral (v-yes) oncogene homolog 1"</f>
        <v>Yamaguchi sarcoma viral (v-yes) oncogene homolog 1</v>
      </c>
      <c r="J157" t="str">
        <f>"protein coding gene"</f>
        <v>protein coding gene</v>
      </c>
    </row>
    <row r="158" spans="1:10">
      <c r="A158">
        <v>10601903</v>
      </c>
      <c r="B158">
        <v>3.2843092452324099</v>
      </c>
      <c r="C158">
        <v>1.3728551893187699</v>
      </c>
      <c r="E158" t="str">
        <f>"10601903"</f>
        <v>10601903</v>
      </c>
      <c r="F158" t="str">
        <f t="shared" si="11"/>
        <v>Affy 1.0 ST</v>
      </c>
      <c r="G158" t="str">
        <f>"MGI:1914245"</f>
        <v>MGI:1914245</v>
      </c>
      <c r="H158" t="str">
        <f>"Zcchc18"</f>
        <v>Zcchc18</v>
      </c>
      <c r="I158" t="s">
        <v>106</v>
      </c>
      <c r="J158" t="s">
        <v>71</v>
      </c>
    </row>
    <row r="159" spans="1:10">
      <c r="A159">
        <v>10583320</v>
      </c>
      <c r="B159">
        <v>3.28179614735902</v>
      </c>
      <c r="C159">
        <v>0.217797545941191</v>
      </c>
      <c r="E159" t="str">
        <f>"10583320"</f>
        <v>10583320</v>
      </c>
      <c r="F159" t="str">
        <f t="shared" si="11"/>
        <v>Affy 1.0 ST</v>
      </c>
      <c r="G159" t="str">
        <f>"MGI:3039636"</f>
        <v>MGI:3039636</v>
      </c>
      <c r="H159" t="str">
        <f>"BC017612"</f>
        <v>BC017612</v>
      </c>
      <c r="I159" t="str">
        <f>"cDNA sequence BC017612"</f>
        <v>cDNA sequence BC017612</v>
      </c>
      <c r="J159" t="str">
        <f t="shared" ref="J159:J166" si="12">"protein coding gene"</f>
        <v>protein coding gene</v>
      </c>
    </row>
    <row r="160" spans="1:10">
      <c r="A160">
        <v>10555174</v>
      </c>
      <c r="B160">
        <v>3.2803888808759099</v>
      </c>
      <c r="C160">
        <v>0.47003073519640998</v>
      </c>
      <c r="E160" t="str">
        <f>"10555174"</f>
        <v>10555174</v>
      </c>
      <c r="F160" t="str">
        <f t="shared" si="11"/>
        <v>Affy 1.0 ST</v>
      </c>
      <c r="G160" t="str">
        <f>"MGI:93882"</f>
        <v>MGI:93882</v>
      </c>
      <c r="H160" t="str">
        <f>"Lrrc32"</f>
        <v>Lrrc32</v>
      </c>
      <c r="I160" t="str">
        <f>"leucine rich repeat containing 32"</f>
        <v>leucine rich repeat containing 32</v>
      </c>
      <c r="J160" t="str">
        <f t="shared" si="12"/>
        <v>protein coding gene</v>
      </c>
    </row>
    <row r="161" spans="1:10">
      <c r="A161">
        <v>10396278</v>
      </c>
      <c r="B161">
        <v>3.2582040874289699</v>
      </c>
      <c r="C161">
        <v>0.110572386876716</v>
      </c>
      <c r="E161" t="str">
        <f>"10396278"</f>
        <v>10396278</v>
      </c>
      <c r="F161" t="str">
        <f t="shared" si="11"/>
        <v>Affy 1.0 ST</v>
      </c>
      <c r="G161" t="str">
        <f>"MGI:1914596"</f>
        <v>MGI:1914596</v>
      </c>
      <c r="H161" t="str">
        <f>"Daam1"</f>
        <v>Daam1</v>
      </c>
      <c r="I161" t="str">
        <f>"dishevelled associated activator of morphogenesis 1"</f>
        <v>dishevelled associated activator of morphogenesis 1</v>
      </c>
      <c r="J161" t="str">
        <f t="shared" si="12"/>
        <v>protein coding gene</v>
      </c>
    </row>
    <row r="162" spans="1:10">
      <c r="A162">
        <v>10469581</v>
      </c>
      <c r="B162">
        <v>3.2055711377483802</v>
      </c>
      <c r="C162">
        <v>0.118289554137761</v>
      </c>
      <c r="E162" t="str">
        <f>"10469581"</f>
        <v>10469581</v>
      </c>
      <c r="F162" t="str">
        <f t="shared" si="11"/>
        <v>Affy 1.0 ST</v>
      </c>
      <c r="G162" t="str">
        <f>"MGI:95454"</f>
        <v>MGI:95454</v>
      </c>
      <c r="H162" t="str">
        <f>"Etl4"</f>
        <v>Etl4</v>
      </c>
      <c r="I162" t="str">
        <f>"enhancer trap locus 4"</f>
        <v>enhancer trap locus 4</v>
      </c>
      <c r="J162" t="str">
        <f t="shared" si="12"/>
        <v>protein coding gene</v>
      </c>
    </row>
    <row r="163" spans="1:10">
      <c r="A163">
        <v>10392135</v>
      </c>
      <c r="B163">
        <v>3.2026061927679299</v>
      </c>
      <c r="C163">
        <v>0.30872053524168303</v>
      </c>
      <c r="E163" t="str">
        <f>"10392135"</f>
        <v>10392135</v>
      </c>
      <c r="F163" t="str">
        <f t="shared" si="11"/>
        <v>Affy 1.0 ST</v>
      </c>
      <c r="G163" t="str">
        <f>"MGI:95707"</f>
        <v>MGI:95707</v>
      </c>
      <c r="H163" t="str">
        <f>"Gh"</f>
        <v>Gh</v>
      </c>
      <c r="I163" t="str">
        <f>"growth hormone"</f>
        <v>growth hormone</v>
      </c>
      <c r="J163" t="str">
        <f t="shared" si="12"/>
        <v>protein coding gene</v>
      </c>
    </row>
    <row r="164" spans="1:10">
      <c r="A164">
        <v>10468311</v>
      </c>
      <c r="B164">
        <v>3.1938713079387702</v>
      </c>
      <c r="C164">
        <v>1.8517393448905299</v>
      </c>
      <c r="E164" t="str">
        <f>"10468311"</f>
        <v>10468311</v>
      </c>
      <c r="F164" t="str">
        <f t="shared" si="11"/>
        <v>Affy 1.0 ST</v>
      </c>
      <c r="G164" t="str">
        <f>"MGI:1298393"</f>
        <v>MGI:1298393</v>
      </c>
      <c r="H164" t="str">
        <f>"Sh3pxd2a"</f>
        <v>Sh3pxd2a</v>
      </c>
      <c r="I164" t="str">
        <f>"SH3 and PX domains 2A"</f>
        <v>SH3 and PX domains 2A</v>
      </c>
      <c r="J164" t="str">
        <f t="shared" si="12"/>
        <v>protein coding gene</v>
      </c>
    </row>
    <row r="165" spans="1:10">
      <c r="A165">
        <v>10431170</v>
      </c>
      <c r="B165">
        <v>3.1876236032295902</v>
      </c>
      <c r="C165">
        <v>2.5934675849306301</v>
      </c>
      <c r="E165" t="str">
        <f>"10431170"</f>
        <v>10431170</v>
      </c>
      <c r="F165" t="str">
        <f t="shared" si="11"/>
        <v>Affy 1.0 ST</v>
      </c>
      <c r="G165" t="str">
        <f>"MGI:2444899"</f>
        <v>MGI:2444899</v>
      </c>
      <c r="H165" t="str">
        <f>"5031439G07Rik"</f>
        <v>5031439G07Rik</v>
      </c>
      <c r="I165" t="str">
        <f>"RIKEN cDNA 5031439G07 gene"</f>
        <v>RIKEN cDNA 5031439G07 gene</v>
      </c>
      <c r="J165" t="str">
        <f t="shared" si="12"/>
        <v>protein coding gene</v>
      </c>
    </row>
    <row r="166" spans="1:10">
      <c r="A166">
        <v>10481931</v>
      </c>
      <c r="B166">
        <v>3.1745710689480502</v>
      </c>
      <c r="C166">
        <v>2.1764797750178499</v>
      </c>
      <c r="E166" t="str">
        <f>"10481931"</f>
        <v>10481931</v>
      </c>
      <c r="F166" t="str">
        <f t="shared" si="11"/>
        <v>Affy 1.0 ST</v>
      </c>
      <c r="G166" t="str">
        <f>"MGI:1921266"</f>
        <v>MGI:1921266</v>
      </c>
      <c r="H166" t="str">
        <f>"Phf19"</f>
        <v>Phf19</v>
      </c>
      <c r="I166" t="str">
        <f>"PHD finger protein 19"</f>
        <v>PHD finger protein 19</v>
      </c>
      <c r="J166" t="str">
        <f t="shared" si="12"/>
        <v>protein coding gene</v>
      </c>
    </row>
    <row r="167" spans="1:10">
      <c r="A167">
        <v>10363962</v>
      </c>
      <c r="B167">
        <v>3.1681696720838399</v>
      </c>
      <c r="C167">
        <v>6.4502930795923202E-2</v>
      </c>
      <c r="E167" t="str">
        <f>"10363962"</f>
        <v>10363962</v>
      </c>
      <c r="F167" t="str">
        <f t="shared" si="11"/>
        <v>Affy 1.0 ST</v>
      </c>
      <c r="G167" t="str">
        <f>"MGI:95780"</f>
        <v>MGI:95780</v>
      </c>
      <c r="H167" t="str">
        <f>"Gnaz"</f>
        <v>Gnaz</v>
      </c>
      <c r="I167" t="s">
        <v>107</v>
      </c>
      <c r="J167" t="s">
        <v>71</v>
      </c>
    </row>
    <row r="168" spans="1:10">
      <c r="A168">
        <v>10365290</v>
      </c>
      <c r="B168">
        <v>3.16755654135327</v>
      </c>
      <c r="C168">
        <v>0.48314952714458997</v>
      </c>
      <c r="E168" t="str">
        <f>"10365290"</f>
        <v>10365290</v>
      </c>
      <c r="F168" t="str">
        <f t="shared" si="11"/>
        <v>Affy 1.0 ST</v>
      </c>
      <c r="G168" t="str">
        <f>"MGI:1927166"</f>
        <v>MGI:1927166</v>
      </c>
      <c r="H168" t="str">
        <f>"Chst11"</f>
        <v>Chst11</v>
      </c>
      <c r="I168" t="str">
        <f>"carbohydrate sulfotransferase 11"</f>
        <v>carbohydrate sulfotransferase 11</v>
      </c>
      <c r="J168" t="str">
        <f>"protein coding gene"</f>
        <v>protein coding gene</v>
      </c>
    </row>
    <row r="169" spans="1:10">
      <c r="A169">
        <v>10513061</v>
      </c>
      <c r="B169">
        <v>3.1623655107092299</v>
      </c>
      <c r="C169">
        <v>1.1517597633825001</v>
      </c>
      <c r="E169" t="str">
        <f>"10513061"</f>
        <v>10513061</v>
      </c>
      <c r="F169" t="str">
        <f t="shared" si="11"/>
        <v>Affy 1.0 ST</v>
      </c>
      <c r="G169" t="str">
        <f>"MGI:1859649"</f>
        <v>MGI:1859649</v>
      </c>
      <c r="H169" t="str">
        <f>"Ctnnal1"</f>
        <v>Ctnnal1</v>
      </c>
      <c r="I169" t="s">
        <v>108</v>
      </c>
      <c r="J169" t="s">
        <v>71</v>
      </c>
    </row>
    <row r="170" spans="1:10">
      <c r="A170">
        <v>10386909</v>
      </c>
      <c r="B170">
        <v>3.14126309212467</v>
      </c>
      <c r="C170">
        <v>0.80260346546990602</v>
      </c>
      <c r="E170" t="str">
        <f>"10386909"</f>
        <v>10386909</v>
      </c>
      <c r="F170" t="str">
        <f t="shared" si="11"/>
        <v>Affy 1.0 ST</v>
      </c>
      <c r="G170" t="str">
        <f>"MGI:1920389"</f>
        <v>MGI:1920389</v>
      </c>
      <c r="H170" t="str">
        <f>"Cenpv"</f>
        <v>Cenpv</v>
      </c>
      <c r="I170" t="str">
        <f>"centromere protein V"</f>
        <v>centromere protein V</v>
      </c>
      <c r="J170" t="str">
        <f t="shared" ref="J170:J178" si="13">"protein coding gene"</f>
        <v>protein coding gene</v>
      </c>
    </row>
    <row r="171" spans="1:10">
      <c r="A171">
        <v>10385455</v>
      </c>
      <c r="B171">
        <v>3.12991836108433</v>
      </c>
      <c r="C171">
        <v>0.50232310044239503</v>
      </c>
      <c r="E171" t="str">
        <f>"10385455"</f>
        <v>10385455</v>
      </c>
      <c r="F171" t="str">
        <f t="shared" si="11"/>
        <v>Affy 1.0 ST</v>
      </c>
      <c r="G171" t="str">
        <f>"MGI:2159681"</f>
        <v>MGI:2159681</v>
      </c>
      <c r="H171" t="str">
        <f>"Timd2"</f>
        <v>Timd2</v>
      </c>
      <c r="I171" t="str">
        <f>"T-cell immunoglobulin and mucin domain containing 2"</f>
        <v>T-cell immunoglobulin and mucin domain containing 2</v>
      </c>
      <c r="J171" t="str">
        <f t="shared" si="13"/>
        <v>protein coding gene</v>
      </c>
    </row>
    <row r="172" spans="1:10">
      <c r="A172">
        <v>10418702</v>
      </c>
      <c r="B172">
        <v>3.1160845777660202</v>
      </c>
      <c r="C172">
        <v>2.5048328481843898</v>
      </c>
      <c r="E172" t="str">
        <f>"10418702"</f>
        <v>10418702</v>
      </c>
      <c r="F172" t="str">
        <f t="shared" si="11"/>
        <v>Affy 1.0 ST</v>
      </c>
      <c r="G172" t="str">
        <f>"MGI:1344391"</f>
        <v>MGI:1344391</v>
      </c>
      <c r="H172" t="str">
        <f>"Sh3bp5"</f>
        <v>Sh3bp5</v>
      </c>
      <c r="I172" t="str">
        <f>"SH3-domain binding protein 5 (BTK-associated)"</f>
        <v>SH3-domain binding protein 5 (BTK-associated)</v>
      </c>
      <c r="J172" t="str">
        <f t="shared" si="13"/>
        <v>protein coding gene</v>
      </c>
    </row>
    <row r="173" spans="1:10">
      <c r="A173">
        <v>10435525</v>
      </c>
      <c r="B173">
        <v>3.1098269349581602</v>
      </c>
      <c r="C173">
        <v>0.90589913139551803</v>
      </c>
      <c r="E173" t="str">
        <f>"10435525"</f>
        <v>10435525</v>
      </c>
      <c r="F173" t="str">
        <f t="shared" si="11"/>
        <v>Affy 1.0 ST</v>
      </c>
      <c r="G173" t="str">
        <f>"MGI:2443764"</f>
        <v>MGI:2443764</v>
      </c>
      <c r="H173" t="str">
        <f>"Iqcb1"</f>
        <v>Iqcb1</v>
      </c>
      <c r="I173" t="str">
        <f>"IQ calmodulin-binding motif containing 1"</f>
        <v>IQ calmodulin-binding motif containing 1</v>
      </c>
      <c r="J173" t="str">
        <f t="shared" si="13"/>
        <v>protein coding gene</v>
      </c>
    </row>
    <row r="174" spans="1:10">
      <c r="A174">
        <v>10499431</v>
      </c>
      <c r="B174">
        <v>3.0870734719947102</v>
      </c>
      <c r="C174">
        <v>1.1663168935874</v>
      </c>
      <c r="E174" t="str">
        <f>"10499431"</f>
        <v>10499431</v>
      </c>
      <c r="F174" t="str">
        <f t="shared" si="11"/>
        <v>Affy 1.0 ST</v>
      </c>
      <c r="G174" t="str">
        <f>"MGI:1859547"</f>
        <v>MGI:1859547</v>
      </c>
      <c r="H174" t="str">
        <f>"Syt11"</f>
        <v>Syt11</v>
      </c>
      <c r="I174" t="str">
        <f>"synaptotagmin XI"</f>
        <v>synaptotagmin XI</v>
      </c>
      <c r="J174" t="str">
        <f t="shared" si="13"/>
        <v>protein coding gene</v>
      </c>
    </row>
    <row r="175" spans="1:10">
      <c r="A175">
        <v>10443201</v>
      </c>
      <c r="B175">
        <v>3.0837380058103601</v>
      </c>
      <c r="C175">
        <v>1.2807698794498801</v>
      </c>
      <c r="E175" t="str">
        <f>"10443201"</f>
        <v>10443201</v>
      </c>
      <c r="F175" t="str">
        <f t="shared" si="11"/>
        <v>Affy 1.0 ST</v>
      </c>
      <c r="G175" t="str">
        <f>"MGI:1345181"</f>
        <v>MGI:1345181</v>
      </c>
      <c r="H175" t="str">
        <f>"Pacsin1"</f>
        <v>Pacsin1</v>
      </c>
      <c r="I175" t="str">
        <f>"protein kinase C and casein kinase substrate in neurons 1"</f>
        <v>protein kinase C and casein kinase substrate in neurons 1</v>
      </c>
      <c r="J175" t="str">
        <f t="shared" si="13"/>
        <v>protein coding gene</v>
      </c>
    </row>
    <row r="176" spans="1:10">
      <c r="A176">
        <v>10396640</v>
      </c>
      <c r="B176">
        <v>3.05649224878182</v>
      </c>
      <c r="C176">
        <v>1.3374883855941999</v>
      </c>
      <c r="E176" t="str">
        <f>"10396640"</f>
        <v>10396640</v>
      </c>
      <c r="F176" t="str">
        <f t="shared" si="11"/>
        <v>Affy 1.0 ST</v>
      </c>
      <c r="G176" t="str">
        <f>"MGI:2685104"</f>
        <v>MGI:2685104</v>
      </c>
      <c r="H176" t="str">
        <f>"Akap5"</f>
        <v>Akap5</v>
      </c>
      <c r="I176" t="str">
        <f>"A kinase (PRKA) anchor protein 5"</f>
        <v>A kinase (PRKA) anchor protein 5</v>
      </c>
      <c r="J176" t="str">
        <f t="shared" si="13"/>
        <v>protein coding gene</v>
      </c>
    </row>
    <row r="177" spans="1:10">
      <c r="A177">
        <v>10451710</v>
      </c>
      <c r="B177">
        <v>3.0372910293276401</v>
      </c>
      <c r="C177">
        <v>1.2424469395959401</v>
      </c>
      <c r="E177" t="str">
        <f>"10451710"</f>
        <v>10451710</v>
      </c>
      <c r="F177" t="str">
        <f t="shared" si="11"/>
        <v>Affy 1.0 ST</v>
      </c>
      <c r="G177" t="str">
        <f>"MGI:1923688"</f>
        <v>MGI:1923688</v>
      </c>
      <c r="H177" t="str">
        <f>"Rftn1"</f>
        <v>Rftn1</v>
      </c>
      <c r="I177" t="str">
        <f>"raftlin lipid raft linker 1"</f>
        <v>raftlin lipid raft linker 1</v>
      </c>
      <c r="J177" t="str">
        <f t="shared" si="13"/>
        <v>protein coding gene</v>
      </c>
    </row>
    <row r="178" spans="1:10">
      <c r="A178">
        <v>10551347</v>
      </c>
      <c r="B178">
        <v>3.03471686249335</v>
      </c>
      <c r="C178">
        <v>0.99044972450344004</v>
      </c>
      <c r="E178" t="str">
        <f>"10551347"</f>
        <v>10551347</v>
      </c>
      <c r="F178" t="str">
        <f t="shared" si="11"/>
        <v>Affy 1.0 ST</v>
      </c>
      <c r="G178" t="str">
        <f>"MGI:2385271"</f>
        <v>MGI:2385271</v>
      </c>
      <c r="H178" t="str">
        <f>"Blvrb"</f>
        <v>Blvrb</v>
      </c>
      <c r="I178" t="str">
        <f>"biliverdin reductase B (flavin reductase (NADPH))"</f>
        <v>biliverdin reductase B (flavin reductase (NADPH))</v>
      </c>
      <c r="J178" t="str">
        <f t="shared" si="13"/>
        <v>protein coding gene</v>
      </c>
    </row>
    <row r="179" spans="1:10">
      <c r="A179">
        <v>10446229</v>
      </c>
      <c r="B179">
        <v>3.0202406992330899</v>
      </c>
      <c r="C179">
        <v>0.241636065497708</v>
      </c>
      <c r="E179" t="str">
        <f>"10446229"</f>
        <v>10446229</v>
      </c>
      <c r="F179" t="str">
        <f t="shared" si="11"/>
        <v>Affy 1.0 ST</v>
      </c>
      <c r="G179" t="str">
        <f>"MGI:1101058"</f>
        <v>MGI:1101058</v>
      </c>
      <c r="H179" t="str">
        <f>"Tnfsf9"</f>
        <v>Tnfsf9</v>
      </c>
      <c r="I179" t="s">
        <v>109</v>
      </c>
      <c r="J179" t="s">
        <v>71</v>
      </c>
    </row>
    <row r="180" spans="1:10">
      <c r="A180">
        <v>10424404</v>
      </c>
      <c r="B180">
        <v>3.0123743283584901</v>
      </c>
      <c r="C180">
        <v>1.32575457541661</v>
      </c>
      <c r="E180" t="str">
        <f>"10424404"</f>
        <v>10424404</v>
      </c>
      <c r="F180" t="str">
        <f t="shared" si="11"/>
        <v>Affy 1.0 ST</v>
      </c>
      <c r="G180" t="str">
        <f>"MGI:97824"</f>
        <v>MGI:97824</v>
      </c>
      <c r="H180" t="str">
        <f>"Pvt1"</f>
        <v>Pvt1</v>
      </c>
      <c r="I180" t="str">
        <f>"plasmacytoma variant translocation 1"</f>
        <v>plasmacytoma variant translocation 1</v>
      </c>
      <c r="J180" t="str">
        <f>"unclassified gene"</f>
        <v>unclassified gene</v>
      </c>
    </row>
    <row r="181" spans="1:10">
      <c r="A181">
        <v>10372844</v>
      </c>
      <c r="B181">
        <v>3.0110456567240198</v>
      </c>
      <c r="C181">
        <v>0.68360304210783596</v>
      </c>
      <c r="E181" t="str">
        <f>"10372844"</f>
        <v>10372844</v>
      </c>
      <c r="F181" t="str">
        <f t="shared" si="11"/>
        <v>Affy 1.0 ST</v>
      </c>
      <c r="G181" t="str">
        <f>"MGI:2179722"</f>
        <v>MGI:2179722</v>
      </c>
      <c r="H181" t="str">
        <f>"Rassf3"</f>
        <v>Rassf3</v>
      </c>
      <c r="I181" t="str">
        <f>"Ras association (RalGDS/AF-6) domain family member 3"</f>
        <v>Ras association (RalGDS/AF-6) domain family member 3</v>
      </c>
      <c r="J181" t="str">
        <f>"protein coding gene"</f>
        <v>protein coding gene</v>
      </c>
    </row>
    <row r="182" spans="1:10">
      <c r="A182">
        <v>10469571</v>
      </c>
      <c r="B182">
        <v>2.99079097518907</v>
      </c>
      <c r="C182">
        <v>1.1595051652822499</v>
      </c>
      <c r="E182" t="str">
        <f>"10469571"</f>
        <v>10469571</v>
      </c>
      <c r="F182" t="str">
        <f t="shared" si="11"/>
        <v>Affy 1.0 ST</v>
      </c>
      <c r="G182" t="str">
        <f>"MGI:1918448"</f>
        <v>MGI:1918448</v>
      </c>
      <c r="H182" t="str">
        <f>"Otud1"</f>
        <v>Otud1</v>
      </c>
      <c r="I182" t="str">
        <f>"OTU domain containing 1"</f>
        <v>OTU domain containing 1</v>
      </c>
      <c r="J182" t="str">
        <f>"protein coding gene"</f>
        <v>protein coding gene</v>
      </c>
    </row>
    <row r="183" spans="1:10">
      <c r="A183">
        <v>10425370</v>
      </c>
      <c r="B183">
        <v>2.9785533596745299</v>
      </c>
      <c r="C183">
        <v>1.1104900278912799</v>
      </c>
      <c r="E183" t="str">
        <f>"10425370"</f>
        <v>10425370</v>
      </c>
      <c r="F183" t="str">
        <f t="shared" si="11"/>
        <v>Affy 1.0 ST</v>
      </c>
      <c r="G183" t="str">
        <f>"MGI:2178051"</f>
        <v>MGI:2178051</v>
      </c>
      <c r="H183" t="str">
        <f>"Cacna1i"</f>
        <v>Cacna1i</v>
      </c>
      <c r="I183" t="s">
        <v>29</v>
      </c>
      <c r="J183" t="s">
        <v>71</v>
      </c>
    </row>
    <row r="184" spans="1:10">
      <c r="A184">
        <v>10359948</v>
      </c>
      <c r="B184">
        <v>2.9581232257508199</v>
      </c>
      <c r="C184">
        <v>0.40899329865753897</v>
      </c>
      <c r="E184" t="str">
        <f>"10359948"</f>
        <v>10359948</v>
      </c>
      <c r="F184" t="str">
        <f t="shared" si="11"/>
        <v>Affy 1.0 ST</v>
      </c>
      <c r="G184" t="str">
        <f>"MGI:1334459"</f>
        <v>MGI:1334459</v>
      </c>
      <c r="H184" t="str">
        <f>"Uap1"</f>
        <v>Uap1</v>
      </c>
      <c r="I184" t="str">
        <f>"UDP-N-acetylglucosamine pyrophosphorylase 1"</f>
        <v>UDP-N-acetylglucosamine pyrophosphorylase 1</v>
      </c>
      <c r="J184" t="str">
        <f>"protein coding gene"</f>
        <v>protein coding gene</v>
      </c>
    </row>
    <row r="185" spans="1:10">
      <c r="A185">
        <v>10442396</v>
      </c>
      <c r="B185">
        <v>2.95444774563857</v>
      </c>
      <c r="C185">
        <v>0.86146355283611697</v>
      </c>
      <c r="E185" t="str">
        <f>"10442396"</f>
        <v>10442396</v>
      </c>
      <c r="F185" t="str">
        <f t="shared" si="11"/>
        <v>Affy 1.0 ST</v>
      </c>
      <c r="G185" t="str">
        <f>"MGI:1351617"</f>
        <v>MGI:1351617</v>
      </c>
      <c r="H185" t="str">
        <f>"Abca3"</f>
        <v>Abca3</v>
      </c>
      <c r="I185" t="s">
        <v>30</v>
      </c>
      <c r="J185" t="s">
        <v>71</v>
      </c>
    </row>
    <row r="186" spans="1:10">
      <c r="A186">
        <v>10404422</v>
      </c>
      <c r="B186">
        <v>2.88933804289546</v>
      </c>
      <c r="C186">
        <v>0.95364413024061001</v>
      </c>
      <c r="E186" t="str">
        <f>"10404422"</f>
        <v>10404422</v>
      </c>
      <c r="F186" t="str">
        <f t="shared" si="11"/>
        <v>Affy 1.0 ST</v>
      </c>
      <c r="G186" t="str">
        <f>"MGI:894688"</f>
        <v>MGI:894688</v>
      </c>
      <c r="H186" t="str">
        <f>"Serpinb6b"</f>
        <v>Serpinb6b</v>
      </c>
      <c r="I186" t="s">
        <v>31</v>
      </c>
      <c r="J186" t="s">
        <v>71</v>
      </c>
    </row>
    <row r="187" spans="1:10">
      <c r="A187">
        <v>10554370</v>
      </c>
      <c r="B187">
        <v>2.8890348877757699</v>
      </c>
      <c r="C187">
        <v>1.0462730556013999</v>
      </c>
      <c r="E187" t="str">
        <f>"10554370"</f>
        <v>10554370</v>
      </c>
      <c r="F187" t="str">
        <f t="shared" si="11"/>
        <v>Affy 1.0 ST</v>
      </c>
      <c r="G187" t="str">
        <f>"MGI:1921747"</f>
        <v>MGI:1921747</v>
      </c>
      <c r="H187" t="str">
        <f>"Zfp710"</f>
        <v>Zfp710</v>
      </c>
      <c r="I187" t="str">
        <f>"zinc finger protein 710"</f>
        <v>zinc finger protein 710</v>
      </c>
      <c r="J187" t="str">
        <f>"protein coding gene"</f>
        <v>protein coding gene</v>
      </c>
    </row>
    <row r="188" spans="1:10">
      <c r="A188">
        <v>10399965</v>
      </c>
      <c r="B188">
        <v>2.8842181400345401</v>
      </c>
      <c r="C188">
        <v>1.01534162842624</v>
      </c>
      <c r="E188" t="str">
        <f>"10399965"</f>
        <v>10399965</v>
      </c>
      <c r="F188" t="str">
        <f>""</f>
        <v/>
      </c>
      <c r="G188" t="str">
        <f>"No associated gene"</f>
        <v>No associated gene</v>
      </c>
    </row>
    <row r="189" spans="1:10">
      <c r="A189">
        <v>10464448</v>
      </c>
      <c r="B189">
        <v>2.8802407981475202</v>
      </c>
      <c r="C189">
        <v>0.322506389478593</v>
      </c>
      <c r="E189" t="str">
        <f>"10464448"</f>
        <v>10464448</v>
      </c>
      <c r="F189" t="str">
        <f t="shared" ref="F189:F204" si="14">"Affy 1.0 ST"</f>
        <v>Affy 1.0 ST</v>
      </c>
      <c r="G189" t="str">
        <f>"MGI:3643428"</f>
        <v>MGI:3643428</v>
      </c>
      <c r="H189" t="str">
        <f>"Gm6020"</f>
        <v>Gm6020</v>
      </c>
      <c r="I189" t="str">
        <f>"predicted gene 6020"</f>
        <v>predicted gene 6020</v>
      </c>
      <c r="J189" t="str">
        <f>"pseudogene"</f>
        <v>pseudogene</v>
      </c>
    </row>
    <row r="190" spans="1:10">
      <c r="A190">
        <v>10402981</v>
      </c>
      <c r="B190">
        <v>2.8784533990114198</v>
      </c>
      <c r="C190">
        <v>2.2891895672148901E-2</v>
      </c>
      <c r="E190" t="str">
        <f>"10402981"</f>
        <v>10402981</v>
      </c>
      <c r="F190" t="str">
        <f t="shared" si="14"/>
        <v>Affy 1.0 ST</v>
      </c>
      <c r="G190" t="str">
        <f>"MGI:2685746"</f>
        <v>MGI:2685746</v>
      </c>
      <c r="H190" t="str">
        <f>"Gm900"</f>
        <v>Gm900</v>
      </c>
      <c r="I190" t="str">
        <f>"predicted gene 900"</f>
        <v>predicted gene 900</v>
      </c>
      <c r="J190" t="str">
        <f>"protein coding gene"</f>
        <v>protein coding gene</v>
      </c>
    </row>
    <row r="191" spans="1:10">
      <c r="A191">
        <v>10577757</v>
      </c>
      <c r="B191">
        <v>2.8694634922293698</v>
      </c>
      <c r="C191">
        <v>1.2175924781237399</v>
      </c>
      <c r="E191" t="str">
        <f>"10577757"</f>
        <v>10577757</v>
      </c>
      <c r="F191" t="str">
        <f t="shared" si="14"/>
        <v>Affy 1.0 ST</v>
      </c>
      <c r="G191" t="str">
        <f>"MGI:105376"</f>
        <v>MGI:105376</v>
      </c>
      <c r="H191" t="str">
        <f>"Adam9"</f>
        <v>Adam9</v>
      </c>
      <c r="I191" t="str">
        <f>"a disintegrin and metallopeptidase domain 9 (meltrin gamma)"</f>
        <v>a disintegrin and metallopeptidase domain 9 (meltrin gamma)</v>
      </c>
      <c r="J191" t="str">
        <f>"protein coding gene"</f>
        <v>protein coding gene</v>
      </c>
    </row>
    <row r="192" spans="1:10">
      <c r="A192">
        <v>10538842</v>
      </c>
      <c r="B192">
        <v>2.8669542145419999</v>
      </c>
      <c r="C192">
        <v>1.06597505548229</v>
      </c>
      <c r="E192" t="str">
        <f>"10538842"</f>
        <v>10538842</v>
      </c>
      <c r="F192" t="str">
        <f t="shared" si="14"/>
        <v>Affy 1.0 ST</v>
      </c>
      <c r="G192" t="str">
        <f>"MGI:1336171"</f>
        <v>MGI:1336171</v>
      </c>
      <c r="H192" t="str">
        <f>"Gng12"</f>
        <v>Gng12</v>
      </c>
      <c r="I192" t="s">
        <v>32</v>
      </c>
      <c r="J192" t="s">
        <v>71</v>
      </c>
    </row>
    <row r="193" spans="1:10">
      <c r="A193">
        <v>10412773</v>
      </c>
      <c r="B193">
        <v>2.8609665119872201</v>
      </c>
      <c r="C193">
        <v>1.22610855225546</v>
      </c>
      <c r="E193" t="str">
        <f>"10412773"</f>
        <v>10412773</v>
      </c>
      <c r="F193" t="str">
        <f t="shared" si="14"/>
        <v>Affy 1.0 ST</v>
      </c>
      <c r="G193" t="str">
        <f>"MGI:2443878"</f>
        <v>MGI:2443878</v>
      </c>
      <c r="H193" t="str">
        <f>"Slc4a7"</f>
        <v>Slc4a7</v>
      </c>
      <c r="I193" t="s">
        <v>33</v>
      </c>
      <c r="J193" t="s">
        <v>71</v>
      </c>
    </row>
    <row r="194" spans="1:10">
      <c r="A194">
        <v>10498332</v>
      </c>
      <c r="B194">
        <v>2.8496770739778898</v>
      </c>
      <c r="C194">
        <v>0.48408437022725798</v>
      </c>
      <c r="E194" t="str">
        <f>"10498332"</f>
        <v>10498332</v>
      </c>
      <c r="F194" t="str">
        <f t="shared" si="14"/>
        <v>Affy 1.0 ST</v>
      </c>
      <c r="G194" t="str">
        <f>"MGI:108062"</f>
        <v>MGI:108062</v>
      </c>
      <c r="H194" t="str">
        <f>"Siah2"</f>
        <v>Siah2</v>
      </c>
      <c r="I194" t="str">
        <f>"seven in absentia 2"</f>
        <v>seven in absentia 2</v>
      </c>
      <c r="J194" t="str">
        <f t="shared" ref="J194:J199" si="15">"protein coding gene"</f>
        <v>protein coding gene</v>
      </c>
    </row>
    <row r="195" spans="1:10">
      <c r="A195">
        <v>10416533</v>
      </c>
      <c r="B195">
        <v>2.84391798782474</v>
      </c>
      <c r="C195">
        <v>0.71750703405525995</v>
      </c>
      <c r="E195" t="str">
        <f>"10416533"</f>
        <v>10416533</v>
      </c>
      <c r="F195" t="str">
        <f t="shared" si="14"/>
        <v>Affy 1.0 ST</v>
      </c>
      <c r="G195" t="str">
        <f>"MGI:1918358"</f>
        <v>MGI:1918358</v>
      </c>
      <c r="H195" t="str">
        <f>"Ccdc122"</f>
        <v>Ccdc122</v>
      </c>
      <c r="I195" t="str">
        <f>"coiled-coil domain containing 122"</f>
        <v>coiled-coil domain containing 122</v>
      </c>
      <c r="J195" t="str">
        <f t="shared" si="15"/>
        <v>protein coding gene</v>
      </c>
    </row>
    <row r="196" spans="1:10">
      <c r="A196">
        <v>10481711</v>
      </c>
      <c r="B196">
        <v>2.8401830252484501</v>
      </c>
      <c r="C196">
        <v>0.84248695862233902</v>
      </c>
      <c r="E196" t="str">
        <f>"10481711"</f>
        <v>10481711</v>
      </c>
      <c r="F196" t="str">
        <f t="shared" si="14"/>
        <v>Affy 1.0 ST</v>
      </c>
      <c r="G196" t="str">
        <f>"MGI:107363"</f>
        <v>MGI:107363</v>
      </c>
      <c r="H196" t="str">
        <f>"Stxbp1"</f>
        <v>Stxbp1</v>
      </c>
      <c r="I196" t="str">
        <f>"syntaxin binding protein 1"</f>
        <v>syntaxin binding protein 1</v>
      </c>
      <c r="J196" t="str">
        <f t="shared" si="15"/>
        <v>protein coding gene</v>
      </c>
    </row>
    <row r="197" spans="1:10">
      <c r="A197">
        <v>10399470</v>
      </c>
      <c r="B197">
        <v>2.8283690400622699</v>
      </c>
      <c r="C197">
        <v>1.8368409324003001</v>
      </c>
      <c r="E197" t="str">
        <f>"10399470"</f>
        <v>10399470</v>
      </c>
      <c r="F197" t="str">
        <f t="shared" si="14"/>
        <v>Affy 1.0 ST</v>
      </c>
      <c r="G197" t="str">
        <f>"MGI:2145021"</f>
        <v>MGI:2145021</v>
      </c>
      <c r="H197" t="str">
        <f>"Trib2"</f>
        <v>Trib2</v>
      </c>
      <c r="I197" t="str">
        <f>"tribbles homolog 2 (Drosophila)"</f>
        <v>tribbles homolog 2 (Drosophila)</v>
      </c>
      <c r="J197" t="str">
        <f t="shared" si="15"/>
        <v>protein coding gene</v>
      </c>
    </row>
    <row r="198" spans="1:10">
      <c r="A198">
        <v>10446656</v>
      </c>
      <c r="B198">
        <v>2.8247076114593401</v>
      </c>
      <c r="C198">
        <v>0.35517598574167702</v>
      </c>
      <c r="E198" t="str">
        <f>"10446656"</f>
        <v>10446656</v>
      </c>
      <c r="F198" t="str">
        <f t="shared" si="14"/>
        <v>Affy 1.0 ST</v>
      </c>
      <c r="G198" t="str">
        <f>"MGI:1891341"</f>
        <v>MGI:1891341</v>
      </c>
      <c r="H198" t="str">
        <f>"Lpin2"</f>
        <v>Lpin2</v>
      </c>
      <c r="I198" t="str">
        <f>"lipin 2"</f>
        <v>lipin 2</v>
      </c>
      <c r="J198" t="str">
        <f t="shared" si="15"/>
        <v>protein coding gene</v>
      </c>
    </row>
    <row r="199" spans="1:10">
      <c r="A199">
        <v>10538939</v>
      </c>
      <c r="B199">
        <v>2.8211235130924002</v>
      </c>
      <c r="C199">
        <v>0.71958841663640005</v>
      </c>
      <c r="E199" t="str">
        <f>"10538939"</f>
        <v>10538939</v>
      </c>
      <c r="F199" t="str">
        <f t="shared" si="14"/>
        <v>Affy 1.0 ST</v>
      </c>
      <c r="G199" t="str">
        <f>"MGI:1341830"</f>
        <v>MGI:1341830</v>
      </c>
      <c r="H199" t="str">
        <f>"Eif2ak3"</f>
        <v>Eif2ak3</v>
      </c>
      <c r="I199" t="str">
        <f>"eukaryotic translation initiation factor 2 alpha kinase 3"</f>
        <v>eukaryotic translation initiation factor 2 alpha kinase 3</v>
      </c>
      <c r="J199" t="str">
        <f t="shared" si="15"/>
        <v>protein coding gene</v>
      </c>
    </row>
    <row r="200" spans="1:10">
      <c r="A200">
        <v>10527158</v>
      </c>
      <c r="B200">
        <v>2.8036210305955702</v>
      </c>
      <c r="C200">
        <v>0.14808993894799</v>
      </c>
      <c r="E200" t="str">
        <f>"10527158"</f>
        <v>10527158</v>
      </c>
      <c r="F200" t="str">
        <f t="shared" si="14"/>
        <v>Affy 1.0 ST</v>
      </c>
      <c r="G200" t="str">
        <f>"MGI:1352745"</f>
        <v>MGI:1352745</v>
      </c>
      <c r="H200" t="str">
        <f>"Fscn1"</f>
        <v>Fscn1</v>
      </c>
      <c r="I200" t="s">
        <v>34</v>
      </c>
      <c r="J200" t="s">
        <v>71</v>
      </c>
    </row>
    <row r="201" spans="1:10">
      <c r="A201">
        <v>10520362</v>
      </c>
      <c r="B201">
        <v>2.78866713032212</v>
      </c>
      <c r="C201">
        <v>1.15679423274252</v>
      </c>
      <c r="E201" t="str">
        <f>"10520362"</f>
        <v>10520362</v>
      </c>
      <c r="F201" t="str">
        <f t="shared" si="14"/>
        <v>Affy 1.0 ST</v>
      </c>
      <c r="G201" t="str">
        <f>"MGI:1916289"</f>
        <v>MGI:1916289</v>
      </c>
      <c r="H201" t="str">
        <f>"Insig1"</f>
        <v>Insig1</v>
      </c>
      <c r="I201" t="str">
        <f>"insulin induced gene 1"</f>
        <v>insulin induced gene 1</v>
      </c>
      <c r="J201" t="str">
        <f>"protein coding gene"</f>
        <v>protein coding gene</v>
      </c>
    </row>
    <row r="202" spans="1:10">
      <c r="A202">
        <v>10572301</v>
      </c>
      <c r="B202">
        <v>2.7794211781492599</v>
      </c>
      <c r="C202">
        <v>0.421147641453192</v>
      </c>
      <c r="E202" t="str">
        <f>"10572301"</f>
        <v>10572301</v>
      </c>
      <c r="F202" t="str">
        <f t="shared" si="14"/>
        <v>Affy 1.0 ST</v>
      </c>
      <c r="G202" t="str">
        <f>"MGI:104526"</f>
        <v>MGI:104526</v>
      </c>
      <c r="H202" t="str">
        <f>"Mef2b"</f>
        <v>Mef2b</v>
      </c>
      <c r="I202" t="str">
        <f>"myocyte enhancer factor 2B"</f>
        <v>myocyte enhancer factor 2B</v>
      </c>
      <c r="J202" t="str">
        <f>"protein coding gene"</f>
        <v>protein coding gene</v>
      </c>
    </row>
    <row r="203" spans="1:10">
      <c r="A203">
        <v>10598638</v>
      </c>
      <c r="B203">
        <v>2.7680713920706799</v>
      </c>
      <c r="C203">
        <v>1.18007966492537</v>
      </c>
      <c r="E203" t="str">
        <f>"10598638"</f>
        <v>10598638</v>
      </c>
      <c r="F203" t="str">
        <f t="shared" si="14"/>
        <v>Affy 1.0 ST</v>
      </c>
      <c r="G203" t="str">
        <f>"MGI:1915291"</f>
        <v>MGI:1915291</v>
      </c>
      <c r="H203" t="str">
        <f>"Mid1ip1"</f>
        <v>Mid1ip1</v>
      </c>
      <c r="I203" t="str">
        <f>"Mid1 interacting protein 1 (gastrulation specific G12-like (zebrafish))"</f>
        <v>Mid1 interacting protein 1 (gastrulation specific G12-like (zebrafish))</v>
      </c>
      <c r="J203" t="str">
        <f>"protein coding gene"</f>
        <v>protein coding gene</v>
      </c>
    </row>
    <row r="204" spans="1:10">
      <c r="A204">
        <v>10427910</v>
      </c>
      <c r="B204">
        <v>2.76791769842862</v>
      </c>
      <c r="C204">
        <v>0.92175280370037505</v>
      </c>
      <c r="E204" t="str">
        <f>"10427910"</f>
        <v>10427910</v>
      </c>
      <c r="F204" t="str">
        <f t="shared" si="14"/>
        <v>Affy 1.0 ST</v>
      </c>
      <c r="G204" t="str">
        <f>"MGI:3577015"</f>
        <v>MGI:3577015</v>
      </c>
      <c r="H204" t="str">
        <f>"Fam105b"</f>
        <v>Fam105b</v>
      </c>
      <c r="I204" t="s">
        <v>35</v>
      </c>
      <c r="J204" t="s">
        <v>71</v>
      </c>
    </row>
    <row r="205" spans="1:10">
      <c r="A205">
        <v>10504054</v>
      </c>
      <c r="B205">
        <v>2.76123213599478</v>
      </c>
      <c r="C205">
        <v>0.23281092929486699</v>
      </c>
      <c r="E205" t="str">
        <f>"10504054"</f>
        <v>10504054</v>
      </c>
      <c r="F205" t="str">
        <f>""</f>
        <v/>
      </c>
      <c r="G205" t="str">
        <f>"No associated gene"</f>
        <v>No associated gene</v>
      </c>
    </row>
    <row r="206" spans="1:10">
      <c r="A206">
        <v>10399540</v>
      </c>
      <c r="B206">
        <v>2.7609184099464601</v>
      </c>
      <c r="C206">
        <v>0.73350009898123703</v>
      </c>
      <c r="E206" t="str">
        <f>"10399540"</f>
        <v>10399540</v>
      </c>
      <c r="F206" t="str">
        <f t="shared" ref="F206:F220" si="16">"Affy 1.0 ST"</f>
        <v>Affy 1.0 ST</v>
      </c>
      <c r="G206" t="str">
        <f>"MGI:2444067"</f>
        <v>MGI:2444067</v>
      </c>
      <c r="H206" t="str">
        <f>"Pqlc3"</f>
        <v>Pqlc3</v>
      </c>
      <c r="I206" t="str">
        <f>"PQ loop repeat containing"</f>
        <v>PQ loop repeat containing</v>
      </c>
      <c r="J206" t="str">
        <f>"protein coding gene"</f>
        <v>protein coding gene</v>
      </c>
    </row>
    <row r="207" spans="1:10">
      <c r="A207">
        <v>10571312</v>
      </c>
      <c r="B207">
        <v>2.7338263535024199</v>
      </c>
      <c r="C207">
        <v>0.95962948749313304</v>
      </c>
      <c r="E207" t="str">
        <f>"10571312"</f>
        <v>10571312</v>
      </c>
      <c r="F207" t="str">
        <f t="shared" si="16"/>
        <v>Affy 1.0 ST</v>
      </c>
      <c r="G207" t="str">
        <f>"MGI:2442191"</f>
        <v>MGI:2442191</v>
      </c>
      <c r="H207" t="str">
        <f>"Dusp4"</f>
        <v>Dusp4</v>
      </c>
      <c r="I207" t="str">
        <f>"dual specificity phosphatase 4"</f>
        <v>dual specificity phosphatase 4</v>
      </c>
      <c r="J207" t="str">
        <f>"protein coding gene"</f>
        <v>protein coding gene</v>
      </c>
    </row>
    <row r="208" spans="1:10">
      <c r="A208">
        <v>10422598</v>
      </c>
      <c r="B208">
        <v>2.73147927059832</v>
      </c>
      <c r="C208">
        <v>0.72449958321086205</v>
      </c>
      <c r="E208" t="str">
        <f>"10422598"</f>
        <v>10422598</v>
      </c>
      <c r="F208" t="str">
        <f t="shared" si="16"/>
        <v>Affy 1.0 ST</v>
      </c>
      <c r="G208" t="str">
        <f>"MGI:894288"</f>
        <v>MGI:894288</v>
      </c>
      <c r="H208" t="str">
        <f>"Sepp1"</f>
        <v>Sepp1</v>
      </c>
      <c r="I208" t="s">
        <v>36</v>
      </c>
      <c r="J208" t="s">
        <v>71</v>
      </c>
    </row>
    <row r="209" spans="1:10">
      <c r="A209">
        <v>10401343</v>
      </c>
      <c r="B209">
        <v>2.72778665850799</v>
      </c>
      <c r="C209">
        <v>1.0596787131826</v>
      </c>
      <c r="E209" t="str">
        <f>"10401343"</f>
        <v>10401343</v>
      </c>
      <c r="F209" t="str">
        <f t="shared" si="16"/>
        <v>Affy 1.0 ST</v>
      </c>
      <c r="G209" t="str">
        <f>"MGI:2449952"</f>
        <v>MGI:2449952</v>
      </c>
      <c r="H209" t="str">
        <f>"Map3k9"</f>
        <v>Map3k9</v>
      </c>
      <c r="I209" t="str">
        <f>"mitogen-activated protein kinase kinase kinase 9"</f>
        <v>mitogen-activated protein kinase kinase kinase 9</v>
      </c>
      <c r="J209" t="str">
        <f>"protein coding gene"</f>
        <v>protein coding gene</v>
      </c>
    </row>
    <row r="210" spans="1:10">
      <c r="A210">
        <v>10448925</v>
      </c>
      <c r="B210">
        <v>2.7186589457753998</v>
      </c>
      <c r="C210">
        <v>5.3997336552786997E-2</v>
      </c>
      <c r="E210" t="str">
        <f>"10448925"</f>
        <v>10448925</v>
      </c>
      <c r="F210" t="str">
        <f t="shared" si="16"/>
        <v>Affy 1.0 ST</v>
      </c>
      <c r="G210" t="str">
        <f>"MGI:1928842"</f>
        <v>MGI:1928842</v>
      </c>
      <c r="H210" t="str">
        <f>"Cacna1h"</f>
        <v>Cacna1h</v>
      </c>
      <c r="I210" t="s">
        <v>37</v>
      </c>
      <c r="J210" t="s">
        <v>71</v>
      </c>
    </row>
    <row r="211" spans="1:10">
      <c r="A211">
        <v>10468309</v>
      </c>
      <c r="B211">
        <v>2.7184063148426501</v>
      </c>
      <c r="C211">
        <v>1.6403013336630099</v>
      </c>
      <c r="E211" t="str">
        <f>"10468309"</f>
        <v>10468309</v>
      </c>
      <c r="F211" t="str">
        <f t="shared" si="16"/>
        <v>Affy 1.0 ST</v>
      </c>
      <c r="G211" t="str">
        <f>"MGI:1916883"</f>
        <v>MGI:1916883</v>
      </c>
      <c r="H211" t="str">
        <f>"2310014D11Rik"</f>
        <v>2310014D11Rik</v>
      </c>
      <c r="I211" t="str">
        <f>"RIKEN cDNA 2310014D11 gene"</f>
        <v>RIKEN cDNA 2310014D11 gene</v>
      </c>
      <c r="J211" t="str">
        <f>"unclassified gene"</f>
        <v>unclassified gene</v>
      </c>
    </row>
    <row r="212" spans="1:10">
      <c r="A212">
        <v>10530163</v>
      </c>
      <c r="B212">
        <v>2.7015599915591202</v>
      </c>
      <c r="C212">
        <v>1.84811522390668</v>
      </c>
      <c r="E212" t="str">
        <f>"10530163"</f>
        <v>10530163</v>
      </c>
      <c r="F212" t="str">
        <f t="shared" si="16"/>
        <v>Affy 1.0 ST</v>
      </c>
      <c r="G212" t="str">
        <f>"MGI:97891"</f>
        <v>MGI:97891</v>
      </c>
      <c r="H212" t="str">
        <f>"Rfc1"</f>
        <v>Rfc1</v>
      </c>
      <c r="I212" t="str">
        <f>"replication factor C (activator 1) 1"</f>
        <v>replication factor C (activator 1) 1</v>
      </c>
      <c r="J212" t="str">
        <f>"protein coding gene"</f>
        <v>protein coding gene</v>
      </c>
    </row>
    <row r="213" spans="1:10">
      <c r="A213">
        <v>10485562</v>
      </c>
      <c r="B213">
        <v>2.68081096094014</v>
      </c>
      <c r="C213">
        <v>0.222417898524225</v>
      </c>
      <c r="E213" t="str">
        <f>"10485562"</f>
        <v>10485562</v>
      </c>
      <c r="F213" t="str">
        <f t="shared" si="16"/>
        <v>Affy 1.0 ST</v>
      </c>
      <c r="G213" t="str">
        <f>"MGI:1314882"</f>
        <v>MGI:1314882</v>
      </c>
      <c r="H213" t="str">
        <f>"Hipk3"</f>
        <v>Hipk3</v>
      </c>
      <c r="I213" t="str">
        <f>"homeodomain interacting protein kinase 3"</f>
        <v>homeodomain interacting protein kinase 3</v>
      </c>
      <c r="J213" t="str">
        <f>"protein coding gene"</f>
        <v>protein coding gene</v>
      </c>
    </row>
    <row r="214" spans="1:10">
      <c r="A214">
        <v>10602385</v>
      </c>
      <c r="B214">
        <v>2.67650987093598</v>
      </c>
      <c r="C214">
        <v>0.62517172105650398</v>
      </c>
      <c r="E214" t="str">
        <f>"10602385"</f>
        <v>10602385</v>
      </c>
      <c r="F214" t="str">
        <f t="shared" si="16"/>
        <v>Affy 1.0 ST</v>
      </c>
      <c r="G214" t="str">
        <f>"MGI:107816"</f>
        <v>MGI:107816</v>
      </c>
      <c r="H214" t="str">
        <f>"Pfkfb1"</f>
        <v>Pfkfb1</v>
      </c>
      <c r="I214" t="s">
        <v>38</v>
      </c>
      <c r="J214" t="s">
        <v>71</v>
      </c>
    </row>
    <row r="215" spans="1:10">
      <c r="A215">
        <v>10599612</v>
      </c>
      <c r="B215">
        <v>2.6573313098935998</v>
      </c>
      <c r="C215">
        <v>0.89979363459418304</v>
      </c>
      <c r="E215" t="str">
        <f>"10599612"</f>
        <v>10599612</v>
      </c>
      <c r="F215" t="str">
        <f t="shared" si="16"/>
        <v>Affy 1.0 ST</v>
      </c>
      <c r="G215" t="str">
        <f>"MGI:1918248"</f>
        <v>MGI:1918248</v>
      </c>
      <c r="H215" t="str">
        <f>"Phf6"</f>
        <v>Phf6</v>
      </c>
      <c r="I215" t="str">
        <f>"PHD finger protein 6"</f>
        <v>PHD finger protein 6</v>
      </c>
      <c r="J215" t="str">
        <f>"protein coding gene"</f>
        <v>protein coding gene</v>
      </c>
    </row>
    <row r="216" spans="1:10">
      <c r="A216">
        <v>10605766</v>
      </c>
      <c r="B216">
        <v>2.6521857635995998</v>
      </c>
      <c r="C216">
        <v>0.43609688625075799</v>
      </c>
      <c r="E216" t="str">
        <f>"10605766"</f>
        <v>10605766</v>
      </c>
      <c r="F216" t="str">
        <f t="shared" si="16"/>
        <v>Affy 1.0 ST</v>
      </c>
      <c r="G216" t="str">
        <f>"MGI:1930187"</f>
        <v>MGI:1930187</v>
      </c>
      <c r="H216" t="str">
        <f>"Maged1"</f>
        <v>Maged1</v>
      </c>
      <c r="I216" t="s">
        <v>39</v>
      </c>
      <c r="J216" t="s">
        <v>71</v>
      </c>
    </row>
    <row r="217" spans="1:10">
      <c r="A217">
        <v>10353947</v>
      </c>
      <c r="B217">
        <v>2.6280361611323801</v>
      </c>
      <c r="C217">
        <v>0.92737332814526197</v>
      </c>
      <c r="E217" t="str">
        <f>"10353947"</f>
        <v>10353947</v>
      </c>
      <c r="F217" t="str">
        <f t="shared" si="16"/>
        <v>Affy 1.0 ST</v>
      </c>
      <c r="G217" t="str">
        <f>"MGI:1927110"</f>
        <v>MGI:1927110</v>
      </c>
      <c r="H217" t="str">
        <f>"Tmem131"</f>
        <v>Tmem131</v>
      </c>
      <c r="I217" t="str">
        <f>"transmembrane protein 131"</f>
        <v>transmembrane protein 131</v>
      </c>
      <c r="J217" t="str">
        <f>"protein coding gene"</f>
        <v>protein coding gene</v>
      </c>
    </row>
    <row r="218" spans="1:10">
      <c r="A218">
        <v>10566067</v>
      </c>
      <c r="B218">
        <v>2.6260035829678801</v>
      </c>
      <c r="C218">
        <v>0.20139412967530501</v>
      </c>
      <c r="E218" t="str">
        <f>"10566067"</f>
        <v>10566067</v>
      </c>
      <c r="F218" t="str">
        <f t="shared" si="16"/>
        <v>Affy 1.0 ST</v>
      </c>
      <c r="G218" t="str">
        <f>"MGI:1922462"</f>
        <v>MGI:1922462</v>
      </c>
      <c r="H218" t="str">
        <f>"Rnf121"</f>
        <v>Rnf121</v>
      </c>
      <c r="I218" t="str">
        <f>"ring finger protein 121"</f>
        <v>ring finger protein 121</v>
      </c>
      <c r="J218" t="str">
        <f>"protein coding gene"</f>
        <v>protein coding gene</v>
      </c>
    </row>
    <row r="219" spans="1:10">
      <c r="A219">
        <v>10588243</v>
      </c>
      <c r="B219">
        <v>2.6219259074426802</v>
      </c>
      <c r="C219">
        <v>0.62095082893984499</v>
      </c>
      <c r="E219" t="str">
        <f>"10588243"</f>
        <v>10588243</v>
      </c>
      <c r="F219" t="str">
        <f t="shared" si="16"/>
        <v>Affy 1.0 ST</v>
      </c>
      <c r="G219" t="str">
        <f>"MGI:101766"</f>
        <v>MGI:101766</v>
      </c>
      <c r="H219" t="str">
        <f>"Ryk"</f>
        <v>Ryk</v>
      </c>
      <c r="I219" t="str">
        <f>"receptor-like tyrosine kinase"</f>
        <v>receptor-like tyrosine kinase</v>
      </c>
      <c r="J219" t="str">
        <f>"protein coding gene"</f>
        <v>protein coding gene</v>
      </c>
    </row>
    <row r="220" spans="1:10">
      <c r="A220">
        <v>10470564</v>
      </c>
      <c r="B220">
        <v>2.6213888442748399</v>
      </c>
      <c r="C220">
        <v>0.79495671580351401</v>
      </c>
      <c r="E220" t="str">
        <f>"10470564"</f>
        <v>10470564</v>
      </c>
      <c r="F220" t="str">
        <f t="shared" si="16"/>
        <v>Affy 1.0 ST</v>
      </c>
      <c r="G220" t="str">
        <f>"MGI:107485"</f>
        <v>MGI:107485</v>
      </c>
      <c r="H220" t="str">
        <f>"Ralgds"</f>
        <v>Ralgds</v>
      </c>
      <c r="I220" t="str">
        <f>"ral guanine nucleotide dissociation stimulator"</f>
        <v>ral guanine nucleotide dissociation stimulator</v>
      </c>
      <c r="J220" t="str">
        <f>"protein coding gene"</f>
        <v>protein coding gene</v>
      </c>
    </row>
    <row r="221" spans="1:10">
      <c r="A221">
        <v>10343119</v>
      </c>
      <c r="B221">
        <v>2.6079491488032498</v>
      </c>
      <c r="C221">
        <v>0.18960742511236001</v>
      </c>
      <c r="E221" t="str">
        <f>"10343119"</f>
        <v>10343119</v>
      </c>
      <c r="F221" t="str">
        <f>""</f>
        <v/>
      </c>
      <c r="G221" t="str">
        <f>"No associated gene"</f>
        <v>No associated gene</v>
      </c>
    </row>
    <row r="222" spans="1:10">
      <c r="A222">
        <v>10418846</v>
      </c>
      <c r="B222">
        <v>2.5830066549884698</v>
      </c>
      <c r="C222">
        <v>0.36949006523022898</v>
      </c>
      <c r="E222" t="str">
        <f>"10418846"</f>
        <v>10418846</v>
      </c>
      <c r="F222" t="str">
        <f t="shared" ref="F222:F230" si="17">"Affy 1.0 ST"</f>
        <v>Affy 1.0 ST</v>
      </c>
      <c r="G222" t="str">
        <f>"MGI:3588196"</f>
        <v>MGI:3588196</v>
      </c>
      <c r="H222" t="str">
        <f>"3425401B19Rik"</f>
        <v>3425401B19Rik</v>
      </c>
      <c r="I222" t="str">
        <f>"RIKEN cDNA 3425401B19 gene"</f>
        <v>RIKEN cDNA 3425401B19 gene</v>
      </c>
      <c r="J222" t="str">
        <f>"protein coding gene"</f>
        <v>protein coding gene</v>
      </c>
    </row>
    <row r="223" spans="1:10">
      <c r="A223">
        <v>10503845</v>
      </c>
      <c r="B223">
        <v>2.58096753825791</v>
      </c>
      <c r="C223">
        <v>0.513084262409502</v>
      </c>
      <c r="E223" t="str">
        <f>"10503845"</f>
        <v>10503845</v>
      </c>
      <c r="F223" t="str">
        <f t="shared" si="17"/>
        <v>Affy 1.0 ST</v>
      </c>
      <c r="G223" t="str">
        <f>"MGI:1926245"</f>
        <v>MGI:1926245</v>
      </c>
      <c r="H223" t="str">
        <f>"Ube2j1"</f>
        <v>Ube2j1</v>
      </c>
      <c r="I223" t="s">
        <v>40</v>
      </c>
      <c r="J223" t="s">
        <v>71</v>
      </c>
    </row>
    <row r="224" spans="1:10">
      <c r="A224">
        <v>10532753</v>
      </c>
      <c r="B224">
        <v>2.5805490246915501</v>
      </c>
      <c r="C224">
        <v>1.5400602198581901</v>
      </c>
      <c r="E224" t="str">
        <f>"10532753"</f>
        <v>10532753</v>
      </c>
      <c r="F224" t="str">
        <f t="shared" si="17"/>
        <v>Affy 1.0 ST</v>
      </c>
      <c r="G224" t="str">
        <f>"MGI:1345964"</f>
        <v>MGI:1345964</v>
      </c>
      <c r="H224" t="str">
        <f>"Coro1c"</f>
        <v>Coro1c</v>
      </c>
      <c r="I224" t="s">
        <v>41</v>
      </c>
      <c r="J224" t="s">
        <v>71</v>
      </c>
    </row>
    <row r="225" spans="1:10">
      <c r="A225">
        <v>10594812</v>
      </c>
      <c r="B225">
        <v>2.5769949119879301</v>
      </c>
      <c r="C225">
        <v>0.69968236756130997</v>
      </c>
      <c r="E225" t="str">
        <f>"10594812"</f>
        <v>10594812</v>
      </c>
      <c r="F225" t="str">
        <f t="shared" si="17"/>
        <v>Affy 1.0 ST</v>
      </c>
      <c r="G225" t="str">
        <f>"MGI:96216"</f>
        <v>MGI:96216</v>
      </c>
      <c r="H225" t="str">
        <f>"Lipc"</f>
        <v>Lipc</v>
      </c>
      <c r="I225" t="s">
        <v>42</v>
      </c>
      <c r="J225" t="s">
        <v>71</v>
      </c>
    </row>
    <row r="226" spans="1:10">
      <c r="A226">
        <v>10601326</v>
      </c>
      <c r="B226">
        <v>2.5643543112811198</v>
      </c>
      <c r="C226">
        <v>0.82809098986168195</v>
      </c>
      <c r="E226" t="str">
        <f>"10601326"</f>
        <v>10601326</v>
      </c>
      <c r="F226" t="str">
        <f t="shared" si="17"/>
        <v>Affy 1.0 ST</v>
      </c>
      <c r="G226" t="str">
        <f>"MGI:2685620"</f>
        <v>MGI:2685620</v>
      </c>
      <c r="H226" t="str">
        <f>"Uprt"</f>
        <v>Uprt</v>
      </c>
      <c r="I226" t="str">
        <f>"uracil phosphoribosyltransferase (FUR1) homolog (S. cerevisiae)"</f>
        <v>uracil phosphoribosyltransferase (FUR1) homolog (S. cerevisiae)</v>
      </c>
      <c r="J226" t="str">
        <f>"protein coding gene"</f>
        <v>protein coding gene</v>
      </c>
    </row>
    <row r="227" spans="1:10">
      <c r="A227">
        <v>10353549</v>
      </c>
      <c r="B227">
        <v>2.5587449356445</v>
      </c>
      <c r="C227">
        <v>0.29039761183317703</v>
      </c>
      <c r="E227" t="str">
        <f>"10353549"</f>
        <v>10353549</v>
      </c>
      <c r="F227" t="str">
        <f t="shared" si="17"/>
        <v>Affy 1.0 ST</v>
      </c>
      <c r="G227" t="str">
        <f>"MGI:1915437"</f>
        <v>MGI:1915437</v>
      </c>
      <c r="H227" t="str">
        <f>"Fam135a"</f>
        <v>Fam135a</v>
      </c>
      <c r="I227" t="s">
        <v>43</v>
      </c>
      <c r="J227" t="s">
        <v>71</v>
      </c>
    </row>
    <row r="228" spans="1:10">
      <c r="A228">
        <v>10359339</v>
      </c>
      <c r="B228">
        <v>2.5563166084956399</v>
      </c>
      <c r="C228">
        <v>0.607414361382693</v>
      </c>
      <c r="E228" t="str">
        <f>"10359339"</f>
        <v>10359339</v>
      </c>
      <c r="F228" t="str">
        <f t="shared" si="17"/>
        <v>Affy 1.0 ST</v>
      </c>
      <c r="G228" t="str">
        <f>"MGI:1352507"</f>
        <v>MGI:1352507</v>
      </c>
      <c r="H228" t="str">
        <f>"Rabgap1l"</f>
        <v>Rabgap1l</v>
      </c>
      <c r="I228" t="str">
        <f>"RAB GTPase activating protein 1-like"</f>
        <v>RAB GTPase activating protein 1-like</v>
      </c>
      <c r="J228" t="str">
        <f>"protein coding gene"</f>
        <v>protein coding gene</v>
      </c>
    </row>
    <row r="229" spans="1:10">
      <c r="A229">
        <v>10352320</v>
      </c>
      <c r="B229">
        <v>2.55123789156529</v>
      </c>
      <c r="C229">
        <v>0.62073129982327502</v>
      </c>
      <c r="E229" t="str">
        <f>"10352320"</f>
        <v>10352320</v>
      </c>
      <c r="F229" t="str">
        <f t="shared" si="17"/>
        <v>Affy 1.0 ST</v>
      </c>
      <c r="G229" t="str">
        <f>"MGI:2384789"</f>
        <v>MGI:2384789</v>
      </c>
      <c r="H229" t="str">
        <f>"Tmem63a"</f>
        <v>Tmem63a</v>
      </c>
      <c r="I229" t="str">
        <f>"transmembrane protein 63a"</f>
        <v>transmembrane protein 63a</v>
      </c>
      <c r="J229" t="str">
        <f>"protein coding gene"</f>
        <v>protein coding gene</v>
      </c>
    </row>
    <row r="230" spans="1:10">
      <c r="A230">
        <v>10345548</v>
      </c>
      <c r="B230">
        <v>2.5467100196739398</v>
      </c>
      <c r="C230">
        <v>0.34789607628490099</v>
      </c>
      <c r="E230" t="str">
        <f>"10345548"</f>
        <v>10345548</v>
      </c>
      <c r="F230" t="str">
        <f t="shared" si="17"/>
        <v>Affy 1.0 ST</v>
      </c>
      <c r="G230" t="str">
        <f>"MGI:1918103"</f>
        <v>MGI:1918103</v>
      </c>
      <c r="H230" t="str">
        <f>"Vwa3b"</f>
        <v>Vwa3b</v>
      </c>
      <c r="I230" t="str">
        <f>"von Willebrand factor A domain containing 3B"</f>
        <v>von Willebrand factor A domain containing 3B</v>
      </c>
      <c r="J230" t="str">
        <f>"protein coding gene"</f>
        <v>protein coding gene</v>
      </c>
    </row>
    <row r="231" spans="1:10">
      <c r="A231">
        <v>10353989</v>
      </c>
      <c r="B231">
        <v>2.5432248376584901</v>
      </c>
      <c r="C231">
        <v>0.88758168909336399</v>
      </c>
      <c r="E231" t="str">
        <f>"10353989"</f>
        <v>10353989</v>
      </c>
      <c r="F231" t="str">
        <f>""</f>
        <v/>
      </c>
      <c r="G231" t="str">
        <f>"No associated gene"</f>
        <v>No associated gene</v>
      </c>
    </row>
    <row r="232" spans="1:10">
      <c r="A232">
        <v>10465804</v>
      </c>
      <c r="B232">
        <v>2.54012344321711</v>
      </c>
      <c r="C232">
        <v>0.49299409767190999</v>
      </c>
      <c r="E232" t="str">
        <f>"10465804"</f>
        <v>10465804</v>
      </c>
      <c r="F232" t="str">
        <f t="shared" ref="F232:F259" si="18">"Affy 1.0 ST"</f>
        <v>Affy 1.0 ST</v>
      </c>
      <c r="G232" t="str">
        <f>"MGI:1914960"</f>
        <v>MGI:1914960</v>
      </c>
      <c r="H232" t="str">
        <f>"Polr2g"</f>
        <v>Polr2g</v>
      </c>
      <c r="I232" t="str">
        <f>"polymerase (RNA) II (DNA directed) polypeptide G"</f>
        <v>polymerase (RNA) II (DNA directed) polypeptide G</v>
      </c>
      <c r="J232" t="str">
        <f>"protein coding gene"</f>
        <v>protein coding gene</v>
      </c>
    </row>
    <row r="233" spans="1:10">
      <c r="A233">
        <v>10525893</v>
      </c>
      <c r="B233">
        <v>2.5285633301753099</v>
      </c>
      <c r="C233">
        <v>0.13375439368259401</v>
      </c>
      <c r="E233" t="str">
        <f>"10525893"</f>
        <v>10525893</v>
      </c>
      <c r="F233" t="str">
        <f t="shared" si="18"/>
        <v>Affy 1.0 ST</v>
      </c>
      <c r="G233" t="str">
        <f>"MGI:1926144"</f>
        <v>MGI:1926144</v>
      </c>
      <c r="H233" t="str">
        <f>"Aacs"</f>
        <v>Aacs</v>
      </c>
      <c r="I233" t="str">
        <f>"acetoacetyl-CoA synthetase"</f>
        <v>acetoacetyl-CoA synthetase</v>
      </c>
      <c r="J233" t="str">
        <f>"protein coding gene"</f>
        <v>protein coding gene</v>
      </c>
    </row>
    <row r="234" spans="1:10">
      <c r="A234">
        <v>10514366</v>
      </c>
      <c r="B234">
        <v>2.5214497719991402</v>
      </c>
      <c r="C234">
        <v>0.86170245714723803</v>
      </c>
      <c r="E234" t="str">
        <f>"10514366"</f>
        <v>10514366</v>
      </c>
      <c r="F234" t="str">
        <f t="shared" si="18"/>
        <v>Affy 1.0 ST</v>
      </c>
      <c r="G234" t="str">
        <f>"MGI:1353653"</f>
        <v>MGI:1353653</v>
      </c>
      <c r="H234" t="str">
        <f>"Glrx3"</f>
        <v>Glrx3</v>
      </c>
      <c r="I234" t="str">
        <f>"glutaredoxin 3"</f>
        <v>glutaredoxin 3</v>
      </c>
      <c r="J234" t="str">
        <f>"protein coding gene"</f>
        <v>protein coding gene</v>
      </c>
    </row>
    <row r="235" spans="1:10">
      <c r="A235">
        <v>10577655</v>
      </c>
      <c r="B235">
        <v>2.5206038481503898</v>
      </c>
      <c r="C235">
        <v>0.27401521632943798</v>
      </c>
      <c r="E235" t="str">
        <f>"10577655"</f>
        <v>10577655</v>
      </c>
      <c r="F235" t="str">
        <f t="shared" si="18"/>
        <v>Affy 1.0 ST</v>
      </c>
      <c r="G235" t="str">
        <f>"MGI:96416"</f>
        <v>MGI:96416</v>
      </c>
      <c r="H235" t="str">
        <f>"Ido1"</f>
        <v>Ido1</v>
      </c>
      <c r="I235" t="s">
        <v>44</v>
      </c>
      <c r="J235" t="s">
        <v>71</v>
      </c>
    </row>
    <row r="236" spans="1:10">
      <c r="A236">
        <v>10361828</v>
      </c>
      <c r="B236">
        <v>2.5138188515180402</v>
      </c>
      <c r="C236">
        <v>0.74299500641479499</v>
      </c>
      <c r="E236" t="str">
        <f>"10361828"</f>
        <v>10361828</v>
      </c>
      <c r="F236" t="str">
        <f t="shared" si="18"/>
        <v>Affy 1.0 ST</v>
      </c>
      <c r="G236" t="str">
        <f>"MGI:1306784"</f>
        <v>MGI:1306784</v>
      </c>
      <c r="H236" t="str">
        <f>"Cited2"</f>
        <v>Cited2</v>
      </c>
      <c r="I236" t="s">
        <v>45</v>
      </c>
      <c r="J236" t="s">
        <v>71</v>
      </c>
    </row>
    <row r="237" spans="1:10">
      <c r="A237">
        <v>10594758</v>
      </c>
      <c r="B237">
        <v>2.5076687501999499</v>
      </c>
      <c r="C237">
        <v>0.22008485250059501</v>
      </c>
      <c r="E237" t="str">
        <f>"10594758"</f>
        <v>10594758</v>
      </c>
      <c r="F237" t="str">
        <f t="shared" si="18"/>
        <v>Affy 1.0 ST</v>
      </c>
      <c r="G237" t="str">
        <f>"MGI:1919327"</f>
        <v>MGI:1919327</v>
      </c>
      <c r="H237" t="str">
        <f>"Gcnt3"</f>
        <v>Gcnt3</v>
      </c>
      <c r="I237" t="s">
        <v>46</v>
      </c>
      <c r="J237" t="s">
        <v>71</v>
      </c>
    </row>
    <row r="238" spans="1:10">
      <c r="A238">
        <v>10456566</v>
      </c>
      <c r="B238">
        <v>2.4983137708854799</v>
      </c>
      <c r="C238">
        <v>0.74550308466269399</v>
      </c>
      <c r="E238" t="str">
        <f>"10456566"</f>
        <v>10456566</v>
      </c>
      <c r="F238" t="str">
        <f t="shared" si="18"/>
        <v>Affy 1.0 ST</v>
      </c>
      <c r="G238" t="str">
        <f>"MGI:1333813"</f>
        <v>MGI:1333813</v>
      </c>
      <c r="H238" t="str">
        <f>"Mbd2"</f>
        <v>Mbd2</v>
      </c>
      <c r="I238" t="str">
        <f>"methyl-CpG binding domain protein 2"</f>
        <v>methyl-CpG binding domain protein 2</v>
      </c>
      <c r="J238" t="str">
        <f>"protein coding gene"</f>
        <v>protein coding gene</v>
      </c>
    </row>
    <row r="239" spans="1:10">
      <c r="A239">
        <v>10478196</v>
      </c>
      <c r="B239">
        <v>2.4969908570632402</v>
      </c>
      <c r="C239">
        <v>1.2347804472731301</v>
      </c>
      <c r="E239" t="str">
        <f>"10478196"</f>
        <v>10478196</v>
      </c>
      <c r="F239" t="str">
        <f t="shared" si="18"/>
        <v>Affy 1.0 ST</v>
      </c>
      <c r="G239" t="str">
        <f>"MGI:98788"</f>
        <v>MGI:98788</v>
      </c>
      <c r="H239" t="str">
        <f>"Top1"</f>
        <v>Top1</v>
      </c>
      <c r="I239" t="str">
        <f>"topoisomerase (DNA) I"</f>
        <v>topoisomerase (DNA) I</v>
      </c>
      <c r="J239" t="str">
        <f>"protein coding gene"</f>
        <v>protein coding gene</v>
      </c>
    </row>
    <row r="240" spans="1:10">
      <c r="A240">
        <v>10600765</v>
      </c>
      <c r="B240">
        <v>2.4916264834763999</v>
      </c>
      <c r="C240">
        <v>0.29960065867484498</v>
      </c>
      <c r="E240" t="str">
        <f>"10600765"</f>
        <v>10600765</v>
      </c>
      <c r="F240" t="str">
        <f t="shared" si="18"/>
        <v>Affy 1.0 ST</v>
      </c>
      <c r="G240" t="str">
        <f>"MGI:2147987"</f>
        <v>MGI:2147987</v>
      </c>
      <c r="H240" t="str">
        <f>"Pcyt1b"</f>
        <v>Pcyt1b</v>
      </c>
      <c r="I240" t="s">
        <v>47</v>
      </c>
      <c r="J240" t="s">
        <v>71</v>
      </c>
    </row>
    <row r="241" spans="1:10">
      <c r="A241">
        <v>10354085</v>
      </c>
      <c r="B241">
        <v>2.4814329487859799</v>
      </c>
      <c r="C241">
        <v>0.507775384265299</v>
      </c>
      <c r="E241" t="str">
        <f>"10354085"</f>
        <v>10354085</v>
      </c>
      <c r="F241" t="str">
        <f t="shared" si="18"/>
        <v>Affy 1.0 ST</v>
      </c>
      <c r="G241" t="str">
        <f>"MGI:1929074"</f>
        <v>MGI:1929074</v>
      </c>
      <c r="H241" t="str">
        <f>"Rev1"</f>
        <v>Rev1</v>
      </c>
      <c r="I241" t="str">
        <f>"REV1 homolog (S. cerevisiae)"</f>
        <v>REV1 homolog (S. cerevisiae)</v>
      </c>
      <c r="J241" t="str">
        <f>"protein coding gene"</f>
        <v>protein coding gene</v>
      </c>
    </row>
    <row r="242" spans="1:10">
      <c r="A242">
        <v>10375980</v>
      </c>
      <c r="B242">
        <v>2.4751921291063099</v>
      </c>
      <c r="C242">
        <v>0.80024267743737998</v>
      </c>
      <c r="E242" t="str">
        <f>"10375980"</f>
        <v>10375980</v>
      </c>
      <c r="F242" t="str">
        <f t="shared" si="18"/>
        <v>Affy 1.0 ST</v>
      </c>
      <c r="G242" t="str">
        <f>"MGI:2136171"</f>
        <v>MGI:2136171</v>
      </c>
      <c r="H242" t="str">
        <f>"Aff4"</f>
        <v>Aff4</v>
      </c>
      <c r="I242" t="s">
        <v>48</v>
      </c>
      <c r="J242" t="s">
        <v>71</v>
      </c>
    </row>
    <row r="243" spans="1:10">
      <c r="A243">
        <v>10387638</v>
      </c>
      <c r="B243">
        <v>2.4744661843070799</v>
      </c>
      <c r="C243">
        <v>0.16009025985084999</v>
      </c>
      <c r="E243" t="str">
        <f>"10387638"</f>
        <v>10387638</v>
      </c>
      <c r="F243" t="str">
        <f t="shared" si="18"/>
        <v>Affy 1.0 ST</v>
      </c>
      <c r="G243" t="str">
        <f>"MGI:109167"</f>
        <v>MGI:109167</v>
      </c>
      <c r="H243" t="str">
        <f>"Fgf11"</f>
        <v>Fgf11</v>
      </c>
      <c r="I243" t="str">
        <f>"fibroblast growth factor 11"</f>
        <v>fibroblast growth factor 11</v>
      </c>
      <c r="J243" t="str">
        <f>"protein coding gene"</f>
        <v>protein coding gene</v>
      </c>
    </row>
    <row r="244" spans="1:10">
      <c r="A244">
        <v>10535759</v>
      </c>
      <c r="B244">
        <v>2.4713580615138699</v>
      </c>
      <c r="C244">
        <v>0.46539196543614803</v>
      </c>
      <c r="E244" t="str">
        <f>"10535759"</f>
        <v>10535759</v>
      </c>
      <c r="F244" t="str">
        <f t="shared" si="18"/>
        <v>Affy 1.0 ST</v>
      </c>
      <c r="G244" t="str">
        <f>"MGI:2155959"</f>
        <v>MGI:2155959</v>
      </c>
      <c r="H244" t="str">
        <f>"Lnx2"</f>
        <v>Lnx2</v>
      </c>
      <c r="I244" t="str">
        <f>"ligand of numb-protein X 2"</f>
        <v>ligand of numb-protein X 2</v>
      </c>
      <c r="J244" t="str">
        <f>"protein coding gene"</f>
        <v>protein coding gene</v>
      </c>
    </row>
    <row r="245" spans="1:10">
      <c r="A245">
        <v>10465446</v>
      </c>
      <c r="B245">
        <v>2.4708502159808599</v>
      </c>
      <c r="C245">
        <v>1.01053059106305</v>
      </c>
      <c r="E245" t="str">
        <f>"10465446"</f>
        <v>10465446</v>
      </c>
      <c r="F245" t="str">
        <f t="shared" si="18"/>
        <v>Affy 1.0 ST</v>
      </c>
      <c r="G245" t="str">
        <f>"MGI:1925567"</f>
        <v>MGI:1925567</v>
      </c>
      <c r="H245" t="str">
        <f>"Ccdc88b"</f>
        <v>Ccdc88b</v>
      </c>
      <c r="I245" t="str">
        <f>"coiled-coil domain containing 88B"</f>
        <v>coiled-coil domain containing 88B</v>
      </c>
      <c r="J245" t="str">
        <f>"protein coding gene"</f>
        <v>protein coding gene</v>
      </c>
    </row>
    <row r="246" spans="1:10">
      <c r="A246">
        <v>10552276</v>
      </c>
      <c r="B246">
        <v>2.4541755553423799</v>
      </c>
      <c r="C246">
        <v>0.114293596876617</v>
      </c>
      <c r="E246" t="str">
        <f>"10552276"</f>
        <v>10552276</v>
      </c>
      <c r="F246" t="str">
        <f t="shared" si="18"/>
        <v>Affy 1.0 ST</v>
      </c>
      <c r="G246" t="str">
        <f>"MGI:104632"</f>
        <v>MGI:104632</v>
      </c>
      <c r="H246" t="str">
        <f>"Ube2h"</f>
        <v>Ube2h</v>
      </c>
      <c r="I246" t="str">
        <f>"ubiquitin-conjugating enzyme E2H"</f>
        <v>ubiquitin-conjugating enzyme E2H</v>
      </c>
      <c r="J246" t="str">
        <f>"protein coding gene"</f>
        <v>protein coding gene</v>
      </c>
    </row>
    <row r="247" spans="1:10">
      <c r="A247">
        <v>10510422</v>
      </c>
      <c r="B247">
        <v>2.4540251334159402</v>
      </c>
      <c r="C247">
        <v>1.0236391508203</v>
      </c>
      <c r="E247" t="str">
        <f>"10510422"</f>
        <v>10510422</v>
      </c>
      <c r="F247" t="str">
        <f t="shared" si="18"/>
        <v>Affy 1.0 ST</v>
      </c>
      <c r="G247" t="str">
        <f>"MGI:1196251"</f>
        <v>MGI:1196251</v>
      </c>
      <c r="H247" t="str">
        <f>"Casz1"</f>
        <v>Casz1</v>
      </c>
      <c r="I247" t="s">
        <v>49</v>
      </c>
      <c r="J247" t="s">
        <v>71</v>
      </c>
    </row>
    <row r="248" spans="1:10">
      <c r="A248">
        <v>10511042</v>
      </c>
      <c r="B248">
        <v>2.4491631853878499</v>
      </c>
      <c r="C248">
        <v>0.49081711049913301</v>
      </c>
      <c r="E248" t="str">
        <f>"10511042"</f>
        <v>10511042</v>
      </c>
      <c r="F248" t="str">
        <f t="shared" si="18"/>
        <v>Affy 1.0 ST</v>
      </c>
      <c r="G248" t="str">
        <f>"MGI:2686516"</f>
        <v>MGI:2686516</v>
      </c>
      <c r="H248" t="str">
        <f>"C030017K20Rik"</f>
        <v>C030017K20Rik</v>
      </c>
      <c r="I248" t="str">
        <f>"RIKEN cDNA C030017K20 gene"</f>
        <v>RIKEN cDNA C030017K20 gene</v>
      </c>
      <c r="J248" t="str">
        <f t="shared" ref="J248:J253" si="19">"protein coding gene"</f>
        <v>protein coding gene</v>
      </c>
    </row>
    <row r="249" spans="1:10">
      <c r="A249">
        <v>10395252</v>
      </c>
      <c r="B249">
        <v>2.4438301789847299</v>
      </c>
      <c r="C249">
        <v>0.29103312112396701</v>
      </c>
      <c r="E249" t="str">
        <f>"10395252"</f>
        <v>10395252</v>
      </c>
      <c r="F249" t="str">
        <f t="shared" si="18"/>
        <v>Affy 1.0 ST</v>
      </c>
      <c r="G249" t="str">
        <f>"MGI:1919373"</f>
        <v>MGI:1919373</v>
      </c>
      <c r="H249" t="str">
        <f>"2010109K11Rik"</f>
        <v>2010109K11Rik</v>
      </c>
      <c r="I249" t="str">
        <f>"RIKEN cDNA 2010109K11 gene"</f>
        <v>RIKEN cDNA 2010109K11 gene</v>
      </c>
      <c r="J249" t="str">
        <f t="shared" si="19"/>
        <v>protein coding gene</v>
      </c>
    </row>
    <row r="250" spans="1:10">
      <c r="A250">
        <v>10515164</v>
      </c>
      <c r="B250">
        <v>2.44326374315719</v>
      </c>
      <c r="C250">
        <v>0.78331170749739398</v>
      </c>
      <c r="E250" t="str">
        <f>"10515164"</f>
        <v>10515164</v>
      </c>
      <c r="F250" t="str">
        <f t="shared" si="18"/>
        <v>Affy 1.0 ST</v>
      </c>
      <c r="G250" t="str">
        <f>"MGI:1913838"</f>
        <v>MGI:1913838</v>
      </c>
      <c r="H250" t="str">
        <f>"Cmpk1"</f>
        <v>Cmpk1</v>
      </c>
      <c r="I250" t="str">
        <f>"cytidine monophosphate (UMP-CMP) kinase 1"</f>
        <v>cytidine monophosphate (UMP-CMP) kinase 1</v>
      </c>
      <c r="J250" t="str">
        <f t="shared" si="19"/>
        <v>protein coding gene</v>
      </c>
    </row>
    <row r="251" spans="1:10">
      <c r="A251">
        <v>10523905</v>
      </c>
      <c r="B251">
        <v>2.4420584620118402</v>
      </c>
      <c r="C251">
        <v>1.2937579474330401</v>
      </c>
      <c r="E251" t="str">
        <f>"10523905"</f>
        <v>10523905</v>
      </c>
      <c r="F251" t="str">
        <f t="shared" si="18"/>
        <v>Affy 1.0 ST</v>
      </c>
      <c r="G251" t="str">
        <f>"MGI:105050"</f>
        <v>MGI:105050</v>
      </c>
      <c r="H251" t="str">
        <f>"Mtf2"</f>
        <v>Mtf2</v>
      </c>
      <c r="I251" t="str">
        <f>"metal response element binding transcription factor 2"</f>
        <v>metal response element binding transcription factor 2</v>
      </c>
      <c r="J251" t="str">
        <f t="shared" si="19"/>
        <v>protein coding gene</v>
      </c>
    </row>
    <row r="252" spans="1:10">
      <c r="A252">
        <v>10568758</v>
      </c>
      <c r="B252">
        <v>2.4396553033353299</v>
      </c>
      <c r="C252">
        <v>0.60116307370311295</v>
      </c>
      <c r="E252" t="str">
        <f>"10568758"</f>
        <v>10568758</v>
      </c>
      <c r="F252" t="str">
        <f t="shared" si="18"/>
        <v>Affy 1.0 ST</v>
      </c>
      <c r="G252" t="str">
        <f>"MGI:1924502"</f>
        <v>MGI:1924502</v>
      </c>
      <c r="H252" t="str">
        <f>"9430038I01Rik"</f>
        <v>9430038I01Rik</v>
      </c>
      <c r="I252" t="str">
        <f>"RIKEN cDNA 9430038I01 gene"</f>
        <v>RIKEN cDNA 9430038I01 gene</v>
      </c>
      <c r="J252" t="str">
        <f t="shared" si="19"/>
        <v>protein coding gene</v>
      </c>
    </row>
    <row r="253" spans="1:10">
      <c r="A253">
        <v>10482301</v>
      </c>
      <c r="B253">
        <v>2.4371565959620098</v>
      </c>
      <c r="C253">
        <v>0.94699271954931996</v>
      </c>
      <c r="E253" t="str">
        <f>"10482301"</f>
        <v>10482301</v>
      </c>
      <c r="F253" t="str">
        <f t="shared" si="18"/>
        <v>Affy 1.0 ST</v>
      </c>
      <c r="G253" t="str">
        <f>"MGI:2443716"</f>
        <v>MGI:2443716</v>
      </c>
      <c r="H253" t="str">
        <f>"Scai"</f>
        <v>Scai</v>
      </c>
      <c r="I253" t="str">
        <f>"suppressor of cancer cell invasion"</f>
        <v>suppressor of cancer cell invasion</v>
      </c>
      <c r="J253" t="str">
        <f t="shared" si="19"/>
        <v>protein coding gene</v>
      </c>
    </row>
    <row r="254" spans="1:10">
      <c r="A254">
        <v>10455873</v>
      </c>
      <c r="B254">
        <v>2.43411865524034</v>
      </c>
      <c r="C254">
        <v>0.382169193014533</v>
      </c>
      <c r="E254" t="str">
        <f>"10455873"</f>
        <v>10455873</v>
      </c>
      <c r="F254" t="str">
        <f t="shared" si="18"/>
        <v>Affy 1.0 ST</v>
      </c>
      <c r="G254" t="str">
        <f>"MGI:101924"</f>
        <v>MGI:101924</v>
      </c>
      <c r="H254" t="str">
        <f>"Slc12a2"</f>
        <v>Slc12a2</v>
      </c>
      <c r="I254" t="s">
        <v>50</v>
      </c>
      <c r="J254" t="s">
        <v>71</v>
      </c>
    </row>
    <row r="255" spans="1:10">
      <c r="A255">
        <v>10416793</v>
      </c>
      <c r="B255">
        <v>2.42225530740349</v>
      </c>
      <c r="C255">
        <v>0.38171911796677299</v>
      </c>
      <c r="E255" t="str">
        <f>"10416793"</f>
        <v>10416793</v>
      </c>
      <c r="F255" t="str">
        <f t="shared" si="18"/>
        <v>Affy 1.0 ST</v>
      </c>
      <c r="G255" t="str">
        <f>"MGI:1355274"</f>
        <v>MGI:1355274</v>
      </c>
      <c r="H255" t="str">
        <f>"Uchl3"</f>
        <v>Uchl3</v>
      </c>
      <c r="I255" t="str">
        <f>"ubiquitin carboxyl-terminal esterase L3 (ubiquitin thiolesterase)"</f>
        <v>ubiquitin carboxyl-terminal esterase L3 (ubiquitin thiolesterase)</v>
      </c>
      <c r="J255" t="str">
        <f>"protein coding gene"</f>
        <v>protein coding gene</v>
      </c>
    </row>
    <row r="256" spans="1:10">
      <c r="A256">
        <v>10497001</v>
      </c>
      <c r="B256">
        <v>2.4163543051790102</v>
      </c>
      <c r="C256">
        <v>6.8460045824702304E-2</v>
      </c>
      <c r="E256" t="str">
        <f>"10497001"</f>
        <v>10497001</v>
      </c>
      <c r="F256" t="str">
        <f t="shared" si="18"/>
        <v>Affy 1.0 ST</v>
      </c>
      <c r="G256" t="str">
        <f>"MGI:88527"</f>
        <v>MGI:88527</v>
      </c>
      <c r="H256" t="str">
        <f>"Cryz"</f>
        <v>Cryz</v>
      </c>
      <c r="I256" t="s">
        <v>51</v>
      </c>
      <c r="J256" t="s">
        <v>71</v>
      </c>
    </row>
    <row r="257" spans="1:10">
      <c r="A257">
        <v>10599696</v>
      </c>
      <c r="B257">
        <v>2.4152692187456899</v>
      </c>
      <c r="C257">
        <v>0.213054410955519</v>
      </c>
      <c r="E257" t="str">
        <f>"10599696"</f>
        <v>10599696</v>
      </c>
      <c r="F257" t="str">
        <f t="shared" si="18"/>
        <v>Affy 1.0 ST</v>
      </c>
      <c r="G257" t="str">
        <f>"MGI:2442593"</f>
        <v>MGI:2442593</v>
      </c>
      <c r="H257" t="str">
        <f>"Ddx26b"</f>
        <v>Ddx26b</v>
      </c>
      <c r="I257" t="str">
        <f>"DEAD/H (Asp-Glu-Ala-Asp/His) box polypeptide 26B"</f>
        <v>DEAD/H (Asp-Glu-Ala-Asp/His) box polypeptide 26B</v>
      </c>
      <c r="J257" t="str">
        <f>"protein coding gene"</f>
        <v>protein coding gene</v>
      </c>
    </row>
    <row r="258" spans="1:10">
      <c r="A258">
        <v>10418410</v>
      </c>
      <c r="B258">
        <v>2.40492450744369</v>
      </c>
      <c r="C258">
        <v>1.2107146888329701</v>
      </c>
      <c r="E258" t="str">
        <f>"10418410"</f>
        <v>10418410</v>
      </c>
      <c r="F258" t="str">
        <f t="shared" si="18"/>
        <v>Affy 1.0 ST</v>
      </c>
      <c r="G258" t="str">
        <f>"MGI:97598"</f>
        <v>MGI:97598</v>
      </c>
      <c r="H258" t="str">
        <f>"Prkcd"</f>
        <v>Prkcd</v>
      </c>
      <c r="I258" t="s">
        <v>52</v>
      </c>
      <c r="J258" t="s">
        <v>71</v>
      </c>
    </row>
    <row r="259" spans="1:10">
      <c r="A259">
        <v>10359917</v>
      </c>
      <c r="B259">
        <v>2.4042089060554899</v>
      </c>
      <c r="C259">
        <v>0.133767191867119</v>
      </c>
      <c r="E259" t="str">
        <f>"10359917"</f>
        <v>10359917</v>
      </c>
      <c r="F259" t="str">
        <f t="shared" si="18"/>
        <v>Affy 1.0 ST</v>
      </c>
      <c r="G259" t="str">
        <f>"MGI:1330808"</f>
        <v>MGI:1330808</v>
      </c>
      <c r="H259" t="str">
        <f>"Hsd17b7"</f>
        <v>Hsd17b7</v>
      </c>
      <c r="I259" t="str">
        <f>"hydroxysteroid (17-beta) dehydrogenase 7"</f>
        <v>hydroxysteroid (17-beta) dehydrogenase 7</v>
      </c>
      <c r="J259" t="str">
        <f>"protein coding gene"</f>
        <v>protein coding gene</v>
      </c>
    </row>
    <row r="260" spans="1:10">
      <c r="A260">
        <v>10435791</v>
      </c>
      <c r="B260">
        <v>2.3986601388919202</v>
      </c>
      <c r="C260">
        <v>0.41261735518099801</v>
      </c>
      <c r="E260" t="str">
        <f>"10435791"</f>
        <v>10435791</v>
      </c>
      <c r="F260" t="str">
        <f>""</f>
        <v/>
      </c>
      <c r="G260" t="str">
        <f>"No associated gene"</f>
        <v>No associated gene</v>
      </c>
    </row>
    <row r="261" spans="1:10">
      <c r="A261">
        <v>10527963</v>
      </c>
      <c r="B261">
        <v>2.3979082515566099</v>
      </c>
      <c r="C261">
        <v>0.19329443772838001</v>
      </c>
      <c r="E261" t="str">
        <f>"10527963"</f>
        <v>10527963</v>
      </c>
      <c r="F261" t="str">
        <f>""</f>
        <v/>
      </c>
      <c r="G261" t="str">
        <f>"No associated gene"</f>
        <v>No associated gene</v>
      </c>
    </row>
    <row r="262" spans="1:10">
      <c r="A262">
        <v>10399265</v>
      </c>
      <c r="B262">
        <v>2.3942797038828898</v>
      </c>
      <c r="C262">
        <v>0.77529944159754804</v>
      </c>
      <c r="E262" t="str">
        <f>"10399265"</f>
        <v>10399265</v>
      </c>
      <c r="F262" t="str">
        <f t="shared" ref="F262:F271" si="20">"Affy 1.0 ST"</f>
        <v>Affy 1.0 ST</v>
      </c>
      <c r="G262" t="str">
        <f>"MGI:1276523"</f>
        <v>MGI:1276523</v>
      </c>
      <c r="H262" t="str">
        <f>"Ncoa1"</f>
        <v>Ncoa1</v>
      </c>
      <c r="I262" t="str">
        <f>"nuclear receptor coactivator 1"</f>
        <v>nuclear receptor coactivator 1</v>
      </c>
      <c r="J262" t="str">
        <f>"protein coding gene"</f>
        <v>protein coding gene</v>
      </c>
    </row>
    <row r="263" spans="1:10">
      <c r="A263">
        <v>10505747</v>
      </c>
      <c r="B263">
        <v>2.38989878818585</v>
      </c>
      <c r="C263">
        <v>0.76934083755392801</v>
      </c>
      <c r="E263" t="str">
        <f>"10505747"</f>
        <v>10505747</v>
      </c>
      <c r="F263" t="str">
        <f t="shared" si="20"/>
        <v>Affy 1.0 ST</v>
      </c>
      <c r="G263" t="str">
        <f>"MGI:1915691"</f>
        <v>MGI:1915691</v>
      </c>
      <c r="H263" t="str">
        <f>"Rraga"</f>
        <v>Rraga</v>
      </c>
      <c r="I263" t="str">
        <f>"Ras-related GTP binding A"</f>
        <v>Ras-related GTP binding A</v>
      </c>
      <c r="J263" t="str">
        <f>"protein coding gene"</f>
        <v>protein coding gene</v>
      </c>
    </row>
    <row r="264" spans="1:10">
      <c r="A264">
        <v>10396030</v>
      </c>
      <c r="B264">
        <v>2.3850998213158601</v>
      </c>
      <c r="C264">
        <v>1.25413469622884</v>
      </c>
      <c r="E264" t="str">
        <f>"10396030"</f>
        <v>10396030</v>
      </c>
      <c r="F264" t="str">
        <f t="shared" si="20"/>
        <v>Affy 1.0 ST</v>
      </c>
      <c r="G264" t="str">
        <f>"MGI:2442306"</f>
        <v>MGI:2442306</v>
      </c>
      <c r="H264" t="str">
        <f>"Fancm"</f>
        <v>Fancm</v>
      </c>
      <c r="I264" t="s">
        <v>53</v>
      </c>
      <c r="J264" t="s">
        <v>71</v>
      </c>
    </row>
    <row r="265" spans="1:10">
      <c r="A265">
        <v>10589464</v>
      </c>
      <c r="B265">
        <v>2.3831760231239301</v>
      </c>
      <c r="C265">
        <v>0.85117819475328704</v>
      </c>
      <c r="E265" t="str">
        <f>"10589464"</f>
        <v>10589464</v>
      </c>
      <c r="F265" t="str">
        <f t="shared" si="20"/>
        <v>Affy 1.0 ST</v>
      </c>
      <c r="G265" t="str">
        <f>"MGI:3642102"</f>
        <v>MGI:3642102</v>
      </c>
      <c r="H265" t="str">
        <f>"Gm10615"</f>
        <v>Gm10615</v>
      </c>
      <c r="I265" t="str">
        <f>"predicted gene 10615"</f>
        <v>predicted gene 10615</v>
      </c>
      <c r="J265" t="str">
        <f>"protein coding gene"</f>
        <v>protein coding gene</v>
      </c>
    </row>
    <row r="266" spans="1:10">
      <c r="A266">
        <v>10429341</v>
      </c>
      <c r="B266">
        <v>2.3744545358408899</v>
      </c>
      <c r="C266">
        <v>0.93876904850133602</v>
      </c>
      <c r="E266" t="str">
        <f>"10429341"</f>
        <v>10429341</v>
      </c>
      <c r="F266" t="str">
        <f t="shared" si="20"/>
        <v>Affy 1.0 ST</v>
      </c>
      <c r="G266" t="str">
        <f>"MGI:95481"</f>
        <v>MGI:95481</v>
      </c>
      <c r="H266" t="str">
        <f>"Ptk2"</f>
        <v>Ptk2</v>
      </c>
      <c r="I266" t="str">
        <f>"PTK2 protein tyrosine kinase 2"</f>
        <v>PTK2 protein tyrosine kinase 2</v>
      </c>
      <c r="J266" t="str">
        <f>"protein coding gene"</f>
        <v>protein coding gene</v>
      </c>
    </row>
    <row r="267" spans="1:10">
      <c r="A267">
        <v>10595836</v>
      </c>
      <c r="B267">
        <v>2.37040816245973</v>
      </c>
      <c r="C267">
        <v>0.111046366907875</v>
      </c>
      <c r="E267" t="str">
        <f>"10595836"</f>
        <v>10595836</v>
      </c>
      <c r="F267" t="str">
        <f t="shared" si="20"/>
        <v>Affy 1.0 ST</v>
      </c>
      <c r="G267" t="str">
        <f>"MGI:2442867"</f>
        <v>MGI:2442867</v>
      </c>
      <c r="H267" t="str">
        <f>"E030011O05Rik"</f>
        <v>E030011O05Rik</v>
      </c>
      <c r="I267" t="str">
        <f>"RIKEN cDNA E030011O05 gene"</f>
        <v>RIKEN cDNA E030011O05 gene</v>
      </c>
      <c r="J267" t="str">
        <f>"unclassified gene"</f>
        <v>unclassified gene</v>
      </c>
    </row>
    <row r="268" spans="1:10">
      <c r="A268">
        <v>10508115</v>
      </c>
      <c r="B268">
        <v>2.3490735690528299</v>
      </c>
      <c r="C268">
        <v>7.9677988490446605E-2</v>
      </c>
      <c r="E268" t="str">
        <f>"10508115"</f>
        <v>10508115</v>
      </c>
      <c r="F268" t="str">
        <f t="shared" si="20"/>
        <v>Affy 1.0 ST</v>
      </c>
      <c r="G268" t="str">
        <f>"MGI:1921428"</f>
        <v>MGI:1921428</v>
      </c>
      <c r="H268" t="str">
        <f>"Stk40"</f>
        <v>Stk40</v>
      </c>
      <c r="I268" t="str">
        <f>"serine/threonine kinase 40"</f>
        <v>serine/threonine kinase 40</v>
      </c>
      <c r="J268" t="str">
        <f>"protein coding gene"</f>
        <v>protein coding gene</v>
      </c>
    </row>
    <row r="269" spans="1:10">
      <c r="A269">
        <v>10505132</v>
      </c>
      <c r="B269">
        <v>2.3392567028070101</v>
      </c>
      <c r="C269">
        <v>1.31994859972607</v>
      </c>
      <c r="E269" t="str">
        <f>"10505132"</f>
        <v>10505132</v>
      </c>
      <c r="F269" t="str">
        <f t="shared" si="20"/>
        <v>Affy 1.0 ST</v>
      </c>
      <c r="G269" t="str">
        <f>"MGI:1306795"</f>
        <v>MGI:1306795</v>
      </c>
      <c r="H269" t="str">
        <f>"Akap2"</f>
        <v>Akap2</v>
      </c>
      <c r="I269" t="str">
        <f>"A kinase (PRKA) anchor protein 2"</f>
        <v>A kinase (PRKA) anchor protein 2</v>
      </c>
      <c r="J269" t="str">
        <f>"protein coding gene"</f>
        <v>protein coding gene</v>
      </c>
    </row>
    <row r="270" spans="1:10">
      <c r="A270">
        <v>10438572</v>
      </c>
      <c r="B270">
        <v>2.3390905418026602</v>
      </c>
      <c r="C270">
        <v>0.33002312028488601</v>
      </c>
      <c r="E270" t="str">
        <f>"10438572"</f>
        <v>10438572</v>
      </c>
      <c r="F270" t="str">
        <f t="shared" si="20"/>
        <v>Affy 1.0 ST</v>
      </c>
      <c r="G270" t="str">
        <f>"MGI:1919440"</f>
        <v>MGI:1919440</v>
      </c>
      <c r="H270" t="str">
        <f>"2510009E07Rik"</f>
        <v>2510009E07Rik</v>
      </c>
      <c r="I270" t="str">
        <f>"RIKEN cDNA 2510009E07 gene"</f>
        <v>RIKEN cDNA 2510009E07 gene</v>
      </c>
      <c r="J270" t="str">
        <f>"protein coding gene"</f>
        <v>protein coding gene</v>
      </c>
    </row>
    <row r="271" spans="1:10">
      <c r="A271">
        <v>10443527</v>
      </c>
      <c r="B271">
        <v>2.3323899898625999</v>
      </c>
      <c r="C271">
        <v>0.55354755949108303</v>
      </c>
      <c r="E271" t="str">
        <f>"10443527"</f>
        <v>10443527</v>
      </c>
      <c r="F271" t="str">
        <f t="shared" si="20"/>
        <v>Affy 1.0 ST</v>
      </c>
      <c r="G271" t="str">
        <f>"MGI:97584"</f>
        <v>MGI:97584</v>
      </c>
      <c r="H271" t="str">
        <f>"Pim1"</f>
        <v>Pim1</v>
      </c>
      <c r="I271" t="str">
        <f>"proviral integration site 1"</f>
        <v>proviral integration site 1</v>
      </c>
      <c r="J271" t="str">
        <f>"protein coding gene"</f>
        <v>protein coding gene</v>
      </c>
    </row>
    <row r="272" spans="1:10">
      <c r="A272">
        <v>10608661</v>
      </c>
      <c r="B272">
        <v>2.31927517453143</v>
      </c>
      <c r="C272">
        <v>0.26208714864159699</v>
      </c>
      <c r="E272" t="str">
        <f>"10608661"</f>
        <v>10608661</v>
      </c>
      <c r="F272" t="str">
        <f>""</f>
        <v/>
      </c>
      <c r="G272" t="str">
        <f>"No associated gene"</f>
        <v>No associated gene</v>
      </c>
    </row>
    <row r="273" spans="1:10">
      <c r="A273">
        <v>10542993</v>
      </c>
      <c r="B273">
        <v>2.3187274950572099</v>
      </c>
      <c r="C273">
        <v>0.68482126264267396</v>
      </c>
      <c r="E273" t="str">
        <f>"10542993"</f>
        <v>10542993</v>
      </c>
      <c r="F273" t="str">
        <f t="shared" ref="F273:F280" si="21">"Affy 1.0 ST"</f>
        <v>Affy 1.0 ST</v>
      </c>
      <c r="G273" t="str">
        <f>"MGI:106686"</f>
        <v>MGI:106686</v>
      </c>
      <c r="H273" t="str">
        <f>"Pon3"</f>
        <v>Pon3</v>
      </c>
      <c r="I273" t="str">
        <f>"paraoxonase 3"</f>
        <v>paraoxonase 3</v>
      </c>
      <c r="J273" t="str">
        <f>"protein coding gene"</f>
        <v>protein coding gene</v>
      </c>
    </row>
    <row r="274" spans="1:10">
      <c r="A274">
        <v>10447141</v>
      </c>
      <c r="B274">
        <v>2.30709187239641</v>
      </c>
      <c r="C274">
        <v>0.78484749937100096</v>
      </c>
      <c r="E274" t="str">
        <f>"10447141"</f>
        <v>10447141</v>
      </c>
      <c r="F274" t="str">
        <f t="shared" si="21"/>
        <v>Affy 1.0 ST</v>
      </c>
      <c r="G274" t="str">
        <f>"MGI:1926048"</f>
        <v>MGI:1926048</v>
      </c>
      <c r="H274" t="str">
        <f>"Eml4"</f>
        <v>Eml4</v>
      </c>
      <c r="I274" t="str">
        <f>"echinoderm microtubule associated protein like 4"</f>
        <v>echinoderm microtubule associated protein like 4</v>
      </c>
      <c r="J274" t="str">
        <f>"protein coding gene"</f>
        <v>protein coding gene</v>
      </c>
    </row>
    <row r="275" spans="1:10">
      <c r="A275">
        <v>10431410</v>
      </c>
      <c r="B275">
        <v>2.2962310024176702</v>
      </c>
      <c r="C275">
        <v>0.51772118161031699</v>
      </c>
      <c r="E275" t="str">
        <f>"10431410"</f>
        <v>10431410</v>
      </c>
      <c r="F275" t="str">
        <f t="shared" si="21"/>
        <v>Affy 1.0 ST</v>
      </c>
      <c r="G275" t="str">
        <f>"MGI:1338024"</f>
        <v>MGI:1338024</v>
      </c>
      <c r="H275" t="str">
        <f>"Mapk11"</f>
        <v>Mapk11</v>
      </c>
      <c r="I275" t="str">
        <f>"mitogen-activated protein kinase 11"</f>
        <v>mitogen-activated protein kinase 11</v>
      </c>
      <c r="J275" t="str">
        <f>"protein coding gene"</f>
        <v>protein coding gene</v>
      </c>
    </row>
    <row r="276" spans="1:10">
      <c r="A276">
        <v>10389238</v>
      </c>
      <c r="B276">
        <v>2.2938181434104501</v>
      </c>
      <c r="C276">
        <v>0.224773024417177</v>
      </c>
      <c r="E276" t="str">
        <f>"10389238"</f>
        <v>10389238</v>
      </c>
      <c r="F276" t="str">
        <f t="shared" si="21"/>
        <v>Affy 1.0 ST</v>
      </c>
      <c r="G276" t="str">
        <f>"MGI:1927168"</f>
        <v>MGI:1927168</v>
      </c>
      <c r="H276" t="str">
        <f>"Dusp14"</f>
        <v>Dusp14</v>
      </c>
      <c r="I276" t="str">
        <f>"dual specificity phosphatase 14"</f>
        <v>dual specificity phosphatase 14</v>
      </c>
      <c r="J276" t="str">
        <f>"protein coding gene"</f>
        <v>protein coding gene</v>
      </c>
    </row>
    <row r="277" spans="1:10">
      <c r="A277">
        <v>10522301</v>
      </c>
      <c r="B277">
        <v>2.2913363644436799</v>
      </c>
      <c r="C277">
        <v>0.58864623843858299</v>
      </c>
      <c r="E277" t="str">
        <f>"10522301"</f>
        <v>10522301</v>
      </c>
      <c r="F277" t="str">
        <f t="shared" si="21"/>
        <v>Affy 1.0 ST</v>
      </c>
      <c r="G277" t="str">
        <f>"MGI:3577767"</f>
        <v>MGI:3577767</v>
      </c>
      <c r="H277" t="str">
        <f>"Grxcr1"</f>
        <v>Grxcr1</v>
      </c>
      <c r="I277" t="s">
        <v>54</v>
      </c>
      <c r="J277" t="s">
        <v>71</v>
      </c>
    </row>
    <row r="278" spans="1:10">
      <c r="A278">
        <v>10543686</v>
      </c>
      <c r="B278">
        <v>2.2875217925720102</v>
      </c>
      <c r="C278">
        <v>0.169251357364923</v>
      </c>
      <c r="E278" t="str">
        <f>"10543686"</f>
        <v>10543686</v>
      </c>
      <c r="F278" t="str">
        <f t="shared" si="21"/>
        <v>Affy 1.0 ST</v>
      </c>
      <c r="G278" t="str">
        <f>"MGI:104632"</f>
        <v>MGI:104632</v>
      </c>
      <c r="H278" t="str">
        <f>"Ube2h"</f>
        <v>Ube2h</v>
      </c>
      <c r="I278" t="str">
        <f>"ubiquitin-conjugating enzyme E2H"</f>
        <v>ubiquitin-conjugating enzyme E2H</v>
      </c>
      <c r="J278" t="str">
        <f>"protein coding gene"</f>
        <v>protein coding gene</v>
      </c>
    </row>
    <row r="279" spans="1:10">
      <c r="A279">
        <v>10530319</v>
      </c>
      <c r="B279">
        <v>2.2841344752693402</v>
      </c>
      <c r="C279">
        <v>0.92148594480745405</v>
      </c>
      <c r="E279" t="str">
        <f>"10530319"</f>
        <v>10530319</v>
      </c>
      <c r="F279" t="str">
        <f t="shared" si="21"/>
        <v>Affy 1.0 ST</v>
      </c>
      <c r="G279" t="str">
        <f>"MGI:1330848"</f>
        <v>MGI:1330848</v>
      </c>
      <c r="H279" t="str">
        <f>"Atp8a1"</f>
        <v>Atp8a1</v>
      </c>
      <c r="I279" t="s">
        <v>55</v>
      </c>
      <c r="J279" t="s">
        <v>71</v>
      </c>
    </row>
    <row r="280" spans="1:10">
      <c r="A280">
        <v>10528385</v>
      </c>
      <c r="B280">
        <v>2.28383960278267</v>
      </c>
      <c r="C280">
        <v>0.32189460077827597</v>
      </c>
      <c r="E280" t="str">
        <f>"10528385"</f>
        <v>10528385</v>
      </c>
      <c r="F280" t="str">
        <f t="shared" si="21"/>
        <v>Affy 1.0 ST</v>
      </c>
      <c r="G280" t="str">
        <f>"MGI:103022"</f>
        <v>MGI:103022</v>
      </c>
      <c r="H280" t="str">
        <f>"Reln"</f>
        <v>Reln</v>
      </c>
      <c r="I280" t="str">
        <f>"reelin"</f>
        <v>reelin</v>
      </c>
      <c r="J280" t="str">
        <f>"protein coding gene"</f>
        <v>protein coding gene</v>
      </c>
    </row>
    <row r="281" spans="1:10">
      <c r="A281">
        <v>10409202</v>
      </c>
      <c r="B281">
        <v>2.2745790837836002</v>
      </c>
      <c r="C281">
        <v>0.31074222511104699</v>
      </c>
      <c r="E281" t="str">
        <f>"10409202"</f>
        <v>10409202</v>
      </c>
      <c r="F281" t="str">
        <f>""</f>
        <v/>
      </c>
      <c r="G281" t="str">
        <f>"No associated gene"</f>
        <v>No associated gene</v>
      </c>
    </row>
    <row r="282" spans="1:10">
      <c r="A282">
        <v>10382243</v>
      </c>
      <c r="B282">
        <v>2.2693834624381699</v>
      </c>
      <c r="C282">
        <v>0.43744828784617401</v>
      </c>
      <c r="E282" t="str">
        <f>"10382243"</f>
        <v>10382243</v>
      </c>
      <c r="F282" t="str">
        <f>"Affy 1.0 ST"</f>
        <v>Affy 1.0 ST</v>
      </c>
      <c r="G282" t="str">
        <f>"MGI:95768"</f>
        <v>MGI:95768</v>
      </c>
      <c r="H282" t="str">
        <f>"Gna13"</f>
        <v>Gna13</v>
      </c>
      <c r="I282" t="s">
        <v>56</v>
      </c>
      <c r="J282" t="s">
        <v>71</v>
      </c>
    </row>
    <row r="283" spans="1:10">
      <c r="A283">
        <v>10411019</v>
      </c>
      <c r="B283">
        <v>2.2686036291356002</v>
      </c>
      <c r="C283">
        <v>1.02557007360359</v>
      </c>
      <c r="E283" t="str">
        <f>"10411019"</f>
        <v>10411019</v>
      </c>
      <c r="F283" t="str">
        <f>"Affy 1.0 ST"</f>
        <v>Affy 1.0 ST</v>
      </c>
      <c r="G283" t="str">
        <f>"MGI:109519"</f>
        <v>MGI:109519</v>
      </c>
      <c r="H283" t="str">
        <f>"Msh3"</f>
        <v>Msh3</v>
      </c>
      <c r="I283" t="str">
        <f>"mutS homolog 3 (E. coli)"</f>
        <v>mutS homolog 3 (E. coli)</v>
      </c>
      <c r="J283" t="str">
        <f>"protein coding gene"</f>
        <v>protein coding gene</v>
      </c>
    </row>
    <row r="284" spans="1:10">
      <c r="A284">
        <v>10579335</v>
      </c>
      <c r="B284">
        <v>2.2677165168140401</v>
      </c>
      <c r="C284">
        <v>4.1397329609724497E-2</v>
      </c>
      <c r="E284" t="str">
        <f>"10579335"</f>
        <v>10579335</v>
      </c>
      <c r="F284" t="str">
        <f>"Affy 1.0 ST"</f>
        <v>Affy 1.0 ST</v>
      </c>
      <c r="G284" t="str">
        <f>"MGI:1913772"</f>
        <v>MGI:1913772</v>
      </c>
      <c r="H284" t="str">
        <f>"Pgpep1"</f>
        <v>Pgpep1</v>
      </c>
      <c r="I284" t="str">
        <f>"pyroglutamyl-peptidase I"</f>
        <v>pyroglutamyl-peptidase I</v>
      </c>
      <c r="J284" t="str">
        <f>"protein coding gene"</f>
        <v>protein coding gene</v>
      </c>
    </row>
    <row r="285" spans="1:10">
      <c r="A285">
        <v>10367337</v>
      </c>
      <c r="B285">
        <v>2.2670639569539501</v>
      </c>
      <c r="C285">
        <v>0.56978168604272705</v>
      </c>
      <c r="E285" t="str">
        <f>"10367337"</f>
        <v>10367337</v>
      </c>
      <c r="F285" t="str">
        <f>"Affy 1.0 ST"</f>
        <v>Affy 1.0 ST</v>
      </c>
      <c r="G285" t="str">
        <f>"MGI:1914838"</f>
        <v>MGI:1914838</v>
      </c>
      <c r="H285" t="str">
        <f>"Rnf41"</f>
        <v>Rnf41</v>
      </c>
      <c r="I285" t="str">
        <f>"ring finger protein 41"</f>
        <v>ring finger protein 41</v>
      </c>
      <c r="J285" t="str">
        <f>"protein coding gene"</f>
        <v>protein coding gene</v>
      </c>
    </row>
    <row r="286" spans="1:10">
      <c r="A286">
        <v>10364093</v>
      </c>
      <c r="B286">
        <v>2.25914608237811</v>
      </c>
      <c r="C286">
        <v>0.71742819338416597</v>
      </c>
      <c r="E286" t="str">
        <f>"10364093"</f>
        <v>10364093</v>
      </c>
      <c r="F286" t="str">
        <f>"Affy 1.0 ST"</f>
        <v>Affy 1.0 ST</v>
      </c>
      <c r="G286" t="str">
        <f>"MGI:1917627"</f>
        <v>MGI:1917627</v>
      </c>
      <c r="H286" t="str">
        <f>"Derl3"</f>
        <v>Derl3</v>
      </c>
      <c r="I286" t="s">
        <v>57</v>
      </c>
      <c r="J286" t="s">
        <v>71</v>
      </c>
    </row>
    <row r="287" spans="1:10">
      <c r="A287">
        <v>10426301</v>
      </c>
      <c r="B287">
        <v>2.25894994701786</v>
      </c>
      <c r="C287">
        <v>0.44192454605902998</v>
      </c>
      <c r="E287" t="str">
        <f>"10426301"</f>
        <v>10426301</v>
      </c>
      <c r="F287" t="str">
        <f>""</f>
        <v/>
      </c>
      <c r="G287" t="str">
        <f>"No associated gene"</f>
        <v>No associated gene</v>
      </c>
    </row>
    <row r="288" spans="1:10">
      <c r="A288">
        <v>10369086</v>
      </c>
      <c r="B288">
        <v>2.2447033203752</v>
      </c>
      <c r="C288">
        <v>0.81767771813401502</v>
      </c>
      <c r="E288" t="str">
        <f>"10369086"</f>
        <v>10369086</v>
      </c>
      <c r="F288" t="str">
        <f t="shared" ref="F288:F322" si="22">"Affy 1.0 ST"</f>
        <v>Affy 1.0 ST</v>
      </c>
      <c r="G288" t="str">
        <f>"MGI:2149946"</f>
        <v>MGI:2149946</v>
      </c>
      <c r="H288" t="str">
        <f>"Gopc"</f>
        <v>Gopc</v>
      </c>
      <c r="I288" t="str">
        <f>"golgi associated PDZ and coiled-coil motif containing"</f>
        <v>golgi associated PDZ and coiled-coil motif containing</v>
      </c>
      <c r="J288" t="str">
        <f>"protein coding gene"</f>
        <v>protein coding gene</v>
      </c>
    </row>
    <row r="289" spans="1:10">
      <c r="A289">
        <v>10595059</v>
      </c>
      <c r="B289">
        <v>2.24397822511781</v>
      </c>
      <c r="C289">
        <v>0.152751447287817</v>
      </c>
      <c r="E289" t="str">
        <f>"10595059"</f>
        <v>10595059</v>
      </c>
      <c r="F289" t="str">
        <f t="shared" si="22"/>
        <v>Affy 1.0 ST</v>
      </c>
      <c r="G289" t="str">
        <f>"MGI:2680765"</f>
        <v>MGI:2680765</v>
      </c>
      <c r="H289" t="str">
        <f>"Hcrtr2"</f>
        <v>Hcrtr2</v>
      </c>
      <c r="I289" t="str">
        <f>"hypocretin (orexin) receptor 2"</f>
        <v>hypocretin (orexin) receptor 2</v>
      </c>
      <c r="J289" t="str">
        <f>"protein coding gene"</f>
        <v>protein coding gene</v>
      </c>
    </row>
    <row r="290" spans="1:10">
      <c r="A290">
        <v>10386743</v>
      </c>
      <c r="B290">
        <v>2.2359139331768501</v>
      </c>
      <c r="C290">
        <v>0.50446921112172505</v>
      </c>
      <c r="E290" t="str">
        <f>"10386743"</f>
        <v>10386743</v>
      </c>
      <c r="F290" t="str">
        <f t="shared" si="22"/>
        <v>Affy 1.0 ST</v>
      </c>
      <c r="G290" t="str">
        <f>"MGI:1333766"</f>
        <v>MGI:1333766</v>
      </c>
      <c r="H290" t="str">
        <f>"Epn2"</f>
        <v>Epn2</v>
      </c>
      <c r="I290" t="str">
        <f>"epsin 2"</f>
        <v>epsin 2</v>
      </c>
      <c r="J290" t="str">
        <f>"protein coding gene"</f>
        <v>protein coding gene</v>
      </c>
    </row>
    <row r="291" spans="1:10">
      <c r="A291">
        <v>10490894</v>
      </c>
      <c r="B291">
        <v>2.2322801943844599</v>
      </c>
      <c r="C291">
        <v>0.55221571649597501</v>
      </c>
      <c r="E291" t="str">
        <f>"10490894"</f>
        <v>10490894</v>
      </c>
      <c r="F291" t="str">
        <f t="shared" si="22"/>
        <v>Affy 1.0 ST</v>
      </c>
      <c r="G291" t="str">
        <f>"MGI:105091"</f>
        <v>MGI:105091</v>
      </c>
      <c r="H291" t="str">
        <f>"E2f5"</f>
        <v>E2f5</v>
      </c>
      <c r="I291" t="str">
        <f>"E2F transcription factor 5"</f>
        <v>E2F transcription factor 5</v>
      </c>
      <c r="J291" t="str">
        <f>"protein coding gene"</f>
        <v>protein coding gene</v>
      </c>
    </row>
    <row r="292" spans="1:10">
      <c r="A292">
        <v>10409278</v>
      </c>
      <c r="B292">
        <v>2.23048927009321</v>
      </c>
      <c r="C292">
        <v>0.31179654009672703</v>
      </c>
      <c r="E292" t="str">
        <f>"10409278"</f>
        <v>10409278</v>
      </c>
      <c r="F292" t="str">
        <f t="shared" si="22"/>
        <v>Affy 1.0 ST</v>
      </c>
      <c r="G292" t="str">
        <f>"MGI:109495"</f>
        <v>MGI:109495</v>
      </c>
      <c r="H292" t="str">
        <f>"Nfil3"</f>
        <v>Nfil3</v>
      </c>
      <c r="I292" t="s">
        <v>58</v>
      </c>
      <c r="J292" t="s">
        <v>71</v>
      </c>
    </row>
    <row r="293" spans="1:10">
      <c r="A293">
        <v>10549200</v>
      </c>
      <c r="B293">
        <v>2.21942267174152</v>
      </c>
      <c r="C293">
        <v>0.13755619443633699</v>
      </c>
      <c r="E293" t="str">
        <f>"10549200"</f>
        <v>10549200</v>
      </c>
      <c r="F293" t="str">
        <f t="shared" si="22"/>
        <v>Affy 1.0 ST</v>
      </c>
      <c r="G293" t="str">
        <f>"MGI:98367"</f>
        <v>MGI:98367</v>
      </c>
      <c r="H293" t="str">
        <f>"Sox5"</f>
        <v>Sox5</v>
      </c>
      <c r="I293" t="str">
        <f>"SRY-box containing gene 5"</f>
        <v>SRY-box containing gene 5</v>
      </c>
      <c r="J293" t="str">
        <f>"protein coding gene"</f>
        <v>protein coding gene</v>
      </c>
    </row>
    <row r="294" spans="1:10">
      <c r="A294">
        <v>10385719</v>
      </c>
      <c r="B294">
        <v>2.2140761586926598</v>
      </c>
      <c r="C294">
        <v>0.32612341946061102</v>
      </c>
      <c r="E294" t="str">
        <f>"10385719"</f>
        <v>10385719</v>
      </c>
      <c r="F294" t="str">
        <f t="shared" si="22"/>
        <v>Affy 1.0 ST</v>
      </c>
      <c r="G294" t="str">
        <f>"MGI:1924621"</f>
        <v>MGI:1924621</v>
      </c>
      <c r="H294" t="str">
        <f>"Sec24a"</f>
        <v>Sec24a</v>
      </c>
      <c r="I294" t="s">
        <v>59</v>
      </c>
      <c r="J294" t="s">
        <v>71</v>
      </c>
    </row>
    <row r="295" spans="1:10">
      <c r="A295">
        <v>10458816</v>
      </c>
      <c r="B295">
        <v>2.2125296452191101</v>
      </c>
      <c r="C295">
        <v>0.58510655816259804</v>
      </c>
      <c r="E295" t="str">
        <f>"10458816"</f>
        <v>10458816</v>
      </c>
      <c r="F295" t="str">
        <f t="shared" si="22"/>
        <v>Affy 1.0 ST</v>
      </c>
      <c r="G295" t="str">
        <f>"MGI:3040056"</f>
        <v>MGI:3040056</v>
      </c>
      <c r="H295" t="str">
        <f>"Ticam2"</f>
        <v>Ticam2</v>
      </c>
      <c r="I295" t="str">
        <f>"toll-like receptor adaptor molecule 2"</f>
        <v>toll-like receptor adaptor molecule 2</v>
      </c>
      <c r="J295" t="str">
        <f>"protein coding gene"</f>
        <v>protein coding gene</v>
      </c>
    </row>
    <row r="296" spans="1:10">
      <c r="A296">
        <v>10407481</v>
      </c>
      <c r="B296">
        <v>2.2120289068914598</v>
      </c>
      <c r="C296">
        <v>0.28917108981320899</v>
      </c>
      <c r="E296" t="str">
        <f>"10407481"</f>
        <v>10407481</v>
      </c>
      <c r="F296" t="str">
        <f t="shared" si="22"/>
        <v>Affy 1.0 ST</v>
      </c>
      <c r="G296" t="str">
        <f>"MGI:1891833"</f>
        <v>MGI:1891833</v>
      </c>
      <c r="H296" t="str">
        <f>"Pfkp"</f>
        <v>Pfkp</v>
      </c>
      <c r="I296" t="s">
        <v>60</v>
      </c>
      <c r="J296" t="s">
        <v>71</v>
      </c>
    </row>
    <row r="297" spans="1:10">
      <c r="A297">
        <v>10483698</v>
      </c>
      <c r="B297">
        <v>2.2032830230422999</v>
      </c>
      <c r="C297">
        <v>0.59928650335944</v>
      </c>
      <c r="E297" t="str">
        <f>"10483698"</f>
        <v>10483698</v>
      </c>
      <c r="F297" t="str">
        <f t="shared" si="22"/>
        <v>Affy 1.0 ST</v>
      </c>
      <c r="G297" t="str">
        <f>"MGI:2178801"</f>
        <v>MGI:2178801</v>
      </c>
      <c r="H297" t="str">
        <f>"Wipf1"</f>
        <v>Wipf1</v>
      </c>
      <c r="I297" t="s">
        <v>61</v>
      </c>
      <c r="J297" t="s">
        <v>71</v>
      </c>
    </row>
    <row r="298" spans="1:10">
      <c r="A298">
        <v>10428998</v>
      </c>
      <c r="B298">
        <v>2.1979408389815198</v>
      </c>
      <c r="C298">
        <v>0.24182430217729201</v>
      </c>
      <c r="E298" t="str">
        <f>"10428998"</f>
        <v>10428998</v>
      </c>
      <c r="F298" t="str">
        <f t="shared" si="22"/>
        <v>Affy 1.0 ST</v>
      </c>
      <c r="G298" t="str">
        <f>"MGI:1342335"</f>
        <v>MGI:1342335</v>
      </c>
      <c r="H298" t="str">
        <f>"Asap1"</f>
        <v>Asap1</v>
      </c>
      <c r="I298" t="s">
        <v>62</v>
      </c>
      <c r="J298" t="s">
        <v>71</v>
      </c>
    </row>
    <row r="299" spans="1:10">
      <c r="A299">
        <v>10450926</v>
      </c>
      <c r="B299">
        <v>2.1942223602601998</v>
      </c>
      <c r="C299">
        <v>0.16387702160784401</v>
      </c>
      <c r="E299" t="str">
        <f>"10450926"</f>
        <v>10450926</v>
      </c>
      <c r="F299" t="str">
        <f t="shared" si="22"/>
        <v>Affy 1.0 ST</v>
      </c>
      <c r="G299" t="str">
        <f>"MGI:102552"</f>
        <v>MGI:102552</v>
      </c>
      <c r="H299" t="str">
        <f>"Crisp3"</f>
        <v>Crisp3</v>
      </c>
      <c r="I299" t="str">
        <f>"cysteine-rich secretory protein 3"</f>
        <v>cysteine-rich secretory protein 3</v>
      </c>
      <c r="J299" t="str">
        <f>"protein coding gene"</f>
        <v>protein coding gene</v>
      </c>
    </row>
    <row r="300" spans="1:10">
      <c r="A300">
        <v>10359375</v>
      </c>
      <c r="B300">
        <v>2.1931016288700298</v>
      </c>
      <c r="C300">
        <v>0.35734752443825102</v>
      </c>
      <c r="E300" t="str">
        <f>"10359375"</f>
        <v>10359375</v>
      </c>
      <c r="F300" t="str">
        <f t="shared" si="22"/>
        <v>Affy 1.0 ST</v>
      </c>
      <c r="G300" t="str">
        <f>"MGI:3643278"</f>
        <v>MGI:3643278</v>
      </c>
      <c r="H300" t="str">
        <f>"Gpr52"</f>
        <v>Gpr52</v>
      </c>
      <c r="I300" t="str">
        <f>"G protein-coupled receptor 52"</f>
        <v>G protein-coupled receptor 52</v>
      </c>
      <c r="J300" t="str">
        <f>"protein coding gene"</f>
        <v>protein coding gene</v>
      </c>
    </row>
    <row r="301" spans="1:10">
      <c r="A301">
        <v>10366266</v>
      </c>
      <c r="B301">
        <v>2.1908719676610899</v>
      </c>
      <c r="C301">
        <v>0.21163297016895499</v>
      </c>
      <c r="E301" t="str">
        <f>"10366266"</f>
        <v>10366266</v>
      </c>
      <c r="F301" t="str">
        <f t="shared" si="22"/>
        <v>Affy 1.0 ST</v>
      </c>
      <c r="G301" t="str">
        <f>"MGI:2149961"</f>
        <v>MGI:2149961</v>
      </c>
      <c r="H301" t="str">
        <f>"Pawr"</f>
        <v>Pawr</v>
      </c>
      <c r="I301" t="s">
        <v>63</v>
      </c>
      <c r="J301" t="s">
        <v>71</v>
      </c>
    </row>
    <row r="302" spans="1:10">
      <c r="A302">
        <v>10345554</v>
      </c>
      <c r="B302">
        <v>2.1903046043068</v>
      </c>
      <c r="C302">
        <v>6.3060739108059594E-2</v>
      </c>
      <c r="E302" t="str">
        <f>"10345554"</f>
        <v>10345554</v>
      </c>
      <c r="F302" t="str">
        <f t="shared" si="22"/>
        <v>Affy 1.0 ST</v>
      </c>
      <c r="G302" t="str">
        <f>"MGI:1918103"</f>
        <v>MGI:1918103</v>
      </c>
      <c r="H302" t="str">
        <f>"Vwa3b"</f>
        <v>Vwa3b</v>
      </c>
      <c r="I302" t="str">
        <f>"von Willebrand factor A domain containing 3B"</f>
        <v>von Willebrand factor A domain containing 3B</v>
      </c>
      <c r="J302" t="str">
        <f>"protein coding gene"</f>
        <v>protein coding gene</v>
      </c>
    </row>
    <row r="303" spans="1:10">
      <c r="A303">
        <v>10352166</v>
      </c>
      <c r="B303">
        <v>2.1845222812956702</v>
      </c>
      <c r="C303">
        <v>0.80748609401934901</v>
      </c>
      <c r="E303" t="str">
        <f>"10352166"</f>
        <v>10352166</v>
      </c>
      <c r="F303" t="str">
        <f t="shared" si="22"/>
        <v>Affy 1.0 ST</v>
      </c>
      <c r="G303" t="str">
        <f>"MGI:2445141"</f>
        <v>MGI:2445141</v>
      </c>
      <c r="H303" t="str">
        <f>"Cnst"</f>
        <v>Cnst</v>
      </c>
      <c r="I303" t="s">
        <v>64</v>
      </c>
      <c r="J303" t="s">
        <v>71</v>
      </c>
    </row>
    <row r="304" spans="1:10">
      <c r="A304">
        <v>10392437</v>
      </c>
      <c r="B304">
        <v>2.1678375090672302</v>
      </c>
      <c r="C304">
        <v>0.109042800017475</v>
      </c>
      <c r="E304" t="str">
        <f>"10392437"</f>
        <v>10392437</v>
      </c>
      <c r="F304" t="str">
        <f t="shared" si="22"/>
        <v>Affy 1.0 ST</v>
      </c>
      <c r="G304" t="str">
        <f>"MGI:3701776"</f>
        <v>MGI:3701776</v>
      </c>
      <c r="H304" t="str">
        <f>"Gm11696"</f>
        <v>Gm11696</v>
      </c>
      <c r="I304" t="str">
        <f>"predicted gene 11696"</f>
        <v>predicted gene 11696</v>
      </c>
      <c r="J304" t="str">
        <f>"protein coding gene"</f>
        <v>protein coding gene</v>
      </c>
    </row>
    <row r="305" spans="1:10">
      <c r="A305">
        <v>10354521</v>
      </c>
      <c r="B305">
        <v>2.1661564890135798</v>
      </c>
      <c r="C305">
        <v>0.206700139322266</v>
      </c>
      <c r="E305" t="str">
        <f>"10354521"</f>
        <v>10354521</v>
      </c>
      <c r="F305" t="str">
        <f t="shared" si="22"/>
        <v>Affy 1.0 ST</v>
      </c>
      <c r="G305" t="str">
        <f>"MGI:104848"</f>
        <v>MGI:104848</v>
      </c>
      <c r="H305" t="str">
        <f>"Inpp1"</f>
        <v>Inpp1</v>
      </c>
      <c r="I305" t="str">
        <f>"inositol polyphosphate-1-phosphatase"</f>
        <v>inositol polyphosphate-1-phosphatase</v>
      </c>
      <c r="J305" t="str">
        <f>"protein coding gene"</f>
        <v>protein coding gene</v>
      </c>
    </row>
    <row r="306" spans="1:10">
      <c r="A306">
        <v>10469110</v>
      </c>
      <c r="B306">
        <v>2.1591972061951599</v>
      </c>
      <c r="C306">
        <v>0.50377884646669402</v>
      </c>
      <c r="E306" t="str">
        <f>"10469110"</f>
        <v>10469110</v>
      </c>
      <c r="F306" t="str">
        <f t="shared" si="22"/>
        <v>Affy 1.0 ST</v>
      </c>
      <c r="G306" t="str">
        <f>"MGI:2138893"</f>
        <v>MGI:2138893</v>
      </c>
      <c r="H306" t="str">
        <f>"Usp6nl"</f>
        <v>Usp6nl</v>
      </c>
      <c r="I306" t="str">
        <f>"USP6 N-terminal like"</f>
        <v>USP6 N-terminal like</v>
      </c>
      <c r="J306" t="str">
        <f>"protein coding gene"</f>
        <v>protein coding gene</v>
      </c>
    </row>
    <row r="307" spans="1:10">
      <c r="A307">
        <v>10522976</v>
      </c>
      <c r="B307">
        <v>2.1562209732426698</v>
      </c>
      <c r="C307">
        <v>0.51554918210544998</v>
      </c>
      <c r="E307" t="str">
        <f>"10522976"</f>
        <v>10522976</v>
      </c>
      <c r="F307" t="str">
        <f t="shared" si="22"/>
        <v>Affy 1.0 ST</v>
      </c>
      <c r="G307" t="str">
        <f>"MGI:106484"</f>
        <v>MGI:106484</v>
      </c>
      <c r="H307" t="str">
        <f>"Rufy3"</f>
        <v>Rufy3</v>
      </c>
      <c r="I307" t="str">
        <f>"RUN and FYVE domain containing 3"</f>
        <v>RUN and FYVE domain containing 3</v>
      </c>
      <c r="J307" t="str">
        <f>"protein coding gene"</f>
        <v>protein coding gene</v>
      </c>
    </row>
    <row r="308" spans="1:10">
      <c r="A308">
        <v>10491182</v>
      </c>
      <c r="B308">
        <v>2.1503070499230201</v>
      </c>
      <c r="C308">
        <v>0.488148912148192</v>
      </c>
      <c r="E308" t="str">
        <f>"10491182"</f>
        <v>10491182</v>
      </c>
      <c r="F308" t="str">
        <f t="shared" si="22"/>
        <v>Affy 1.0 ST</v>
      </c>
      <c r="G308" t="str">
        <f>"MGI:1933735"</f>
        <v>MGI:1933735</v>
      </c>
      <c r="H308" t="str">
        <f>"Eif5a2"</f>
        <v>Eif5a2</v>
      </c>
      <c r="I308" t="str">
        <f>"eukaryotic translation initiation factor 5A2"</f>
        <v>eukaryotic translation initiation factor 5A2</v>
      </c>
      <c r="J308" t="str">
        <f>"protein coding gene"</f>
        <v>protein coding gene</v>
      </c>
    </row>
    <row r="309" spans="1:10">
      <c r="A309">
        <v>10592585</v>
      </c>
      <c r="B309">
        <v>2.1450980215065298</v>
      </c>
      <c r="C309">
        <v>9.9408985352873597E-2</v>
      </c>
      <c r="E309" t="str">
        <f>"10592585"</f>
        <v>10592585</v>
      </c>
      <c r="F309" t="str">
        <f t="shared" si="22"/>
        <v>Affy 1.0 ST</v>
      </c>
      <c r="G309" t="str">
        <f>"MGI:1353611"</f>
        <v>MGI:1353611</v>
      </c>
      <c r="H309" t="str">
        <f>"Sc5d"</f>
        <v>Sc5d</v>
      </c>
      <c r="I309" t="s">
        <v>65</v>
      </c>
      <c r="J309" t="s">
        <v>71</v>
      </c>
    </row>
    <row r="310" spans="1:10">
      <c r="A310">
        <v>10597714</v>
      </c>
      <c r="B310">
        <v>2.1444165255358199</v>
      </c>
      <c r="C310">
        <v>0.12602451059226499</v>
      </c>
      <c r="E310" t="str">
        <f>"10597714"</f>
        <v>10597714</v>
      </c>
      <c r="F310" t="str">
        <f t="shared" si="22"/>
        <v>Affy 1.0 ST</v>
      </c>
      <c r="G310" t="str">
        <f>"MGI:1345149"</f>
        <v>MGI:1345149</v>
      </c>
      <c r="H310" t="str">
        <f>"Scn11a"</f>
        <v>Scn11a</v>
      </c>
      <c r="I310" t="s">
        <v>66</v>
      </c>
      <c r="J310" t="s">
        <v>71</v>
      </c>
    </row>
    <row r="311" spans="1:10">
      <c r="A311">
        <v>10351465</v>
      </c>
      <c r="B311">
        <v>2.1433865639990701</v>
      </c>
      <c r="C311">
        <v>4.8708849656215698E-2</v>
      </c>
      <c r="E311" t="str">
        <f>"10351465"</f>
        <v>10351465</v>
      </c>
      <c r="F311" t="str">
        <f t="shared" si="22"/>
        <v>Affy 1.0 ST</v>
      </c>
      <c r="G311" t="str">
        <f>"MGI:1925715"</f>
        <v>MGI:1925715</v>
      </c>
      <c r="H311" t="str">
        <f>"1700084C01Rik"</f>
        <v>1700084C01Rik</v>
      </c>
      <c r="I311" t="str">
        <f>"RIKEN cDNA 1700084C01 gene"</f>
        <v>RIKEN cDNA 1700084C01 gene</v>
      </c>
      <c r="J311" t="str">
        <f>"protein coding gene"</f>
        <v>protein coding gene</v>
      </c>
    </row>
    <row r="312" spans="1:10">
      <c r="A312">
        <v>10406519</v>
      </c>
      <c r="B312">
        <v>2.1412048722065</v>
      </c>
      <c r="C312">
        <v>0.120323247876122</v>
      </c>
      <c r="E312" t="str">
        <f>"10406519"</f>
        <v>10406519</v>
      </c>
      <c r="F312" t="str">
        <f t="shared" si="22"/>
        <v>Affy 1.0 ST</v>
      </c>
      <c r="G312" t="str">
        <f>"MGI:1337006"</f>
        <v>MGI:1337006</v>
      </c>
      <c r="H312" t="str">
        <f>"Hapln1"</f>
        <v>Hapln1</v>
      </c>
      <c r="I312" t="str">
        <f>"hyaluronan and proteoglycan link protein 1"</f>
        <v>hyaluronan and proteoglycan link protein 1</v>
      </c>
      <c r="J312" t="str">
        <f>"protein coding gene"</f>
        <v>protein coding gene</v>
      </c>
    </row>
    <row r="313" spans="1:10">
      <c r="A313">
        <v>10454782</v>
      </c>
      <c r="B313">
        <v>2.1407431484850501</v>
      </c>
      <c r="C313">
        <v>0.40609477998395799</v>
      </c>
      <c r="E313" t="str">
        <f>"10454782"</f>
        <v>10454782</v>
      </c>
      <c r="F313" t="str">
        <f t="shared" si="22"/>
        <v>Affy 1.0 ST</v>
      </c>
      <c r="G313" t="str">
        <f>"MGI:95295"</f>
        <v>MGI:95295</v>
      </c>
      <c r="H313" t="str">
        <f>"Egr1"</f>
        <v>Egr1</v>
      </c>
      <c r="I313" t="str">
        <f>"early growth response 1"</f>
        <v>early growth response 1</v>
      </c>
      <c r="J313" t="str">
        <f>"protein coding gene"</f>
        <v>protein coding gene</v>
      </c>
    </row>
    <row r="314" spans="1:10">
      <c r="A314">
        <v>10428857</v>
      </c>
      <c r="B314">
        <v>2.1343228393196898</v>
      </c>
      <c r="C314">
        <v>0.26408123854045901</v>
      </c>
      <c r="E314" t="str">
        <f>"10428857"</f>
        <v>10428857</v>
      </c>
      <c r="F314" t="str">
        <f t="shared" si="22"/>
        <v>Affy 1.0 ST</v>
      </c>
      <c r="G314" t="str">
        <f>"MGI:2384818"</f>
        <v>MGI:2384818</v>
      </c>
      <c r="H314" t="str">
        <f>"Mtss1"</f>
        <v>Mtss1</v>
      </c>
      <c r="I314" t="str">
        <f>"metastasis suppressor 1"</f>
        <v>metastasis suppressor 1</v>
      </c>
      <c r="J314" t="str">
        <f>"protein coding gene"</f>
        <v>protein coding gene</v>
      </c>
    </row>
    <row r="315" spans="1:10">
      <c r="A315">
        <v>10605711</v>
      </c>
      <c r="B315">
        <v>2.1274909219833802</v>
      </c>
      <c r="C315">
        <v>0.87516250687323405</v>
      </c>
      <c r="E315" t="str">
        <f>"10605711"</f>
        <v>10605711</v>
      </c>
      <c r="F315" t="str">
        <f t="shared" si="22"/>
        <v>Affy 1.0 ST</v>
      </c>
      <c r="G315" t="str">
        <f>"MGI:2384308"</f>
        <v>MGI:2384308</v>
      </c>
      <c r="H315" t="str">
        <f>"Pdk3"</f>
        <v>Pdk3</v>
      </c>
      <c r="I315" t="s">
        <v>67</v>
      </c>
      <c r="J315" t="s">
        <v>71</v>
      </c>
    </row>
    <row r="316" spans="1:10">
      <c r="A316">
        <v>10505643</v>
      </c>
      <c r="B316">
        <v>2.1256918837277201</v>
      </c>
      <c r="C316">
        <v>0.262124264605955</v>
      </c>
      <c r="E316" t="str">
        <f>"10505643"</f>
        <v>10505643</v>
      </c>
      <c r="F316" t="str">
        <f t="shared" si="22"/>
        <v>Affy 1.0 ST</v>
      </c>
      <c r="G316" t="str">
        <f>"MGI:1922152"</f>
        <v>MGI:1922152</v>
      </c>
      <c r="H316" t="str">
        <f>"4930473A06Rik"</f>
        <v>4930473A06Rik</v>
      </c>
      <c r="I316" t="str">
        <f>"RIKEN cDNA 4930473A06 gene"</f>
        <v>RIKEN cDNA 4930473A06 gene</v>
      </c>
      <c r="J316" t="str">
        <f>"protein coding gene"</f>
        <v>protein coding gene</v>
      </c>
    </row>
    <row r="317" spans="1:10">
      <c r="A317">
        <v>10526120</v>
      </c>
      <c r="B317">
        <v>2.1255977257879701</v>
      </c>
      <c r="C317">
        <v>0.61333292866454603</v>
      </c>
      <c r="E317" t="str">
        <f>"10526120"</f>
        <v>10526120</v>
      </c>
      <c r="F317" t="str">
        <f t="shared" si="22"/>
        <v>Affy 1.0 ST</v>
      </c>
      <c r="G317" t="str">
        <f>"MGI:1298231"</f>
        <v>MGI:1298231</v>
      </c>
      <c r="H317" t="str">
        <f>"Tpst1"</f>
        <v>Tpst1</v>
      </c>
      <c r="I317" t="str">
        <f>"protein-tyrosine sulfotransferase 1"</f>
        <v>protein-tyrosine sulfotransferase 1</v>
      </c>
      <c r="J317" t="str">
        <f>"protein coding gene"</f>
        <v>protein coding gene</v>
      </c>
    </row>
    <row r="318" spans="1:10">
      <c r="A318">
        <v>10415875</v>
      </c>
      <c r="B318">
        <v>2.1246822830083798</v>
      </c>
      <c r="C318">
        <v>0.61611362606012698</v>
      </c>
      <c r="E318" t="str">
        <f>"10415875"</f>
        <v>10415875</v>
      </c>
      <c r="F318" t="str">
        <f t="shared" si="22"/>
        <v>Affy 1.0 ST</v>
      </c>
      <c r="G318" t="str">
        <f>"MGI:1919650"</f>
        <v>MGI:1919650</v>
      </c>
      <c r="H318" t="str">
        <f>"Pinx1"</f>
        <v>Pinx1</v>
      </c>
      <c r="I318" t="s">
        <v>0</v>
      </c>
      <c r="J318" t="s">
        <v>71</v>
      </c>
    </row>
    <row r="319" spans="1:10">
      <c r="A319">
        <v>10369989</v>
      </c>
      <c r="B319">
        <v>2.1220886433912698</v>
      </c>
      <c r="C319">
        <v>0.38772779719933897</v>
      </c>
      <c r="E319" t="str">
        <f>"10369989"</f>
        <v>10369989</v>
      </c>
      <c r="F319" t="str">
        <f t="shared" si="22"/>
        <v>Affy 1.0 ST</v>
      </c>
      <c r="G319" t="str">
        <f>"MGI:1298381"</f>
        <v>MGI:1298381</v>
      </c>
      <c r="H319" t="str">
        <f>"Ddt"</f>
        <v>Ddt</v>
      </c>
      <c r="I319" t="str">
        <f>"D-dopachrome tautomerase"</f>
        <v>D-dopachrome tautomerase</v>
      </c>
      <c r="J319" t="str">
        <f>"protein coding gene"</f>
        <v>protein coding gene</v>
      </c>
    </row>
    <row r="320" spans="1:10">
      <c r="A320">
        <v>10550935</v>
      </c>
      <c r="B320">
        <v>2.1201049793127398</v>
      </c>
      <c r="C320">
        <v>0.55218936728516199</v>
      </c>
      <c r="E320" t="str">
        <f>"10550935"</f>
        <v>10550935</v>
      </c>
      <c r="F320" t="str">
        <f t="shared" si="22"/>
        <v>Affy 1.0 ST</v>
      </c>
      <c r="G320" t="str">
        <f>"MGI:99137"</f>
        <v>MGI:99137</v>
      </c>
      <c r="H320" t="str">
        <f>"Xrcc1"</f>
        <v>Xrcc1</v>
      </c>
      <c r="I320" t="str">
        <f>"X-ray repair complementing defective repair in Chinese hamster cells 1"</f>
        <v>X-ray repair complementing defective repair in Chinese hamster cells 1</v>
      </c>
      <c r="J320" t="str">
        <f>"protein coding gene"</f>
        <v>protein coding gene</v>
      </c>
    </row>
    <row r="321" spans="1:10">
      <c r="A321">
        <v>10485466</v>
      </c>
      <c r="B321">
        <v>2.1167942510763398</v>
      </c>
      <c r="C321">
        <v>0.149151996776967</v>
      </c>
      <c r="E321" t="str">
        <f>"10485466"</f>
        <v>10485466</v>
      </c>
      <c r="F321" t="str">
        <f t="shared" si="22"/>
        <v>Affy 1.0 ST</v>
      </c>
      <c r="G321" t="str">
        <f>"MGI:88271"</f>
        <v>MGI:88271</v>
      </c>
      <c r="H321" t="str">
        <f>"Cat"</f>
        <v>Cat</v>
      </c>
      <c r="I321" t="str">
        <f>"catalase"</f>
        <v>catalase</v>
      </c>
      <c r="J321" t="str">
        <f>"protein coding gene"</f>
        <v>protein coding gene</v>
      </c>
    </row>
    <row r="322" spans="1:10">
      <c r="A322">
        <v>10474223</v>
      </c>
      <c r="B322">
        <v>2.1155218507375002</v>
      </c>
      <c r="C322">
        <v>0.44407004937915201</v>
      </c>
      <c r="E322" t="str">
        <f>"10474223"</f>
        <v>10474223</v>
      </c>
      <c r="F322" t="str">
        <f t="shared" si="22"/>
        <v>Affy 1.0 ST</v>
      </c>
      <c r="G322" t="str">
        <f>"MGI:1888996"</f>
        <v>MGI:1888996</v>
      </c>
      <c r="H322" t="str">
        <f>"Cd59b"</f>
        <v>Cd59b</v>
      </c>
      <c r="I322" t="str">
        <f>"CD59b antigen"</f>
        <v>CD59b antigen</v>
      </c>
      <c r="J322" t="str">
        <f>"protein coding gene"</f>
        <v>protein coding gene</v>
      </c>
    </row>
    <row r="323" spans="1:10">
      <c r="A323">
        <v>10538873</v>
      </c>
      <c r="B323">
        <v>2.1150422489385199</v>
      </c>
      <c r="C323">
        <v>0.51418325498237305</v>
      </c>
      <c r="E323" t="str">
        <f>"10538873"</f>
        <v>10538873</v>
      </c>
      <c r="F323" t="str">
        <f>""</f>
        <v/>
      </c>
      <c r="G323" t="str">
        <f>"No associated gene"</f>
        <v>No associated gene</v>
      </c>
    </row>
    <row r="324" spans="1:10">
      <c r="A324">
        <v>10571815</v>
      </c>
      <c r="B324">
        <v>2.1140440191598402</v>
      </c>
      <c r="C324">
        <v>0.16746067594559999</v>
      </c>
      <c r="E324" t="str">
        <f>"10571815"</f>
        <v>10571815</v>
      </c>
      <c r="F324" t="str">
        <f t="shared" ref="F324:F359" si="23">"Affy 1.0 ST"</f>
        <v>Affy 1.0 ST</v>
      </c>
      <c r="G324" t="str">
        <f>"MGI:107671"</f>
        <v>MGI:107671</v>
      </c>
      <c r="H324" t="str">
        <f>"Gpm6a"</f>
        <v>Gpm6a</v>
      </c>
      <c r="I324" t="str">
        <f>"glycoprotein m6a"</f>
        <v>glycoprotein m6a</v>
      </c>
      <c r="J324" t="str">
        <f>"protein coding gene"</f>
        <v>protein coding gene</v>
      </c>
    </row>
    <row r="325" spans="1:10">
      <c r="A325">
        <v>10399024</v>
      </c>
      <c r="B325">
        <v>2.1135866780396002</v>
      </c>
      <c r="C325">
        <v>0.396765791088179</v>
      </c>
      <c r="E325" t="str">
        <f>"10399024"</f>
        <v>10399024</v>
      </c>
      <c r="F325" t="str">
        <f t="shared" si="23"/>
        <v>Affy 1.0 ST</v>
      </c>
      <c r="G325" t="str">
        <f>"MGI:2444636"</f>
        <v>MGI:2444636</v>
      </c>
      <c r="H325" t="str">
        <f>"Adam6b"</f>
        <v>Adam6b</v>
      </c>
      <c r="I325" t="str">
        <f>"a disintegrin and metallopeptidase domain 6B"</f>
        <v>a disintegrin and metallopeptidase domain 6B</v>
      </c>
      <c r="J325" t="str">
        <f>"protein coding gene"</f>
        <v>protein coding gene</v>
      </c>
    </row>
    <row r="326" spans="1:10">
      <c r="A326">
        <v>10593060</v>
      </c>
      <c r="B326">
        <v>2.1085625428443202</v>
      </c>
      <c r="C326">
        <v>0.36510657011661701</v>
      </c>
      <c r="E326" t="str">
        <f>"10593060"</f>
        <v>10593060</v>
      </c>
      <c r="F326" t="str">
        <f t="shared" si="23"/>
        <v>Affy 1.0 ST</v>
      </c>
      <c r="G326" t="str">
        <f>"MGI:2384878"</f>
        <v>MGI:2384878</v>
      </c>
      <c r="H326" t="str">
        <f>"Cep164"</f>
        <v>Cep164</v>
      </c>
      <c r="I326" t="str">
        <f>"centrosomal protein 164"</f>
        <v>centrosomal protein 164</v>
      </c>
      <c r="J326" t="str">
        <f>"protein coding gene"</f>
        <v>protein coding gene</v>
      </c>
    </row>
    <row r="327" spans="1:10">
      <c r="A327">
        <v>10379795</v>
      </c>
      <c r="B327">
        <v>2.1064486191707799</v>
      </c>
      <c r="C327">
        <v>0.46293284662748002</v>
      </c>
      <c r="E327" t="str">
        <f>"10379795"</f>
        <v>10379795</v>
      </c>
      <c r="F327" t="str">
        <f t="shared" si="23"/>
        <v>Affy 1.0 ST</v>
      </c>
      <c r="G327" t="str">
        <f>"MGI:1354742"</f>
        <v>MGI:1354742</v>
      </c>
      <c r="H327" t="str">
        <f>"Synrg"</f>
        <v>Synrg</v>
      </c>
      <c r="I327" t="s">
        <v>1</v>
      </c>
      <c r="J327" t="s">
        <v>71</v>
      </c>
    </row>
    <row r="328" spans="1:10">
      <c r="A328">
        <v>10602865</v>
      </c>
      <c r="B328">
        <v>2.1006906750779502</v>
      </c>
      <c r="C328">
        <v>0.23864733315720599</v>
      </c>
      <c r="E328" t="str">
        <f>"10602865"</f>
        <v>10602865</v>
      </c>
      <c r="F328" t="str">
        <f t="shared" si="23"/>
        <v>Affy 1.0 ST</v>
      </c>
      <c r="G328" t="str">
        <f>"MGI:2448588"</f>
        <v>MGI:2448588</v>
      </c>
      <c r="H328" t="str">
        <f>"Map3k15"</f>
        <v>Map3k15</v>
      </c>
      <c r="I328" t="str">
        <f>"mitogen-activated protein kinase kinase kinase 15"</f>
        <v>mitogen-activated protein kinase kinase kinase 15</v>
      </c>
      <c r="J328" t="str">
        <f>"protein coding gene"</f>
        <v>protein coding gene</v>
      </c>
    </row>
    <row r="329" spans="1:10">
      <c r="A329">
        <v>10410877</v>
      </c>
      <c r="B329">
        <v>2.09411646490409</v>
      </c>
      <c r="C329">
        <v>0.50307874220806503</v>
      </c>
      <c r="E329" t="str">
        <f>"10410877"</f>
        <v>10410877</v>
      </c>
      <c r="F329" t="str">
        <f t="shared" si="23"/>
        <v>Affy 1.0 ST</v>
      </c>
      <c r="G329" t="str">
        <f>"MGI:1914736"</f>
        <v>MGI:1914736</v>
      </c>
      <c r="H329" t="str">
        <f>"Polr3g"</f>
        <v>Polr3g</v>
      </c>
      <c r="I329" t="str">
        <f>"polymerase (RNA) III (DNA directed) polypeptide G"</f>
        <v>polymerase (RNA) III (DNA directed) polypeptide G</v>
      </c>
      <c r="J329" t="str">
        <f>"protein coding gene"</f>
        <v>protein coding gene</v>
      </c>
    </row>
    <row r="330" spans="1:10">
      <c r="A330">
        <v>10390328</v>
      </c>
      <c r="B330">
        <v>2.0888433678752198</v>
      </c>
      <c r="C330">
        <v>0.22597768639420801</v>
      </c>
      <c r="E330" t="str">
        <f>"10390328"</f>
        <v>10390328</v>
      </c>
      <c r="F330" t="str">
        <f t="shared" si="23"/>
        <v>Affy 1.0 ST</v>
      </c>
      <c r="G330" t="str">
        <f>"MGI:1888984"</f>
        <v>MGI:1888984</v>
      </c>
      <c r="H330" t="str">
        <f>"Tbx21"</f>
        <v>Tbx21</v>
      </c>
      <c r="I330" t="str">
        <f>"T-box 21"</f>
        <v>T-box 21</v>
      </c>
      <c r="J330" t="str">
        <f>"protein coding gene"</f>
        <v>protein coding gene</v>
      </c>
    </row>
    <row r="331" spans="1:10">
      <c r="A331">
        <v>10518726</v>
      </c>
      <c r="B331">
        <v>2.0722223453522202</v>
      </c>
      <c r="C331">
        <v>0.41160179257338902</v>
      </c>
      <c r="E331" t="str">
        <f>"10518726"</f>
        <v>10518726</v>
      </c>
      <c r="F331" t="str">
        <f t="shared" si="23"/>
        <v>Affy 1.0 ST</v>
      </c>
      <c r="G331" t="str">
        <f>"MGI:1917806"</f>
        <v>MGI:1917806</v>
      </c>
      <c r="H331" t="str">
        <f>"Slc25a33"</f>
        <v>Slc25a33</v>
      </c>
      <c r="I331" t="s">
        <v>2</v>
      </c>
      <c r="J331" t="s">
        <v>71</v>
      </c>
    </row>
    <row r="332" spans="1:10">
      <c r="A332">
        <v>10564938</v>
      </c>
      <c r="B332">
        <v>2.0573165854128401</v>
      </c>
      <c r="C332">
        <v>0.57762299976725495</v>
      </c>
      <c r="E332" t="str">
        <f>"10564938"</f>
        <v>10564938</v>
      </c>
      <c r="F332" t="str">
        <f t="shared" si="23"/>
        <v>Affy 1.0 ST</v>
      </c>
      <c r="G332" t="str">
        <f>"MGI:95514"</f>
        <v>MGI:95514</v>
      </c>
      <c r="H332" t="str">
        <f>"Fes"</f>
        <v>Fes</v>
      </c>
      <c r="I332" t="str">
        <f>"feline sarcoma oncogene"</f>
        <v>feline sarcoma oncogene</v>
      </c>
      <c r="J332" t="str">
        <f>"protein coding gene"</f>
        <v>protein coding gene</v>
      </c>
    </row>
    <row r="333" spans="1:10">
      <c r="A333">
        <v>10525397</v>
      </c>
      <c r="B333">
        <v>2.0558044790359098</v>
      </c>
      <c r="C333">
        <v>0.36727293078235201</v>
      </c>
      <c r="E333" t="str">
        <f>"10525397"</f>
        <v>10525397</v>
      </c>
      <c r="F333" t="str">
        <f t="shared" si="23"/>
        <v>Affy 1.0 ST</v>
      </c>
      <c r="G333" t="str">
        <f>"MGI:1928375"</f>
        <v>MGI:1928375</v>
      </c>
      <c r="H333" t="str">
        <f>"Arpc3"</f>
        <v>Arpc3</v>
      </c>
      <c r="I333" t="s">
        <v>3</v>
      </c>
      <c r="J333" t="s">
        <v>71</v>
      </c>
    </row>
    <row r="334" spans="1:10">
      <c r="A334">
        <v>10464409</v>
      </c>
      <c r="B334">
        <v>2.0511551376491699</v>
      </c>
      <c r="C334">
        <v>0.40130605815072901</v>
      </c>
      <c r="E334" t="str">
        <f>"10464409"</f>
        <v>10464409</v>
      </c>
      <c r="F334" t="str">
        <f t="shared" si="23"/>
        <v>Affy 1.0 ST</v>
      </c>
      <c r="G334" t="str">
        <f>"MGI:2669254"</f>
        <v>MGI:2669254</v>
      </c>
      <c r="H334" t="str">
        <f>"Nanos1"</f>
        <v>Nanos1</v>
      </c>
      <c r="I334" t="str">
        <f>"nanos homolog 1 (Drosophila)"</f>
        <v>nanos homolog 1 (Drosophila)</v>
      </c>
      <c r="J334" t="str">
        <f>"protein coding gene"</f>
        <v>protein coding gene</v>
      </c>
    </row>
    <row r="335" spans="1:10">
      <c r="A335">
        <v>10495685</v>
      </c>
      <c r="B335">
        <v>2.0338370624374602</v>
      </c>
      <c r="C335">
        <v>0.14384782036743499</v>
      </c>
      <c r="E335" t="str">
        <f>"10495685"</f>
        <v>10495685</v>
      </c>
      <c r="F335" t="str">
        <f t="shared" si="23"/>
        <v>Affy 1.0 ST</v>
      </c>
      <c r="G335" t="str">
        <f>"MGI:2443818"</f>
        <v>MGI:2443818</v>
      </c>
      <c r="H335" t="str">
        <f>"Arhgap29"</f>
        <v>Arhgap29</v>
      </c>
      <c r="I335" t="str">
        <f>"Rho GTPase activating protein 29"</f>
        <v>Rho GTPase activating protein 29</v>
      </c>
      <c r="J335" t="str">
        <f>"protein coding gene"</f>
        <v>protein coding gene</v>
      </c>
    </row>
    <row r="336" spans="1:10">
      <c r="A336">
        <v>10346747</v>
      </c>
      <c r="B336">
        <v>2.0331990962236701</v>
      </c>
      <c r="C336">
        <v>0.74119132670673904</v>
      </c>
      <c r="E336" t="str">
        <f>"10346747"</f>
        <v>10346747</v>
      </c>
      <c r="F336" t="str">
        <f t="shared" si="23"/>
        <v>Affy 1.0 ST</v>
      </c>
      <c r="G336" t="str">
        <f>"MGI:1925201"</f>
        <v>MGI:1925201</v>
      </c>
      <c r="H336" t="str">
        <f>"Cyp20a1"</f>
        <v>Cyp20a1</v>
      </c>
      <c r="I336" t="s">
        <v>4</v>
      </c>
      <c r="J336" t="s">
        <v>71</v>
      </c>
    </row>
    <row r="337" spans="1:10">
      <c r="A337">
        <v>10481349</v>
      </c>
      <c r="B337">
        <v>2.03046583976829</v>
      </c>
      <c r="C337">
        <v>0.51803466401362397</v>
      </c>
      <c r="E337" t="str">
        <f>"10481349"</f>
        <v>10481349</v>
      </c>
      <c r="F337" t="str">
        <f t="shared" si="23"/>
        <v>Affy 1.0 ST</v>
      </c>
      <c r="G337" t="str">
        <f>"MGI:2159341"</f>
        <v>MGI:2159341</v>
      </c>
      <c r="H337" t="str">
        <f>"Ntng2"</f>
        <v>Ntng2</v>
      </c>
      <c r="I337" t="str">
        <f>"netrin G2"</f>
        <v>netrin G2</v>
      </c>
      <c r="J337" t="str">
        <f>"protein coding gene"</f>
        <v>protein coding gene</v>
      </c>
    </row>
    <row r="338" spans="1:10">
      <c r="A338">
        <v>10344633</v>
      </c>
      <c r="B338">
        <v>2.0299026631264301</v>
      </c>
      <c r="C338">
        <v>0.23943543671797499</v>
      </c>
      <c r="E338" t="str">
        <f>"10344633"</f>
        <v>10344633</v>
      </c>
      <c r="F338" t="str">
        <f t="shared" si="23"/>
        <v>Affy 1.0 ST</v>
      </c>
      <c r="G338" t="str">
        <f>"MGI:1196624"</f>
        <v>MGI:1196624</v>
      </c>
      <c r="H338" t="str">
        <f>"Tcea1"</f>
        <v>Tcea1</v>
      </c>
      <c r="I338" t="str">
        <f>"transcription elongation factor A (SII) 1"</f>
        <v>transcription elongation factor A (SII) 1</v>
      </c>
      <c r="J338" t="str">
        <f>"protein coding gene"</f>
        <v>protein coding gene</v>
      </c>
    </row>
    <row r="339" spans="1:10">
      <c r="A339">
        <v>10400030</v>
      </c>
      <c r="B339">
        <v>2.0269001245793099</v>
      </c>
      <c r="C339">
        <v>0.36488750109517398</v>
      </c>
      <c r="E339" t="str">
        <f>"10400030"</f>
        <v>10400030</v>
      </c>
      <c r="F339" t="str">
        <f t="shared" si="23"/>
        <v>Affy 1.0 ST</v>
      </c>
      <c r="G339" t="str">
        <f>"MGI:1914162"</f>
        <v>MGI:1914162</v>
      </c>
      <c r="H339" t="str">
        <f>"Bzw2"</f>
        <v>Bzw2</v>
      </c>
      <c r="I339" t="str">
        <f>"basic leucine zipper and W2 domains 2"</f>
        <v>basic leucine zipper and W2 domains 2</v>
      </c>
      <c r="J339" t="str">
        <f>"protein coding gene"</f>
        <v>protein coding gene</v>
      </c>
    </row>
    <row r="340" spans="1:10">
      <c r="A340">
        <v>10375975</v>
      </c>
      <c r="B340">
        <v>2.02497571811378</v>
      </c>
      <c r="C340">
        <v>0.34302027213665498</v>
      </c>
      <c r="E340" t="str">
        <f>"10375975"</f>
        <v>10375975</v>
      </c>
      <c r="F340" t="str">
        <f t="shared" si="23"/>
        <v>Affy 1.0 ST</v>
      </c>
      <c r="G340" t="str">
        <f>"MGI:1196228"</f>
        <v>MGI:1196228</v>
      </c>
      <c r="H340" t="str">
        <f>"Zcchc10"</f>
        <v>Zcchc10</v>
      </c>
      <c r="I340" t="s">
        <v>5</v>
      </c>
      <c r="J340" t="s">
        <v>71</v>
      </c>
    </row>
    <row r="341" spans="1:10">
      <c r="A341">
        <v>10508663</v>
      </c>
      <c r="B341">
        <v>2.0222166677617799</v>
      </c>
      <c r="C341">
        <v>0.19973531920332699</v>
      </c>
      <c r="E341" t="str">
        <f>"10508663"</f>
        <v>10508663</v>
      </c>
      <c r="F341" t="str">
        <f t="shared" si="23"/>
        <v>Affy 1.0 ST</v>
      </c>
      <c r="G341" t="str">
        <f>"MGI:108046"</f>
        <v>MGI:108046</v>
      </c>
      <c r="H341" t="str">
        <f>"Laptm5"</f>
        <v>Laptm5</v>
      </c>
      <c r="I341" t="str">
        <f>"lysosomal-associated protein transmembrane 5"</f>
        <v>lysosomal-associated protein transmembrane 5</v>
      </c>
      <c r="J341" t="str">
        <f>"protein coding gene"</f>
        <v>protein coding gene</v>
      </c>
    </row>
    <row r="342" spans="1:10">
      <c r="A342">
        <v>10503023</v>
      </c>
      <c r="B342">
        <v>2.0218531078346502</v>
      </c>
      <c r="C342">
        <v>0.29027725160745899</v>
      </c>
      <c r="E342" t="str">
        <f>"10503023"</f>
        <v>10503023</v>
      </c>
      <c r="F342" t="str">
        <f t="shared" si="23"/>
        <v>Affy 1.0 ST</v>
      </c>
      <c r="G342" t="str">
        <f>"MGI:1339968"</f>
        <v>MGI:1339968</v>
      </c>
      <c r="H342" t="str">
        <f>"Cth"</f>
        <v>Cth</v>
      </c>
      <c r="I342" t="str">
        <f>"cystathionase (cystathionine gamma-lyase)"</f>
        <v>cystathionase (cystathionine gamma-lyase)</v>
      </c>
      <c r="J342" t="str">
        <f>"protein coding gene"</f>
        <v>protein coding gene</v>
      </c>
    </row>
    <row r="343" spans="1:10">
      <c r="A343">
        <v>10592790</v>
      </c>
      <c r="B343">
        <v>2.0210079970738</v>
      </c>
      <c r="C343">
        <v>0.45803390363296598</v>
      </c>
      <c r="E343" t="str">
        <f>"10592790"</f>
        <v>10592790</v>
      </c>
      <c r="F343" t="str">
        <f t="shared" si="23"/>
        <v>Affy 1.0 ST</v>
      </c>
      <c r="G343" t="str">
        <f>"MGI:2429620"</f>
        <v>MGI:2429620</v>
      </c>
      <c r="H343" t="str">
        <f>"Hinfp"</f>
        <v>Hinfp</v>
      </c>
      <c r="I343" t="str">
        <f>"histone H4 transcription factor"</f>
        <v>histone H4 transcription factor</v>
      </c>
      <c r="J343" t="str">
        <f>"protein coding gene"</f>
        <v>protein coding gene</v>
      </c>
    </row>
    <row r="344" spans="1:10">
      <c r="A344">
        <v>10358259</v>
      </c>
      <c r="B344">
        <v>2.0203984949186302</v>
      </c>
      <c r="C344">
        <v>0.353807742717276</v>
      </c>
      <c r="E344" t="str">
        <f>"10358259"</f>
        <v>10358259</v>
      </c>
      <c r="F344" t="str">
        <f t="shared" si="23"/>
        <v>Affy 1.0 ST</v>
      </c>
      <c r="G344" t="str">
        <f>"MGI:1890645"</f>
        <v>MGI:1890645</v>
      </c>
      <c r="H344" t="str">
        <f>"Nek7"</f>
        <v>Nek7</v>
      </c>
      <c r="I344" t="str">
        <f>"NIMA (never in mitosis gene a)-related expressed kinase 7"</f>
        <v>NIMA (never in mitosis gene a)-related expressed kinase 7</v>
      </c>
      <c r="J344" t="str">
        <f>"protein coding gene"</f>
        <v>protein coding gene</v>
      </c>
    </row>
    <row r="345" spans="1:10">
      <c r="A345">
        <v>10364194</v>
      </c>
      <c r="B345">
        <v>2.0167043817252299</v>
      </c>
      <c r="C345">
        <v>0.42470598382462699</v>
      </c>
      <c r="E345" t="str">
        <f>"10364194"</f>
        <v>10364194</v>
      </c>
      <c r="F345" t="str">
        <f t="shared" si="23"/>
        <v>Affy 1.0 ST</v>
      </c>
      <c r="G345" t="str">
        <f>"MGI:1336155"</f>
        <v>MGI:1336155</v>
      </c>
      <c r="H345" t="str">
        <f>"Lss"</f>
        <v>Lss</v>
      </c>
      <c r="I345" t="str">
        <f>"lanosterol synthase"</f>
        <v>lanosterol synthase</v>
      </c>
      <c r="J345" t="str">
        <f>"protein coding gene"</f>
        <v>protein coding gene</v>
      </c>
    </row>
    <row r="346" spans="1:10">
      <c r="A346">
        <v>10535273</v>
      </c>
      <c r="B346">
        <v>2.0143300469345</v>
      </c>
      <c r="C346">
        <v>5.9897975144072801E-2</v>
      </c>
      <c r="E346" t="str">
        <f>"10535273"</f>
        <v>10535273</v>
      </c>
      <c r="F346" t="str">
        <f t="shared" si="23"/>
        <v>Affy 1.0 ST</v>
      </c>
      <c r="G346" t="str">
        <f>"MGI:95767"</f>
        <v>MGI:95767</v>
      </c>
      <c r="H346" t="str">
        <f>"Gna12"</f>
        <v>Gna12</v>
      </c>
      <c r="I346" t="s">
        <v>6</v>
      </c>
      <c r="J346" t="s">
        <v>71</v>
      </c>
    </row>
    <row r="347" spans="1:10">
      <c r="A347">
        <v>10438575</v>
      </c>
      <c r="B347">
        <v>2.0113733948614501</v>
      </c>
      <c r="C347">
        <v>0.37789122110083501</v>
      </c>
      <c r="E347" t="str">
        <f>"10438575"</f>
        <v>10438575</v>
      </c>
      <c r="F347" t="str">
        <f t="shared" si="23"/>
        <v>Affy 1.0 ST</v>
      </c>
      <c r="G347" t="str">
        <f>"MGI:1277964"</f>
        <v>MGI:1277964</v>
      </c>
      <c r="H347" t="str">
        <f>"Ehhadh"</f>
        <v>Ehhadh</v>
      </c>
      <c r="I347" t="s">
        <v>7</v>
      </c>
      <c r="J347" t="s">
        <v>71</v>
      </c>
    </row>
    <row r="348" spans="1:10">
      <c r="A348">
        <v>10425923</v>
      </c>
      <c r="B348">
        <v>2.0099651088227901</v>
      </c>
      <c r="C348">
        <v>0.20368148809318401</v>
      </c>
      <c r="E348" t="str">
        <f>"10425923"</f>
        <v>10425923</v>
      </c>
      <c r="F348" t="str">
        <f t="shared" si="23"/>
        <v>Affy 1.0 ST</v>
      </c>
      <c r="G348" t="str">
        <f>"MGI:1920475"</f>
        <v>MGI:1920475</v>
      </c>
      <c r="H348" t="str">
        <f>"Fam118a"</f>
        <v>Fam118a</v>
      </c>
      <c r="I348" t="s">
        <v>8</v>
      </c>
      <c r="J348" t="s">
        <v>71</v>
      </c>
    </row>
    <row r="349" spans="1:10">
      <c r="A349">
        <v>10595382</v>
      </c>
      <c r="B349">
        <v>2.0080770182486001</v>
      </c>
      <c r="C349">
        <v>0.59479956678264101</v>
      </c>
      <c r="E349" t="str">
        <f>"10595382"</f>
        <v>10595382</v>
      </c>
      <c r="F349" t="str">
        <f t="shared" si="23"/>
        <v>Affy 1.0 ST</v>
      </c>
      <c r="G349" t="str">
        <f>"MGI:1923032"</f>
        <v>MGI:1923032</v>
      </c>
      <c r="H349" t="str">
        <f>"Lca5"</f>
        <v>Lca5</v>
      </c>
      <c r="I349" t="str">
        <f>"Leber congenital amaurosis 5 (human)"</f>
        <v>Leber congenital amaurosis 5 (human)</v>
      </c>
      <c r="J349" t="str">
        <f>"protein coding gene"</f>
        <v>protein coding gene</v>
      </c>
    </row>
    <row r="350" spans="1:10">
      <c r="A350">
        <v>10585680</v>
      </c>
      <c r="B350">
        <v>2.0066844535413302</v>
      </c>
      <c r="C350">
        <v>0.171326502682286</v>
      </c>
      <c r="E350" t="str">
        <f>"10585680"</f>
        <v>10585680</v>
      </c>
      <c r="F350" t="str">
        <f t="shared" si="23"/>
        <v>Affy 1.0 ST</v>
      </c>
      <c r="G350" t="str">
        <f>"MGI:3642697"</f>
        <v>MGI:3642697</v>
      </c>
      <c r="H350" t="str">
        <f>"Gm16493"</f>
        <v>Gm16493</v>
      </c>
      <c r="I350" t="str">
        <f>"predicted gene 16493"</f>
        <v>predicted gene 16493</v>
      </c>
      <c r="J350" t="str">
        <f>"protein coding gene"</f>
        <v>protein coding gene</v>
      </c>
    </row>
    <row r="351" spans="1:10">
      <c r="A351">
        <v>10531560</v>
      </c>
      <c r="B351">
        <v>1.9977609247327399</v>
      </c>
      <c r="C351">
        <v>0.109926409270016</v>
      </c>
      <c r="E351" t="str">
        <f>"10531560"</f>
        <v>10531560</v>
      </c>
      <c r="F351" t="str">
        <f t="shared" si="23"/>
        <v>Affy 1.0 ST</v>
      </c>
      <c r="G351" t="str">
        <f>"MGI:1919164"</f>
        <v>MGI:1919164</v>
      </c>
      <c r="H351" t="str">
        <f>"Antxr2"</f>
        <v>Antxr2</v>
      </c>
      <c r="I351" t="str">
        <f>"anthrax toxin receptor 2"</f>
        <v>anthrax toxin receptor 2</v>
      </c>
      <c r="J351" t="str">
        <f>"protein coding gene"</f>
        <v>protein coding gene</v>
      </c>
    </row>
    <row r="352" spans="1:10">
      <c r="A352">
        <v>10450496</v>
      </c>
      <c r="B352">
        <v>1.9929332970007101</v>
      </c>
      <c r="C352">
        <v>0.30087902990363802</v>
      </c>
      <c r="E352" t="str">
        <f>"10450496"</f>
        <v>10450496</v>
      </c>
      <c r="F352" t="str">
        <f t="shared" si="23"/>
        <v>Affy 1.0 ST</v>
      </c>
      <c r="G352" t="str">
        <f>"MGI:1096324"</f>
        <v>MGI:1096324</v>
      </c>
      <c r="H352" t="str">
        <f>"Lst1"</f>
        <v>Lst1</v>
      </c>
      <c r="I352" t="str">
        <f>"leukocyte specific transcript 1"</f>
        <v>leukocyte specific transcript 1</v>
      </c>
      <c r="J352" t="str">
        <f>"protein coding gene"</f>
        <v>protein coding gene</v>
      </c>
    </row>
    <row r="353" spans="1:10">
      <c r="A353">
        <v>10607497</v>
      </c>
      <c r="B353">
        <v>1.98799563900298</v>
      </c>
      <c r="C353">
        <v>0.55004289975713305</v>
      </c>
      <c r="E353" t="str">
        <f>"10607497"</f>
        <v>10607497</v>
      </c>
      <c r="F353" t="str">
        <f t="shared" si="23"/>
        <v>Affy 1.0 ST</v>
      </c>
      <c r="G353" t="str">
        <f>"MGI:1306824"</f>
        <v>MGI:1306824</v>
      </c>
      <c r="H353" t="str">
        <f>"Suclg2"</f>
        <v>Suclg2</v>
      </c>
      <c r="I353" t="s">
        <v>9</v>
      </c>
      <c r="J353" t="s">
        <v>71</v>
      </c>
    </row>
    <row r="354" spans="1:10">
      <c r="A354">
        <v>10418355</v>
      </c>
      <c r="B354">
        <v>1.98265884706742</v>
      </c>
      <c r="C354">
        <v>0.20868662277289299</v>
      </c>
      <c r="E354" t="str">
        <f>"10418355"</f>
        <v>10418355</v>
      </c>
      <c r="F354" t="str">
        <f t="shared" si="23"/>
        <v>Affy 1.0 ST</v>
      </c>
      <c r="G354" t="str">
        <f>"MGI:88293"</f>
        <v>MGI:88293</v>
      </c>
      <c r="H354" t="str">
        <f>"Cacna1d"</f>
        <v>Cacna1d</v>
      </c>
      <c r="I354" t="s">
        <v>10</v>
      </c>
      <c r="J354" t="s">
        <v>71</v>
      </c>
    </row>
    <row r="355" spans="1:10">
      <c r="A355">
        <v>10474064</v>
      </c>
      <c r="B355">
        <v>1.9798019705273999</v>
      </c>
      <c r="C355">
        <v>0.321696445630346</v>
      </c>
      <c r="E355" t="str">
        <f>"10474064"</f>
        <v>10474064</v>
      </c>
      <c r="F355" t="str">
        <f t="shared" si="23"/>
        <v>Affy 1.0 ST</v>
      </c>
      <c r="G355" t="str">
        <f>"MGI:2670995"</f>
        <v>MGI:2670995</v>
      </c>
      <c r="H355" t="str">
        <f>"Trp53i11"</f>
        <v>Trp53i11</v>
      </c>
      <c r="I355" t="str">
        <f>"transformation related protein 53 inducible protein 11"</f>
        <v>transformation related protein 53 inducible protein 11</v>
      </c>
      <c r="J355" t="str">
        <f>"protein coding gene"</f>
        <v>protein coding gene</v>
      </c>
    </row>
    <row r="356" spans="1:10">
      <c r="A356">
        <v>10535559</v>
      </c>
      <c r="B356">
        <v>1.9783138494491499</v>
      </c>
      <c r="C356">
        <v>0.10367266121885101</v>
      </c>
      <c r="E356" t="str">
        <f>"10535559"</f>
        <v>10535559</v>
      </c>
      <c r="F356" t="str">
        <f t="shared" si="23"/>
        <v>Affy 1.0 ST</v>
      </c>
      <c r="G356" t="str">
        <f>"MGI:1914148"</f>
        <v>MGI:1914148</v>
      </c>
      <c r="H356" t="str">
        <f>"Baiap2l1"</f>
        <v>Baiap2l1</v>
      </c>
      <c r="I356" t="str">
        <f>"BAI1-associated protein 2-like 1"</f>
        <v>BAI1-associated protein 2-like 1</v>
      </c>
      <c r="J356" t="str">
        <f>"protein coding gene"</f>
        <v>protein coding gene</v>
      </c>
    </row>
    <row r="357" spans="1:10">
      <c r="A357">
        <v>10508454</v>
      </c>
      <c r="B357">
        <v>1.97616998474532</v>
      </c>
      <c r="C357">
        <v>0.41238662705781498</v>
      </c>
      <c r="E357" t="str">
        <f>"10508454"</f>
        <v>10508454</v>
      </c>
      <c r="F357" t="str">
        <f t="shared" si="23"/>
        <v>Affy 1.0 ST</v>
      </c>
      <c r="G357" t="str">
        <f>"MGI:1913466"</f>
        <v>MGI:1913466</v>
      </c>
      <c r="H357" t="str">
        <f>"Bsdc1"</f>
        <v>Bsdc1</v>
      </c>
      <c r="I357" t="str">
        <f>"BSD domain containing 1"</f>
        <v>BSD domain containing 1</v>
      </c>
      <c r="J357" t="str">
        <f>"protein coding gene"</f>
        <v>protein coding gene</v>
      </c>
    </row>
    <row r="358" spans="1:10">
      <c r="A358">
        <v>10431856</v>
      </c>
      <c r="B358">
        <v>1.9694385418729701</v>
      </c>
      <c r="C358">
        <v>0.48957188593920897</v>
      </c>
      <c r="E358" t="str">
        <f>"10431856"</f>
        <v>10431856</v>
      </c>
      <c r="F358" t="str">
        <f t="shared" si="23"/>
        <v>Affy 1.0 ST</v>
      </c>
      <c r="G358" t="str">
        <f>"MGI:1919443"</f>
        <v>MGI:1919443</v>
      </c>
      <c r="H358" t="str">
        <f>"Scaf11"</f>
        <v>Scaf11</v>
      </c>
      <c r="I358" t="str">
        <f>"SR-related CTD-associated factor 11"</f>
        <v>SR-related CTD-associated factor 11</v>
      </c>
      <c r="J358" t="str">
        <f>"protein coding gene"</f>
        <v>protein coding gene</v>
      </c>
    </row>
    <row r="359" spans="1:10">
      <c r="A359">
        <v>10578521</v>
      </c>
      <c r="B359">
        <v>1.96737293819119</v>
      </c>
      <c r="C359">
        <v>0.30067029118823502</v>
      </c>
      <c r="E359" t="str">
        <f>"10578521"</f>
        <v>10578521</v>
      </c>
      <c r="F359" t="str">
        <f t="shared" si="23"/>
        <v>Affy 1.0 ST</v>
      </c>
      <c r="G359" t="str">
        <f>"MGI:2142610"</f>
        <v>MGI:2142610</v>
      </c>
      <c r="H359" t="str">
        <f>"Snx25"</f>
        <v>Snx25</v>
      </c>
      <c r="I359" t="str">
        <f>"sorting nexin 25"</f>
        <v>sorting nexin 25</v>
      </c>
      <c r="J359" t="str">
        <f>"protein coding gene"</f>
        <v>protein coding gene</v>
      </c>
    </row>
    <row r="360" spans="1:10">
      <c r="A360">
        <v>10365830</v>
      </c>
      <c r="B360">
        <v>1.9626910621046101</v>
      </c>
      <c r="C360">
        <v>0.52436438742806102</v>
      </c>
      <c r="E360" t="str">
        <f>"10365830"</f>
        <v>10365830</v>
      </c>
      <c r="F360" t="str">
        <f>""</f>
        <v/>
      </c>
      <c r="G360" t="str">
        <f>"No associated gene"</f>
        <v>No associated gene</v>
      </c>
    </row>
    <row r="361" spans="1:10">
      <c r="A361">
        <v>10363599</v>
      </c>
      <c r="B361">
        <v>1.9573101244633899</v>
      </c>
      <c r="C361">
        <v>0.40680224301192502</v>
      </c>
      <c r="E361" t="str">
        <f>"10363599"</f>
        <v>10363599</v>
      </c>
      <c r="F361" t="str">
        <f t="shared" ref="F361:F380" si="24">"Affy 1.0 ST"</f>
        <v>Affy 1.0 ST</v>
      </c>
      <c r="G361" t="str">
        <f>"MGI:1917682"</f>
        <v>MGI:1917682</v>
      </c>
      <c r="H361" t="str">
        <f>"Rufy2"</f>
        <v>Rufy2</v>
      </c>
      <c r="I361" t="str">
        <f>"RUN and FYVE domain-containing 2"</f>
        <v>RUN and FYVE domain-containing 2</v>
      </c>
      <c r="J361" t="str">
        <f t="shared" ref="J361:J373" si="25">"protein coding gene"</f>
        <v>protein coding gene</v>
      </c>
    </row>
    <row r="362" spans="1:10">
      <c r="A362">
        <v>10471844</v>
      </c>
      <c r="B362">
        <v>1.95554512638568</v>
      </c>
      <c r="C362">
        <v>0.17580814642075099</v>
      </c>
      <c r="E362" t="str">
        <f>"10471844"</f>
        <v>10471844</v>
      </c>
      <c r="F362" t="str">
        <f t="shared" si="24"/>
        <v>Affy 1.0 ST</v>
      </c>
      <c r="G362" t="str">
        <f>"MGI:1891638"</f>
        <v>MGI:1891638</v>
      </c>
      <c r="H362" t="str">
        <f>"Nek6"</f>
        <v>Nek6</v>
      </c>
      <c r="I362" t="str">
        <f>"NIMA (never in mitosis gene a)-related expressed kinase 6"</f>
        <v>NIMA (never in mitosis gene a)-related expressed kinase 6</v>
      </c>
      <c r="J362" t="str">
        <f t="shared" si="25"/>
        <v>protein coding gene</v>
      </c>
    </row>
    <row r="363" spans="1:10">
      <c r="A363">
        <v>10566050</v>
      </c>
      <c r="B363">
        <v>1.9458279371628999</v>
      </c>
      <c r="C363">
        <v>0.21439948025198899</v>
      </c>
      <c r="E363" t="str">
        <f>"10566050"</f>
        <v>10566050</v>
      </c>
      <c r="F363" t="str">
        <f t="shared" si="24"/>
        <v>Affy 1.0 ST</v>
      </c>
      <c r="G363" t="str">
        <f>"MGI:1333800"</f>
        <v>MGI:1333800</v>
      </c>
      <c r="H363" t="str">
        <f>"Il18bp"</f>
        <v>Il18bp</v>
      </c>
      <c r="I363" t="str">
        <f>"interleukin 18 binding protein"</f>
        <v>interleukin 18 binding protein</v>
      </c>
      <c r="J363" t="str">
        <f t="shared" si="25"/>
        <v>protein coding gene</v>
      </c>
    </row>
    <row r="364" spans="1:10">
      <c r="A364">
        <v>10475866</v>
      </c>
      <c r="B364">
        <v>1.9437937782194299</v>
      </c>
      <c r="C364">
        <v>0.41822932125419798</v>
      </c>
      <c r="E364" t="str">
        <f>"10475866"</f>
        <v>10475866</v>
      </c>
      <c r="F364" t="str">
        <f t="shared" si="24"/>
        <v>Affy 1.0 ST</v>
      </c>
      <c r="G364" t="str">
        <f>"MGI:1197519"</f>
        <v>MGI:1197519</v>
      </c>
      <c r="H364" t="str">
        <f>"Bcl2l11"</f>
        <v>Bcl2l11</v>
      </c>
      <c r="I364" t="str">
        <f>"BCL2-like 11 (apoptosis facilitator)"</f>
        <v>BCL2-like 11 (apoptosis facilitator)</v>
      </c>
      <c r="J364" t="str">
        <f t="shared" si="25"/>
        <v>protein coding gene</v>
      </c>
    </row>
    <row r="365" spans="1:10">
      <c r="A365">
        <v>10508936</v>
      </c>
      <c r="B365">
        <v>1.9402946337635001</v>
      </c>
      <c r="C365">
        <v>0.35053771803658801</v>
      </c>
      <c r="E365" t="str">
        <f>"10508936"</f>
        <v>10508936</v>
      </c>
      <c r="F365" t="str">
        <f t="shared" si="24"/>
        <v>Affy 1.0 ST</v>
      </c>
      <c r="G365" t="str">
        <f>"MGI:1914836"</f>
        <v>MGI:1914836</v>
      </c>
      <c r="H365" t="str">
        <f>"Ubxn11"</f>
        <v>Ubxn11</v>
      </c>
      <c r="I365" t="str">
        <f>"UBX domain protein 11"</f>
        <v>UBX domain protein 11</v>
      </c>
      <c r="J365" t="str">
        <f t="shared" si="25"/>
        <v>protein coding gene</v>
      </c>
    </row>
    <row r="366" spans="1:10">
      <c r="A366">
        <v>10592763</v>
      </c>
      <c r="B366">
        <v>1.93710386864276</v>
      </c>
      <c r="C366">
        <v>0.18967376169418501</v>
      </c>
      <c r="E366" t="str">
        <f>"10592763"</f>
        <v>10592763</v>
      </c>
      <c r="F366" t="str">
        <f t="shared" si="24"/>
        <v>Affy 1.0 ST</v>
      </c>
      <c r="G366" t="str">
        <f>"MGI:2429611"</f>
        <v>MGI:2429611</v>
      </c>
      <c r="H366" t="str">
        <f>"Nlrx1"</f>
        <v>Nlrx1</v>
      </c>
      <c r="I366" t="str">
        <f>"NLR family member X1"</f>
        <v>NLR family member X1</v>
      </c>
      <c r="J366" t="str">
        <f t="shared" si="25"/>
        <v>protein coding gene</v>
      </c>
    </row>
    <row r="367" spans="1:10">
      <c r="A367">
        <v>10395394</v>
      </c>
      <c r="B367">
        <v>1.9314921338839799</v>
      </c>
      <c r="C367">
        <v>0.24283203007665499</v>
      </c>
      <c r="E367" t="str">
        <f>"10395394"</f>
        <v>10395394</v>
      </c>
      <c r="F367" t="str">
        <f t="shared" si="24"/>
        <v>Affy 1.0 ST</v>
      </c>
      <c r="G367" t="str">
        <f>"MGI:1923097"</f>
        <v>MGI:1923097</v>
      </c>
      <c r="H367" t="str">
        <f>"Ispd"</f>
        <v>Ispd</v>
      </c>
      <c r="I367" t="str">
        <f>"isoprenoid synthase domain containing"</f>
        <v>isoprenoid synthase domain containing</v>
      </c>
      <c r="J367" t="str">
        <f t="shared" si="25"/>
        <v>protein coding gene</v>
      </c>
    </row>
    <row r="368" spans="1:10">
      <c r="A368">
        <v>10435149</v>
      </c>
      <c r="B368">
        <v>1.9262622254417101</v>
      </c>
      <c r="C368">
        <v>5.3830708564691701E-2</v>
      </c>
      <c r="E368" t="str">
        <f>"10435149"</f>
        <v>10435149</v>
      </c>
      <c r="F368" t="str">
        <f t="shared" si="24"/>
        <v>Affy 1.0 ST</v>
      </c>
      <c r="G368" t="str">
        <f>"MGI:1917955"</f>
        <v>MGI:1917955</v>
      </c>
      <c r="H368" t="str">
        <f>"Fyttd1"</f>
        <v>Fyttd1</v>
      </c>
      <c r="I368" t="str">
        <f>"forty-two-three domain containing 1"</f>
        <v>forty-two-three domain containing 1</v>
      </c>
      <c r="J368" t="str">
        <f t="shared" si="25"/>
        <v>protein coding gene</v>
      </c>
    </row>
    <row r="369" spans="1:10">
      <c r="A369">
        <v>10384782</v>
      </c>
      <c r="B369">
        <v>1.9252408503159999</v>
      </c>
      <c r="C369">
        <v>0.18422698096506801</v>
      </c>
      <c r="E369" t="str">
        <f>"10384782"</f>
        <v>10384782</v>
      </c>
      <c r="F369" t="str">
        <f t="shared" si="24"/>
        <v>Affy 1.0 ST</v>
      </c>
      <c r="G369" t="str">
        <f>"MGI:1917172"</f>
        <v>MGI:1917172</v>
      </c>
      <c r="H369" t="str">
        <f>"Vrk2"</f>
        <v>Vrk2</v>
      </c>
      <c r="I369" t="str">
        <f>"vaccinia related kinase 2"</f>
        <v>vaccinia related kinase 2</v>
      </c>
      <c r="J369" t="str">
        <f t="shared" si="25"/>
        <v>protein coding gene</v>
      </c>
    </row>
    <row r="370" spans="1:10">
      <c r="A370">
        <v>10553935</v>
      </c>
      <c r="B370">
        <v>1.92095243617103</v>
      </c>
      <c r="C370">
        <v>0.38962513169891599</v>
      </c>
      <c r="E370" t="str">
        <f>"10553935"</f>
        <v>10553935</v>
      </c>
      <c r="F370" t="str">
        <f t="shared" si="24"/>
        <v>Affy 1.0 ST</v>
      </c>
      <c r="G370" t="str">
        <f>"MGI:2444486"</f>
        <v>MGI:2444486</v>
      </c>
      <c r="H370" t="str">
        <f>"Tarsl2"</f>
        <v>Tarsl2</v>
      </c>
      <c r="I370" t="str">
        <f>"threonyl-tRNA synthetase-like 2"</f>
        <v>threonyl-tRNA synthetase-like 2</v>
      </c>
      <c r="J370" t="str">
        <f t="shared" si="25"/>
        <v>protein coding gene</v>
      </c>
    </row>
    <row r="371" spans="1:10">
      <c r="A371">
        <v>10535247</v>
      </c>
      <c r="B371">
        <v>1.91843055261087</v>
      </c>
      <c r="C371">
        <v>0.35373837058908703</v>
      </c>
      <c r="E371" t="str">
        <f>"10535247"</f>
        <v>10535247</v>
      </c>
      <c r="F371" t="str">
        <f t="shared" si="24"/>
        <v>Affy 1.0 ST</v>
      </c>
      <c r="G371" t="str">
        <f>"MGI:1921489"</f>
        <v>MGI:1921489</v>
      </c>
      <c r="H371" t="str">
        <f>"Iqce"</f>
        <v>Iqce</v>
      </c>
      <c r="I371" t="str">
        <f>"IQ motif containing E"</f>
        <v>IQ motif containing E</v>
      </c>
      <c r="J371" t="str">
        <f t="shared" si="25"/>
        <v>protein coding gene</v>
      </c>
    </row>
    <row r="372" spans="1:10">
      <c r="A372">
        <v>10481857</v>
      </c>
      <c r="B372">
        <v>1.91643110451332</v>
      </c>
      <c r="C372">
        <v>0.269491445893002</v>
      </c>
      <c r="E372" t="str">
        <f>"10481857"</f>
        <v>10481857</v>
      </c>
      <c r="F372" t="str">
        <f t="shared" si="24"/>
        <v>Affy 1.0 ST</v>
      </c>
      <c r="G372" t="str">
        <f>"MGI:97496"</f>
        <v>MGI:97496</v>
      </c>
      <c r="H372" t="str">
        <f>"Pbx3"</f>
        <v>Pbx3</v>
      </c>
      <c r="I372" t="str">
        <f>"pre B-cell leukemia transcription factor 3"</f>
        <v>pre B-cell leukemia transcription factor 3</v>
      </c>
      <c r="J372" t="str">
        <f t="shared" si="25"/>
        <v>protein coding gene</v>
      </c>
    </row>
    <row r="373" spans="1:10">
      <c r="A373">
        <v>10351347</v>
      </c>
      <c r="B373">
        <v>1.9127605314985401</v>
      </c>
      <c r="C373">
        <v>0.53907045562476996</v>
      </c>
      <c r="E373" t="str">
        <f>"10351347"</f>
        <v>10351347</v>
      </c>
      <c r="F373" t="str">
        <f t="shared" si="24"/>
        <v>Affy 1.0 ST</v>
      </c>
      <c r="G373" t="str">
        <f>"MGI:1344382"</f>
        <v>MGI:1344382</v>
      </c>
      <c r="H373" t="str">
        <f>"Creg1"</f>
        <v>Creg1</v>
      </c>
      <c r="I373" t="str">
        <f>"cellular repressor of E1A-stimulated genes 1"</f>
        <v>cellular repressor of E1A-stimulated genes 1</v>
      </c>
      <c r="J373" t="str">
        <f t="shared" si="25"/>
        <v>protein coding gene</v>
      </c>
    </row>
    <row r="374" spans="1:10">
      <c r="A374">
        <v>10474073</v>
      </c>
      <c r="B374">
        <v>1.91107382002378</v>
      </c>
      <c r="C374">
        <v>0.21252211041340599</v>
      </c>
      <c r="E374" t="str">
        <f>"10474073"</f>
        <v>10474073</v>
      </c>
      <c r="F374" t="str">
        <f t="shared" si="24"/>
        <v>Affy 1.0 ST</v>
      </c>
      <c r="G374" t="str">
        <f>"MGI:3026916"</f>
        <v>MGI:3026916</v>
      </c>
      <c r="H374" t="str">
        <f>"C230071H18Rik"</f>
        <v>C230071H18Rik</v>
      </c>
      <c r="I374" t="str">
        <f>"RIKEN cDNA C230071H18 gene"</f>
        <v>RIKEN cDNA C230071H18 gene</v>
      </c>
      <c r="J374" t="str">
        <f>"unclassified gene"</f>
        <v>unclassified gene</v>
      </c>
    </row>
    <row r="375" spans="1:10">
      <c r="A375">
        <v>10363130</v>
      </c>
      <c r="B375">
        <v>1.91043891243708</v>
      </c>
      <c r="C375">
        <v>0.205930553764859</v>
      </c>
      <c r="E375" t="str">
        <f>"10363130"</f>
        <v>10363130</v>
      </c>
      <c r="F375" t="str">
        <f t="shared" si="24"/>
        <v>Affy 1.0 ST</v>
      </c>
      <c r="G375" t="str">
        <f>"MGI:2149946"</f>
        <v>MGI:2149946</v>
      </c>
      <c r="H375" t="str">
        <f>"Gopc"</f>
        <v>Gopc</v>
      </c>
      <c r="I375" t="str">
        <f>"golgi associated PDZ and coiled-coil motif containing"</f>
        <v>golgi associated PDZ and coiled-coil motif containing</v>
      </c>
      <c r="J375" t="str">
        <f t="shared" ref="J375:J380" si="26">"protein coding gene"</f>
        <v>protein coding gene</v>
      </c>
    </row>
    <row r="376" spans="1:10">
      <c r="A376">
        <v>10496494</v>
      </c>
      <c r="B376">
        <v>1.90891218751622</v>
      </c>
      <c r="C376">
        <v>6.0534025979624997E-2</v>
      </c>
      <c r="E376" t="str">
        <f>"10496494"</f>
        <v>10496494</v>
      </c>
      <c r="F376" t="str">
        <f t="shared" si="24"/>
        <v>Affy 1.0 ST</v>
      </c>
      <c r="G376" t="str">
        <f>"MGI:1928096"</f>
        <v>MGI:1928096</v>
      </c>
      <c r="H376" t="str">
        <f>"Tspan5"</f>
        <v>Tspan5</v>
      </c>
      <c r="I376" t="str">
        <f>"tetraspanin 5"</f>
        <v>tetraspanin 5</v>
      </c>
      <c r="J376" t="str">
        <f t="shared" si="26"/>
        <v>protein coding gene</v>
      </c>
    </row>
    <row r="377" spans="1:10">
      <c r="A377">
        <v>10410115</v>
      </c>
      <c r="B377">
        <v>1.90340162549573</v>
      </c>
      <c r="C377">
        <v>0.325928039755773</v>
      </c>
      <c r="E377" t="str">
        <f>"10410115"</f>
        <v>10410115</v>
      </c>
      <c r="F377" t="str">
        <f t="shared" si="24"/>
        <v>Affy 1.0 ST</v>
      </c>
      <c r="G377" t="str">
        <f>"MGI:1913379"</f>
        <v>MGI:1913379</v>
      </c>
      <c r="H377" t="str">
        <f>"1110018J18Rik"</f>
        <v>1110018J18Rik</v>
      </c>
      <c r="I377" t="str">
        <f>"RIKEN cDNA 1110018J18 gene"</f>
        <v>RIKEN cDNA 1110018J18 gene</v>
      </c>
      <c r="J377" t="str">
        <f t="shared" si="26"/>
        <v>protein coding gene</v>
      </c>
    </row>
    <row r="378" spans="1:10">
      <c r="A378">
        <v>10392990</v>
      </c>
      <c r="B378">
        <v>1.9015780203096</v>
      </c>
      <c r="C378">
        <v>0.33473437558688701</v>
      </c>
      <c r="E378" t="str">
        <f>"10392990"</f>
        <v>10392990</v>
      </c>
      <c r="F378" t="str">
        <f t="shared" si="24"/>
        <v>Affy 1.0 ST</v>
      </c>
      <c r="G378" t="str">
        <f>"MGI:95805"</f>
        <v>MGI:95805</v>
      </c>
      <c r="H378" t="str">
        <f>"Grb2"</f>
        <v>Grb2</v>
      </c>
      <c r="I378" t="str">
        <f>"growth factor receptor bound protein 2"</f>
        <v>growth factor receptor bound protein 2</v>
      </c>
      <c r="J378" t="str">
        <f t="shared" si="26"/>
        <v>protein coding gene</v>
      </c>
    </row>
    <row r="379" spans="1:10">
      <c r="A379">
        <v>10510552</v>
      </c>
      <c r="B379">
        <v>1.89686370613501</v>
      </c>
      <c r="C379">
        <v>0.48174752255435299</v>
      </c>
      <c r="E379" t="str">
        <f>"10510552"</f>
        <v>10510552</v>
      </c>
      <c r="F379" t="str">
        <f t="shared" si="24"/>
        <v>Affy 1.0 ST</v>
      </c>
      <c r="G379" t="str">
        <f>"MGI:2683486"</f>
        <v>MGI:2683486</v>
      </c>
      <c r="H379" t="str">
        <f>"Rere"</f>
        <v>Rere</v>
      </c>
      <c r="I379" t="str">
        <f>"arginine glutamic acid dipeptide (RE) repeats"</f>
        <v>arginine glutamic acid dipeptide (RE) repeats</v>
      </c>
      <c r="J379" t="str">
        <f t="shared" si="26"/>
        <v>protein coding gene</v>
      </c>
    </row>
    <row r="380" spans="1:10">
      <c r="A380">
        <v>10392318</v>
      </c>
      <c r="B380">
        <v>1.89432500605481</v>
      </c>
      <c r="C380">
        <v>0.31863322043995601</v>
      </c>
      <c r="E380" t="str">
        <f>"10392318"</f>
        <v>10392318</v>
      </c>
      <c r="F380" t="str">
        <f t="shared" si="24"/>
        <v>Affy 1.0 ST</v>
      </c>
      <c r="G380" t="str">
        <f>"MGI:2444008"</f>
        <v>MGI:2444008</v>
      </c>
      <c r="H380" t="str">
        <f>"Bptf"</f>
        <v>Bptf</v>
      </c>
      <c r="I380" t="str">
        <f>"bromodomain PHD finger transcription factor"</f>
        <v>bromodomain PHD finger transcription factor</v>
      </c>
      <c r="J380" t="str">
        <f t="shared" si="26"/>
        <v>protein coding gene</v>
      </c>
    </row>
    <row r="381" spans="1:10">
      <c r="A381">
        <v>10524229</v>
      </c>
      <c r="B381">
        <v>1.89143497078022</v>
      </c>
      <c r="C381">
        <v>0.26079407998642601</v>
      </c>
      <c r="E381" t="str">
        <f>"10524229"</f>
        <v>10524229</v>
      </c>
      <c r="F381" t="str">
        <f>""</f>
        <v/>
      </c>
      <c r="G381" t="str">
        <f>"No associated gene"</f>
        <v>No associated gene</v>
      </c>
    </row>
    <row r="382" spans="1:10">
      <c r="A382">
        <v>10572635</v>
      </c>
      <c r="B382">
        <v>1.8883743936528301</v>
      </c>
      <c r="C382">
        <v>0.43800176973508198</v>
      </c>
      <c r="E382" t="str">
        <f>"10572635"</f>
        <v>10572635</v>
      </c>
      <c r="F382" t="str">
        <f>"Affy 1.0 ST"</f>
        <v>Affy 1.0 ST</v>
      </c>
      <c r="G382" t="str">
        <f>"MGI:1891831"</f>
        <v>MGI:1891831</v>
      </c>
      <c r="H382" t="str">
        <f>"Sfn"</f>
        <v>Sfn</v>
      </c>
      <c r="I382" t="str">
        <f>"stratifin"</f>
        <v>stratifin</v>
      </c>
      <c r="J382" t="str">
        <f>"protein coding gene"</f>
        <v>protein coding gene</v>
      </c>
    </row>
    <row r="383" spans="1:10">
      <c r="A383">
        <v>10338514</v>
      </c>
      <c r="B383">
        <v>1.86276784569815</v>
      </c>
      <c r="C383">
        <v>0.39470159736399002</v>
      </c>
      <c r="E383" t="str">
        <f>"10338514"</f>
        <v>10338514</v>
      </c>
      <c r="F383" t="str">
        <f>""</f>
        <v/>
      </c>
      <c r="G383" t="str">
        <f>"No associated gene"</f>
        <v>No associated gene</v>
      </c>
    </row>
    <row r="384" spans="1:10">
      <c r="A384">
        <v>10600326</v>
      </c>
      <c r="B384">
        <v>1.8625346057123</v>
      </c>
      <c r="C384">
        <v>6.0739266919269203E-2</v>
      </c>
      <c r="E384" t="str">
        <f>"10600326"</f>
        <v>10600326</v>
      </c>
      <c r="F384" t="str">
        <f t="shared" ref="F384:F389" si="27">"Affy 1.0 ST"</f>
        <v>Affy 1.0 ST</v>
      </c>
      <c r="G384" t="str">
        <f>"MGI:1933244"</f>
        <v>MGI:1933244</v>
      </c>
      <c r="H384" t="str">
        <f>"Tktl1"</f>
        <v>Tktl1</v>
      </c>
      <c r="I384" t="str">
        <f>"transketolase-like 1"</f>
        <v>transketolase-like 1</v>
      </c>
      <c r="J384" t="str">
        <f>"protein coding gene"</f>
        <v>protein coding gene</v>
      </c>
    </row>
    <row r="385" spans="1:10">
      <c r="A385">
        <v>10375909</v>
      </c>
      <c r="B385">
        <v>1.8600009592350599</v>
      </c>
      <c r="C385">
        <v>0.152106795225152</v>
      </c>
      <c r="E385" t="str">
        <f>"10375909"</f>
        <v>10375909</v>
      </c>
      <c r="F385" t="str">
        <f t="shared" si="27"/>
        <v>Affy 1.0 ST</v>
      </c>
      <c r="G385" t="str">
        <f>"MGI:2388268"</f>
        <v>MGI:2388268</v>
      </c>
      <c r="H385" t="str">
        <f>"Cdkl3"</f>
        <v>Cdkl3</v>
      </c>
      <c r="I385" t="str">
        <f>"cyclin-dependent kinase-like 3"</f>
        <v>cyclin-dependent kinase-like 3</v>
      </c>
      <c r="J385" t="str">
        <f>"protein coding gene"</f>
        <v>protein coding gene</v>
      </c>
    </row>
    <row r="386" spans="1:10">
      <c r="A386">
        <v>10527559</v>
      </c>
      <c r="B386">
        <v>1.85919088840348</v>
      </c>
      <c r="C386">
        <v>0.43783267622219102</v>
      </c>
      <c r="E386" t="str">
        <f>"10527559"</f>
        <v>10527559</v>
      </c>
      <c r="F386" t="str">
        <f t="shared" si="27"/>
        <v>Affy 1.0 ST</v>
      </c>
      <c r="G386" t="str">
        <f>"MGI:108403"</f>
        <v>MGI:108403</v>
      </c>
      <c r="H386" t="str">
        <f>"Polr1d"</f>
        <v>Polr1d</v>
      </c>
      <c r="I386" t="str">
        <f>"polymerase (RNA) I polypeptide D"</f>
        <v>polymerase (RNA) I polypeptide D</v>
      </c>
      <c r="J386" t="str">
        <f>"protein coding gene"</f>
        <v>protein coding gene</v>
      </c>
    </row>
    <row r="387" spans="1:10">
      <c r="A387">
        <v>10558825</v>
      </c>
      <c r="B387">
        <v>1.8588148957372701</v>
      </c>
      <c r="C387">
        <v>9.00413634186258E-2</v>
      </c>
      <c r="E387" t="str">
        <f>"10558825"</f>
        <v>10558825</v>
      </c>
      <c r="F387" t="str">
        <f t="shared" si="27"/>
        <v>Affy 1.0 ST</v>
      </c>
      <c r="G387" t="str">
        <f>"MGI:1917802"</f>
        <v>MGI:1917802</v>
      </c>
      <c r="H387" t="str">
        <f>"Lrrc56"</f>
        <v>Lrrc56</v>
      </c>
      <c r="I387" t="str">
        <f>"leucine rich repeat containing 56"</f>
        <v>leucine rich repeat containing 56</v>
      </c>
      <c r="J387" t="str">
        <f>"protein coding gene"</f>
        <v>protein coding gene</v>
      </c>
    </row>
    <row r="388" spans="1:10">
      <c r="A388">
        <v>10573675</v>
      </c>
      <c r="B388">
        <v>1.8407010322686199</v>
      </c>
      <c r="C388">
        <v>0.32536859305926302</v>
      </c>
      <c r="E388" t="str">
        <f>"10573675"</f>
        <v>10573675</v>
      </c>
      <c r="F388" t="str">
        <f t="shared" si="27"/>
        <v>Affy 1.0 ST</v>
      </c>
      <c r="G388" t="str">
        <f>"MGI:1914137"</f>
        <v>MGI:1914137</v>
      </c>
      <c r="H388" t="str">
        <f>"Lonp2"</f>
        <v>Lonp2</v>
      </c>
      <c r="I388" t="s">
        <v>11</v>
      </c>
      <c r="J388" t="s">
        <v>71</v>
      </c>
    </row>
    <row r="389" spans="1:10">
      <c r="A389">
        <v>10528154</v>
      </c>
      <c r="B389">
        <v>1.8397398349343601</v>
      </c>
      <c r="C389">
        <v>6.2920323114429494E-2</v>
      </c>
      <c r="E389" t="str">
        <f>"10528154"</f>
        <v>10528154</v>
      </c>
      <c r="F389" t="str">
        <f t="shared" si="27"/>
        <v>Affy 1.0 ST</v>
      </c>
      <c r="G389" t="str">
        <f>"MGI:3648736"</f>
        <v>MGI:3648736</v>
      </c>
      <c r="H389" t="str">
        <f>"Gm6455"</f>
        <v>Gm6455</v>
      </c>
      <c r="I389" t="str">
        <f>"predicted gene 6455"</f>
        <v>predicted gene 6455</v>
      </c>
      <c r="J389" t="str">
        <f>"pseudogene"</f>
        <v>pseudogene</v>
      </c>
    </row>
    <row r="390" spans="1:10">
      <c r="A390">
        <v>10553859</v>
      </c>
      <c r="B390">
        <v>1.83240296249336</v>
      </c>
      <c r="C390">
        <v>0.117044590903168</v>
      </c>
      <c r="E390" t="str">
        <f>"10553859"</f>
        <v>10553859</v>
      </c>
      <c r="F390" t="str">
        <f>""</f>
        <v/>
      </c>
      <c r="G390" t="str">
        <f>"No associated gene"</f>
        <v>No associated gene</v>
      </c>
    </row>
    <row r="391" spans="1:10">
      <c r="A391">
        <v>10529613</v>
      </c>
      <c r="B391">
        <v>1.8291536143378999</v>
      </c>
      <c r="C391">
        <v>0.16299111441060801</v>
      </c>
      <c r="E391" t="str">
        <f>"10529613"</f>
        <v>10529613</v>
      </c>
      <c r="F391" t="str">
        <f>"Affy 1.0 ST"</f>
        <v>Affy 1.0 ST</v>
      </c>
      <c r="G391" t="str">
        <f>"MGI:1890596"</f>
        <v>MGI:1890596</v>
      </c>
      <c r="H391" t="str">
        <f>"Evc"</f>
        <v>Evc</v>
      </c>
      <c r="I391" t="str">
        <f>"Ellis van Creveld gene homolog (human)"</f>
        <v>Ellis van Creveld gene homolog (human)</v>
      </c>
      <c r="J391" t="str">
        <f>"protein coding gene"</f>
        <v>protein coding gene</v>
      </c>
    </row>
    <row r="392" spans="1:10">
      <c r="A392">
        <v>10341369</v>
      </c>
      <c r="B392">
        <v>1.82552802414221</v>
      </c>
      <c r="C392">
        <v>0.38479917008687797</v>
      </c>
      <c r="E392" t="str">
        <f>"10341369"</f>
        <v>10341369</v>
      </c>
      <c r="F392" t="str">
        <f>""</f>
        <v/>
      </c>
      <c r="G392" t="str">
        <f>"No associated gene"</f>
        <v>No associated gene</v>
      </c>
    </row>
    <row r="393" spans="1:10">
      <c r="A393">
        <v>10489912</v>
      </c>
      <c r="B393">
        <v>1.82386992814685</v>
      </c>
      <c r="C393">
        <v>0.27885795330122798</v>
      </c>
      <c r="E393" t="str">
        <f>"10489912"</f>
        <v>10489912</v>
      </c>
      <c r="F393" t="str">
        <f t="shared" ref="F393:F400" si="28">"Affy 1.0 ST"</f>
        <v>Affy 1.0 ST</v>
      </c>
      <c r="G393" t="str">
        <f>"MGI:2142624"</f>
        <v>MGI:2142624</v>
      </c>
      <c r="H393" t="str">
        <f>"Tmem189"</f>
        <v>Tmem189</v>
      </c>
      <c r="I393" t="str">
        <f>"transmembrane protein 189"</f>
        <v>transmembrane protein 189</v>
      </c>
      <c r="J393" t="str">
        <f>"protein coding gene"</f>
        <v>protein coding gene</v>
      </c>
    </row>
    <row r="394" spans="1:10">
      <c r="A394">
        <v>10455647</v>
      </c>
      <c r="B394">
        <v>1.8228462717141301</v>
      </c>
      <c r="C394">
        <v>0.28478932797141099</v>
      </c>
      <c r="E394" t="str">
        <f>"10455647"</f>
        <v>10455647</v>
      </c>
      <c r="F394" t="str">
        <f t="shared" si="28"/>
        <v>Affy 1.0 ST</v>
      </c>
      <c r="G394" t="str">
        <f>"MGI:2147191"</f>
        <v>MGI:2147191</v>
      </c>
      <c r="H394" t="str">
        <f>"Tnfaip8"</f>
        <v>Tnfaip8</v>
      </c>
      <c r="I394" t="s">
        <v>12</v>
      </c>
      <c r="J394" t="s">
        <v>71</v>
      </c>
    </row>
    <row r="395" spans="1:10">
      <c r="A395">
        <v>10569399</v>
      </c>
      <c r="B395">
        <v>1.82236807722378</v>
      </c>
      <c r="C395">
        <v>0.14338921691078901</v>
      </c>
      <c r="E395" t="str">
        <f>"10569399"</f>
        <v>10569399</v>
      </c>
      <c r="F395" t="str">
        <f t="shared" si="28"/>
        <v>Affy 1.0 ST</v>
      </c>
      <c r="G395" t="str">
        <f>"MGI:1861718"</f>
        <v>MGI:1861718</v>
      </c>
      <c r="H395" t="str">
        <f>"Trpm5"</f>
        <v>Trpm5</v>
      </c>
      <c r="I395" t="s">
        <v>13</v>
      </c>
      <c r="J395" t="s">
        <v>71</v>
      </c>
    </row>
    <row r="396" spans="1:10">
      <c r="A396">
        <v>10437639</v>
      </c>
      <c r="B396">
        <v>1.8222150019210701</v>
      </c>
      <c r="C396">
        <v>9.2286112894217107E-2</v>
      </c>
      <c r="E396" t="str">
        <f>"10437639"</f>
        <v>10437639</v>
      </c>
      <c r="F396" t="str">
        <f t="shared" si="28"/>
        <v>Affy 1.0 ST</v>
      </c>
      <c r="G396" t="str">
        <f>"MGI:1098726"</f>
        <v>MGI:1098726</v>
      </c>
      <c r="H396" t="str">
        <f>"Emp2"</f>
        <v>Emp2</v>
      </c>
      <c r="I396" t="str">
        <f>"epithelial membrane protein 2"</f>
        <v>epithelial membrane protein 2</v>
      </c>
      <c r="J396" t="str">
        <f>"protein coding gene"</f>
        <v>protein coding gene</v>
      </c>
    </row>
    <row r="397" spans="1:10">
      <c r="A397">
        <v>10409330</v>
      </c>
      <c r="B397">
        <v>1.8212660094279201</v>
      </c>
      <c r="C397">
        <v>0.46743911653252801</v>
      </c>
      <c r="E397" t="str">
        <f>"10409330"</f>
        <v>10409330</v>
      </c>
      <c r="F397" t="str">
        <f t="shared" si="28"/>
        <v>Affy 1.0 ST</v>
      </c>
      <c r="G397" t="str">
        <f>"MGI:1921162"</f>
        <v>MGI:1921162</v>
      </c>
      <c r="H397" t="str">
        <f>"4833439L19Rik"</f>
        <v>4833439L19Rik</v>
      </c>
      <c r="I397" t="str">
        <f>"RIKEN cDNA 4833439L19 gene"</f>
        <v>RIKEN cDNA 4833439L19 gene</v>
      </c>
      <c r="J397" t="str">
        <f>"protein coding gene"</f>
        <v>protein coding gene</v>
      </c>
    </row>
    <row r="398" spans="1:10">
      <c r="A398">
        <v>10436402</v>
      </c>
      <c r="B398">
        <v>1.820531766502</v>
      </c>
      <c r="C398">
        <v>0.227093010410503</v>
      </c>
      <c r="E398" t="str">
        <f>"10436402"</f>
        <v>10436402</v>
      </c>
      <c r="F398" t="str">
        <f t="shared" si="28"/>
        <v>Affy 1.0 ST</v>
      </c>
      <c r="G398" t="str">
        <f>"MGI:2447860"</f>
        <v>MGI:2447860</v>
      </c>
      <c r="H398" t="str">
        <f>"Cldnd1"</f>
        <v>Cldnd1</v>
      </c>
      <c r="I398" t="str">
        <f>"claudin domain containing 1"</f>
        <v>claudin domain containing 1</v>
      </c>
      <c r="J398" t="str">
        <f>"protein coding gene"</f>
        <v>protein coding gene</v>
      </c>
    </row>
    <row r="399" spans="1:10">
      <c r="A399">
        <v>10517436</v>
      </c>
      <c r="B399">
        <v>1.8169966868385301</v>
      </c>
      <c r="C399">
        <v>0.384576412490999</v>
      </c>
      <c r="E399" t="str">
        <f>"10517436"</f>
        <v>10517436</v>
      </c>
      <c r="F399" t="str">
        <f t="shared" si="28"/>
        <v>Affy 1.0 ST</v>
      </c>
      <c r="G399" t="str">
        <f>"MGI:1913443"</f>
        <v>MGI:1913443</v>
      </c>
      <c r="H399" t="str">
        <f>"1110049F12Rik"</f>
        <v>1110049F12Rik</v>
      </c>
      <c r="I399" t="str">
        <f>"RIKEN cDNA 1110049F12 gene"</f>
        <v>RIKEN cDNA 1110049F12 gene</v>
      </c>
      <c r="J399" t="str">
        <f>"protein coding gene"</f>
        <v>protein coding gene</v>
      </c>
    </row>
    <row r="400" spans="1:10">
      <c r="A400">
        <v>10352306</v>
      </c>
      <c r="B400">
        <v>1.8169216723694499</v>
      </c>
      <c r="C400">
        <v>0.14810365972229</v>
      </c>
      <c r="E400" t="str">
        <f>"10352306"</f>
        <v>10352306</v>
      </c>
      <c r="F400" t="str">
        <f t="shared" si="28"/>
        <v>Affy 1.0 ST</v>
      </c>
      <c r="G400" t="str">
        <f>"MGI:1277956"</f>
        <v>MGI:1277956</v>
      </c>
      <c r="H400" t="str">
        <f>"Pycr2"</f>
        <v>Pycr2</v>
      </c>
      <c r="I400" t="s">
        <v>14</v>
      </c>
      <c r="J400" t="s">
        <v>71</v>
      </c>
    </row>
    <row r="401" spans="1:10">
      <c r="A401">
        <v>10565360</v>
      </c>
      <c r="B401">
        <v>1.8157122644147501</v>
      </c>
      <c r="C401">
        <v>4.2508977107487703E-2</v>
      </c>
      <c r="E401" t="str">
        <f>"10565360"</f>
        <v>10565360</v>
      </c>
      <c r="F401" t="str">
        <f>""</f>
        <v/>
      </c>
      <c r="G401" t="str">
        <f>"No associated gene"</f>
        <v>No associated gene</v>
      </c>
    </row>
    <row r="402" spans="1:10">
      <c r="A402">
        <v>10474419</v>
      </c>
      <c r="B402">
        <v>1.81516629084821</v>
      </c>
      <c r="C402">
        <v>0.13229118751971</v>
      </c>
      <c r="E402" t="str">
        <f>"10474419"</f>
        <v>10474419</v>
      </c>
      <c r="F402" t="str">
        <f>"Affy 1.0 ST"</f>
        <v>Affy 1.0 ST</v>
      </c>
      <c r="G402" t="str">
        <f>"MGI:1891468"</f>
        <v>MGI:1891468</v>
      </c>
      <c r="H402" t="str">
        <f>"Lgr4"</f>
        <v>Lgr4</v>
      </c>
      <c r="I402" t="str">
        <f>"leucine-rich repeat-containing G protein-coupled receptor 4"</f>
        <v>leucine-rich repeat-containing G protein-coupled receptor 4</v>
      </c>
      <c r="J402" t="str">
        <f>"protein coding gene"</f>
        <v>protein coding gene</v>
      </c>
    </row>
    <row r="403" spans="1:10">
      <c r="A403">
        <v>10478364</v>
      </c>
      <c r="B403">
        <v>1.8149932940311599</v>
      </c>
      <c r="C403">
        <v>0.13442177643418499</v>
      </c>
      <c r="E403" t="str">
        <f>"10478364"</f>
        <v>10478364</v>
      </c>
      <c r="F403" t="str">
        <f>"Affy 1.0 ST"</f>
        <v>Affy 1.0 ST</v>
      </c>
      <c r="G403" t="str">
        <f>"MGI:3611233"</f>
        <v>MGI:3611233</v>
      </c>
      <c r="H403" t="str">
        <f>"Tox2"</f>
        <v>Tox2</v>
      </c>
      <c r="I403" t="str">
        <f>"TOX high mobility group box family member 2"</f>
        <v>TOX high mobility group box family member 2</v>
      </c>
      <c r="J403" t="str">
        <f>"protein coding gene"</f>
        <v>protein coding gene</v>
      </c>
    </row>
    <row r="404" spans="1:10">
      <c r="A404">
        <v>10352314</v>
      </c>
      <c r="B404">
        <v>1.8103596781432301</v>
      </c>
      <c r="C404">
        <v>9.5822183105998396E-2</v>
      </c>
      <c r="E404" t="str">
        <f>"10352314"</f>
        <v>10352314</v>
      </c>
      <c r="F404" t="str">
        <f>"Affy 1.0 ST"</f>
        <v>Affy 1.0 ST</v>
      </c>
      <c r="G404" t="str">
        <f>"MGI:107405"</f>
        <v>MGI:107405</v>
      </c>
      <c r="H404" t="str">
        <f>"Lefty1"</f>
        <v>Lefty1</v>
      </c>
      <c r="I404" t="str">
        <f>"left right determination factor 1"</f>
        <v>left right determination factor 1</v>
      </c>
      <c r="J404" t="str">
        <f>"protein coding gene"</f>
        <v>protein coding gene</v>
      </c>
    </row>
    <row r="405" spans="1:10">
      <c r="A405">
        <v>10556018</v>
      </c>
      <c r="B405">
        <v>1.80439878198702</v>
      </c>
      <c r="C405">
        <v>0.12998758054432899</v>
      </c>
      <c r="E405" t="str">
        <f>"10556018"</f>
        <v>10556018</v>
      </c>
      <c r="F405" t="str">
        <f>""</f>
        <v/>
      </c>
      <c r="G405" t="str">
        <f>"No associated gene"</f>
        <v>No associated gene</v>
      </c>
    </row>
    <row r="406" spans="1:10">
      <c r="A406">
        <v>10505276</v>
      </c>
      <c r="B406">
        <v>1.8043786737727401</v>
      </c>
      <c r="C406">
        <v>2.2021917887647E-2</v>
      </c>
      <c r="E406" t="str">
        <f>"10505276"</f>
        <v>10505276</v>
      </c>
      <c r="F406" t="str">
        <f t="shared" ref="F406:F412" si="29">"Affy 1.0 ST"</f>
        <v>Affy 1.0 ST</v>
      </c>
      <c r="G406" t="str">
        <f>"MGI:1333843"</f>
        <v>MGI:1333843</v>
      </c>
      <c r="H406" t="str">
        <f>"Slc31a1"</f>
        <v>Slc31a1</v>
      </c>
      <c r="I406" t="s">
        <v>15</v>
      </c>
      <c r="J406" t="s">
        <v>71</v>
      </c>
    </row>
    <row r="407" spans="1:10">
      <c r="A407">
        <v>10403842</v>
      </c>
      <c r="B407">
        <v>1.80320140147913</v>
      </c>
      <c r="C407">
        <v>0.11350983229190199</v>
      </c>
      <c r="E407" t="str">
        <f>"10403842"</f>
        <v>10403842</v>
      </c>
      <c r="F407" t="str">
        <f t="shared" si="29"/>
        <v>Affy 1.0 ST</v>
      </c>
      <c r="G407" t="str">
        <f>"MGI:2153044"</f>
        <v>MGI:2153044</v>
      </c>
      <c r="H407" t="str">
        <f>"Elmo1"</f>
        <v>Elmo1</v>
      </c>
      <c r="I407" t="s">
        <v>16</v>
      </c>
      <c r="J407" t="s">
        <v>71</v>
      </c>
    </row>
    <row r="408" spans="1:10">
      <c r="A408">
        <v>10388492</v>
      </c>
      <c r="B408">
        <v>1.79012399794871</v>
      </c>
      <c r="C408">
        <v>0.17192583680819501</v>
      </c>
      <c r="E408" t="str">
        <f>"10388492"</f>
        <v>10388492</v>
      </c>
      <c r="F408" t="str">
        <f t="shared" si="29"/>
        <v>Affy 1.0 ST</v>
      </c>
      <c r="G408" t="str">
        <f>"MGI:1915549"</f>
        <v>MGI:1915549</v>
      </c>
      <c r="H408" t="str">
        <f>"Vps53"</f>
        <v>Vps53</v>
      </c>
      <c r="I408" t="str">
        <f>"vacuolar protein sorting 53 (yeast)"</f>
        <v>vacuolar protein sorting 53 (yeast)</v>
      </c>
      <c r="J408" t="str">
        <f>"protein coding gene"</f>
        <v>protein coding gene</v>
      </c>
    </row>
    <row r="409" spans="1:10">
      <c r="A409">
        <v>10403066</v>
      </c>
      <c r="B409">
        <v>1.7888970338057399</v>
      </c>
      <c r="C409">
        <v>0.402065769354294</v>
      </c>
      <c r="E409" t="str">
        <f>"10403066"</f>
        <v>10403066</v>
      </c>
      <c r="F409" t="str">
        <f t="shared" si="29"/>
        <v>Affy 1.0 ST</v>
      </c>
      <c r="G409" t="str">
        <f>"MGI:4439634"</f>
        <v>MGI:4439634</v>
      </c>
      <c r="H409" t="str">
        <f>"Gm16710"</f>
        <v>Gm16710</v>
      </c>
      <c r="I409" t="s">
        <v>17</v>
      </c>
      <c r="J409" t="s">
        <v>18</v>
      </c>
    </row>
    <row r="410" spans="1:10">
      <c r="A410">
        <v>10474526</v>
      </c>
      <c r="B410">
        <v>1.78878364073767</v>
      </c>
      <c r="C410">
        <v>0.17485711936890899</v>
      </c>
      <c r="E410" t="str">
        <f>"10474526"</f>
        <v>10474526</v>
      </c>
      <c r="F410" t="str">
        <f t="shared" si="29"/>
        <v>Affy 1.0 ST</v>
      </c>
      <c r="G410" t="str">
        <f>"MGI:2138993"</f>
        <v>MGI:2138993</v>
      </c>
      <c r="H410" t="str">
        <f>"Lpcat4"</f>
        <v>Lpcat4</v>
      </c>
      <c r="I410" t="str">
        <f>"lysophosphatidylcholine acyltransferase 4"</f>
        <v>lysophosphatidylcholine acyltransferase 4</v>
      </c>
      <c r="J410" t="str">
        <f>"protein coding gene"</f>
        <v>protein coding gene</v>
      </c>
    </row>
    <row r="411" spans="1:10">
      <c r="A411">
        <v>10426955</v>
      </c>
      <c r="B411">
        <v>1.78206396878072</v>
      </c>
      <c r="C411">
        <v>0.170891945154417</v>
      </c>
      <c r="E411" t="str">
        <f>"10426955"</f>
        <v>10426955</v>
      </c>
      <c r="F411" t="str">
        <f t="shared" si="29"/>
        <v>Affy 1.0 ST</v>
      </c>
      <c r="G411" t="str">
        <f>"MGI:103169"</f>
        <v>MGI:103169</v>
      </c>
      <c r="H411" t="str">
        <f>"Scn8a"</f>
        <v>Scn8a</v>
      </c>
      <c r="I411" t="s">
        <v>19</v>
      </c>
      <c r="J411" t="s">
        <v>71</v>
      </c>
    </row>
    <row r="412" spans="1:10">
      <c r="A412">
        <v>10345529</v>
      </c>
      <c r="B412">
        <v>1.7747778192144601</v>
      </c>
      <c r="C412">
        <v>8.7475027688131798E-2</v>
      </c>
      <c r="E412" t="str">
        <f>"10345529"</f>
        <v>10345529</v>
      </c>
      <c r="F412" t="str">
        <f t="shared" si="29"/>
        <v>Affy 1.0 ST</v>
      </c>
      <c r="G412" t="str">
        <f>"MGI:1918103"</f>
        <v>MGI:1918103</v>
      </c>
      <c r="H412" t="str">
        <f>"Vwa3b"</f>
        <v>Vwa3b</v>
      </c>
      <c r="I412" t="str">
        <f>"von Willebrand factor A domain containing 3B"</f>
        <v>von Willebrand factor A domain containing 3B</v>
      </c>
      <c r="J412" t="str">
        <f>"protein coding gene"</f>
        <v>protein coding gene</v>
      </c>
    </row>
    <row r="413" spans="1:10">
      <c r="A413">
        <v>10340125</v>
      </c>
      <c r="B413">
        <v>1.76414968371579</v>
      </c>
      <c r="C413">
        <v>0.19620324638296099</v>
      </c>
      <c r="E413" t="str">
        <f>"10340125"</f>
        <v>10340125</v>
      </c>
      <c r="F413" t="str">
        <f>""</f>
        <v/>
      </c>
      <c r="G413" t="str">
        <f>"No associated gene"</f>
        <v>No associated gene</v>
      </c>
    </row>
    <row r="414" spans="1:10">
      <c r="A414">
        <v>10433691</v>
      </c>
      <c r="B414">
        <v>1.76313816393537</v>
      </c>
      <c r="C414">
        <v>0.32308805636408799</v>
      </c>
      <c r="E414" t="str">
        <f>"10433691"</f>
        <v>10433691</v>
      </c>
      <c r="F414" t="str">
        <f t="shared" ref="F414:F433" si="30">"Affy 1.0 ST"</f>
        <v>Affy 1.0 ST</v>
      </c>
      <c r="G414" t="str">
        <f>"MGI:108471"</f>
        <v>MGI:108471</v>
      </c>
      <c r="H414" t="str">
        <f>"Ntan1"</f>
        <v>Ntan1</v>
      </c>
      <c r="I414" t="str">
        <f>"N-terminal Asn amidase"</f>
        <v>N-terminal Asn amidase</v>
      </c>
      <c r="J414" t="str">
        <f>"protein coding gene"</f>
        <v>protein coding gene</v>
      </c>
    </row>
    <row r="415" spans="1:10">
      <c r="A415">
        <v>10403258</v>
      </c>
      <c r="B415">
        <v>1.75852814768623</v>
      </c>
      <c r="C415">
        <v>0.109551426129316</v>
      </c>
      <c r="E415" t="str">
        <f>"10403258"</f>
        <v>10403258</v>
      </c>
      <c r="F415" t="str">
        <f t="shared" si="30"/>
        <v>Affy 1.0 ST</v>
      </c>
      <c r="G415" t="str">
        <f>"MGI:99845"</f>
        <v>MGI:99845</v>
      </c>
      <c r="H415" t="str">
        <f>"Gdi2"</f>
        <v>Gdi2</v>
      </c>
      <c r="I415" t="str">
        <f>"guanosine diphosphate (GDP) dissociation inhibitor 2"</f>
        <v>guanosine diphosphate (GDP) dissociation inhibitor 2</v>
      </c>
      <c r="J415" t="str">
        <f>"protein coding gene"</f>
        <v>protein coding gene</v>
      </c>
    </row>
    <row r="416" spans="1:10">
      <c r="A416">
        <v>10393754</v>
      </c>
      <c r="B416">
        <v>1.7463711875092101</v>
      </c>
      <c r="C416">
        <v>0.155965757921953</v>
      </c>
      <c r="E416" t="str">
        <f>"10393754"</f>
        <v>10393754</v>
      </c>
      <c r="F416" t="str">
        <f t="shared" si="30"/>
        <v>Affy 1.0 ST</v>
      </c>
      <c r="G416" t="str">
        <f>"MGI:87906"</f>
        <v>MGI:87906</v>
      </c>
      <c r="H416" t="str">
        <f>"Actg1"</f>
        <v>Actg1</v>
      </c>
      <c r="I416" t="s">
        <v>20</v>
      </c>
      <c r="J416" t="s">
        <v>71</v>
      </c>
    </row>
    <row r="417" spans="1:10">
      <c r="A417">
        <v>10583228</v>
      </c>
      <c r="B417">
        <v>1.74528744738502</v>
      </c>
      <c r="C417">
        <v>0.35824026006232002</v>
      </c>
      <c r="E417" t="str">
        <f>"10583228"</f>
        <v>10583228</v>
      </c>
      <c r="F417" t="str">
        <f t="shared" si="30"/>
        <v>Affy 1.0 ST</v>
      </c>
      <c r="G417" t="str">
        <f>"MGI:1920076"</f>
        <v>MGI:1920076</v>
      </c>
      <c r="H417" t="str">
        <f>"Fam76b"</f>
        <v>Fam76b</v>
      </c>
      <c r="I417" t="s">
        <v>21</v>
      </c>
      <c r="J417" t="s">
        <v>71</v>
      </c>
    </row>
    <row r="418" spans="1:10">
      <c r="A418">
        <v>10439845</v>
      </c>
      <c r="B418">
        <v>1.7419111840761401</v>
      </c>
      <c r="C418">
        <v>8.1680218774910801E-2</v>
      </c>
      <c r="E418" t="str">
        <f>"10439845"</f>
        <v>10439845</v>
      </c>
      <c r="F418" t="str">
        <f t="shared" si="30"/>
        <v>Affy 1.0 ST</v>
      </c>
      <c r="G418" t="str">
        <f>"MGI:3647871"</f>
        <v>MGI:3647871</v>
      </c>
      <c r="H418" t="str">
        <f>"Gm5486"</f>
        <v>Gm5486</v>
      </c>
      <c r="I418" t="str">
        <f>"predicted gene 5486"</f>
        <v>predicted gene 5486</v>
      </c>
      <c r="J418" t="str">
        <f>"protein coding gene"</f>
        <v>protein coding gene</v>
      </c>
    </row>
    <row r="419" spans="1:10">
      <c r="A419">
        <v>10413229</v>
      </c>
      <c r="B419">
        <v>1.7344235584175201</v>
      </c>
      <c r="C419">
        <v>0.30914248848292097</v>
      </c>
      <c r="E419" t="str">
        <f>"10413229"</f>
        <v>10413229</v>
      </c>
      <c r="F419" t="str">
        <f t="shared" si="30"/>
        <v>Affy 1.0 ST</v>
      </c>
      <c r="G419" t="str">
        <f>"MGI:108481"</f>
        <v>MGI:108481</v>
      </c>
      <c r="H419" t="str">
        <f>"Anxa11"</f>
        <v>Anxa11</v>
      </c>
      <c r="I419" t="str">
        <f>"annexin A11"</f>
        <v>annexin A11</v>
      </c>
      <c r="J419" t="str">
        <f>"protein coding gene"</f>
        <v>protein coding gene</v>
      </c>
    </row>
    <row r="420" spans="1:10">
      <c r="A420">
        <v>10400795</v>
      </c>
      <c r="B420">
        <v>1.7310230558937401</v>
      </c>
      <c r="C420">
        <v>0.11873666035442999</v>
      </c>
      <c r="E420" t="str">
        <f>"10400795"</f>
        <v>10400795</v>
      </c>
      <c r="F420" t="str">
        <f t="shared" si="30"/>
        <v>Affy 1.0 ST</v>
      </c>
      <c r="G420" t="str">
        <f>"MGI:1927144"</f>
        <v>MGI:1927144</v>
      </c>
      <c r="H420" t="str">
        <f>"Sav1"</f>
        <v>Sav1</v>
      </c>
      <c r="I420" t="str">
        <f>"salvador homolog 1 (Drosophila)"</f>
        <v>salvador homolog 1 (Drosophila)</v>
      </c>
      <c r="J420" t="str">
        <f>"protein coding gene"</f>
        <v>protein coding gene</v>
      </c>
    </row>
    <row r="421" spans="1:10">
      <c r="A421">
        <v>10457606</v>
      </c>
      <c r="B421">
        <v>1.7307267319234501</v>
      </c>
      <c r="C421">
        <v>0.26484218726158698</v>
      </c>
      <c r="E421" t="str">
        <f>"10457606"</f>
        <v>10457606</v>
      </c>
      <c r="F421" t="str">
        <f t="shared" si="30"/>
        <v>Affy 1.0 ST</v>
      </c>
      <c r="G421" t="str">
        <f>"MGI:1918269"</f>
        <v>MGI:1918269</v>
      </c>
      <c r="H421" t="str">
        <f>"Kctd1"</f>
        <v>Kctd1</v>
      </c>
      <c r="I421" t="str">
        <f>"potassium channel tetramerisation domain containing 1"</f>
        <v>potassium channel tetramerisation domain containing 1</v>
      </c>
      <c r="J421" t="str">
        <f>"protein coding gene"</f>
        <v>protein coding gene</v>
      </c>
    </row>
    <row r="422" spans="1:10">
      <c r="A422">
        <v>10509838</v>
      </c>
      <c r="B422">
        <v>1.7261158366798399</v>
      </c>
      <c r="C422">
        <v>0.23381034587234001</v>
      </c>
      <c r="E422" t="str">
        <f>"10509838"</f>
        <v>10509838</v>
      </c>
      <c r="F422" t="str">
        <f t="shared" si="30"/>
        <v>Affy 1.0 ST</v>
      </c>
      <c r="G422" t="str">
        <f>"MGI:1338892"</f>
        <v>MGI:1338892</v>
      </c>
      <c r="H422" t="str">
        <f>"Padi2"</f>
        <v>Padi2</v>
      </c>
      <c r="I422" t="s">
        <v>22</v>
      </c>
      <c r="J422" t="s">
        <v>71</v>
      </c>
    </row>
    <row r="423" spans="1:10">
      <c r="A423">
        <v>10420155</v>
      </c>
      <c r="B423">
        <v>1.72420252984982</v>
      </c>
      <c r="C423">
        <v>0.17624848401947801</v>
      </c>
      <c r="E423" t="str">
        <f>"10420155"</f>
        <v>10420155</v>
      </c>
      <c r="F423" t="str">
        <f t="shared" si="30"/>
        <v>Affy 1.0 ST</v>
      </c>
      <c r="G423" t="str">
        <f>"MGI:1196314"</f>
        <v>MGI:1196314</v>
      </c>
      <c r="H423" t="str">
        <f>"Dhrs1"</f>
        <v>Dhrs1</v>
      </c>
      <c r="I423" t="str">
        <f>"dehydrogenase/reductase (SDR family) member 1"</f>
        <v>dehydrogenase/reductase (SDR family) member 1</v>
      </c>
      <c r="J423" t="str">
        <f>"protein coding gene"</f>
        <v>protein coding gene</v>
      </c>
    </row>
    <row r="424" spans="1:10">
      <c r="A424">
        <v>10560608</v>
      </c>
      <c r="B424">
        <v>1.72333592857197</v>
      </c>
      <c r="C424">
        <v>0.160522505939305</v>
      </c>
      <c r="E424" t="str">
        <f>"10560608"</f>
        <v>10560608</v>
      </c>
      <c r="F424" t="str">
        <f t="shared" si="30"/>
        <v>Affy 1.0 ST</v>
      </c>
      <c r="G424" t="str">
        <f>"MGI:88054"</f>
        <v>MGI:88054</v>
      </c>
      <c r="H424" t="str">
        <f>"Apoc2"</f>
        <v>Apoc2</v>
      </c>
      <c r="I424" t="str">
        <f>"apolipoprotein C-II"</f>
        <v>apolipoprotein C-II</v>
      </c>
      <c r="J424" t="str">
        <f>"protein coding gene"</f>
        <v>protein coding gene</v>
      </c>
    </row>
    <row r="425" spans="1:10">
      <c r="A425">
        <v>10547227</v>
      </c>
      <c r="B425">
        <v>1.71613144393998</v>
      </c>
      <c r="C425">
        <v>8.8463607059614202E-2</v>
      </c>
      <c r="E425" t="str">
        <f>"10547227"</f>
        <v>10547227</v>
      </c>
      <c r="F425" t="str">
        <f t="shared" si="30"/>
        <v>Affy 1.0 ST</v>
      </c>
      <c r="G425" t="str">
        <f>"MGI:97902"</f>
        <v>MGI:97902</v>
      </c>
      <c r="H425" t="str">
        <f>"Ret"</f>
        <v>Ret</v>
      </c>
      <c r="I425" t="str">
        <f>"ret proto-oncogene"</f>
        <v>ret proto-oncogene</v>
      </c>
      <c r="J425" t="str">
        <f>"protein coding gene"</f>
        <v>protein coding gene</v>
      </c>
    </row>
    <row r="426" spans="1:10">
      <c r="A426">
        <v>10378754</v>
      </c>
      <c r="B426">
        <v>1.7153106126947399</v>
      </c>
      <c r="C426">
        <v>0.14119693064375799</v>
      </c>
      <c r="E426" t="str">
        <f>"10378754"</f>
        <v>10378754</v>
      </c>
      <c r="F426" t="str">
        <f t="shared" si="30"/>
        <v>Affy 1.0 ST</v>
      </c>
      <c r="G426" t="str">
        <f>"MGI:2151840"</f>
        <v>MGI:2151840</v>
      </c>
      <c r="H426" t="str">
        <f>"Fam57a"</f>
        <v>Fam57a</v>
      </c>
      <c r="I426" t="s">
        <v>23</v>
      </c>
      <c r="J426" t="s">
        <v>71</v>
      </c>
    </row>
    <row r="427" spans="1:10">
      <c r="A427">
        <v>10503281</v>
      </c>
      <c r="B427">
        <v>1.71366084093166</v>
      </c>
      <c r="C427">
        <v>0.144637053602924</v>
      </c>
      <c r="E427" t="str">
        <f>"10503281"</f>
        <v>10503281</v>
      </c>
      <c r="F427" t="str">
        <f t="shared" si="30"/>
        <v>Affy 1.0 ST</v>
      </c>
      <c r="G427" t="str">
        <f>"MGI:3649777"</f>
        <v>MGI:3649777</v>
      </c>
      <c r="H427" t="str">
        <f>"Gm11821"</f>
        <v>Gm11821</v>
      </c>
      <c r="I427" t="str">
        <f>"predicted gene 11821"</f>
        <v>predicted gene 11821</v>
      </c>
      <c r="J427" t="str">
        <f>"pseudogene"</f>
        <v>pseudogene</v>
      </c>
    </row>
    <row r="428" spans="1:10">
      <c r="A428">
        <v>10542791</v>
      </c>
      <c r="B428">
        <v>1.70932853993832</v>
      </c>
      <c r="C428">
        <v>0.16127992779077099</v>
      </c>
      <c r="E428" t="str">
        <f>"10542791"</f>
        <v>10542791</v>
      </c>
      <c r="F428" t="str">
        <f t="shared" si="30"/>
        <v>Affy 1.0 ST</v>
      </c>
      <c r="G428" t="str">
        <f>"MGI:1914783"</f>
        <v>MGI:1914783</v>
      </c>
      <c r="H428" t="str">
        <f>"Ppfibp1"</f>
        <v>Ppfibp1</v>
      </c>
      <c r="I428" t="s">
        <v>24</v>
      </c>
      <c r="J428" t="s">
        <v>71</v>
      </c>
    </row>
    <row r="429" spans="1:10">
      <c r="A429">
        <v>10398885</v>
      </c>
      <c r="B429">
        <v>1.689872046396</v>
      </c>
      <c r="C429">
        <v>0.22361091942158001</v>
      </c>
      <c r="E429" t="str">
        <f>"10398885"</f>
        <v>10398885</v>
      </c>
      <c r="F429" t="str">
        <f t="shared" si="30"/>
        <v>Affy 1.0 ST</v>
      </c>
      <c r="G429" t="str">
        <f>"MGI:2145043"</f>
        <v>MGI:2145043</v>
      </c>
      <c r="H429" t="str">
        <f>"AW555464"</f>
        <v>AW555464</v>
      </c>
      <c r="I429" t="str">
        <f>"expressed sequence AW555464"</f>
        <v>expressed sequence AW555464</v>
      </c>
      <c r="J429" t="str">
        <f>"protein coding gene"</f>
        <v>protein coding gene</v>
      </c>
    </row>
    <row r="430" spans="1:10">
      <c r="A430">
        <v>10401673</v>
      </c>
      <c r="B430">
        <v>1.6894830903393301</v>
      </c>
      <c r="C430">
        <v>0.13633459544513399</v>
      </c>
      <c r="E430" t="str">
        <f>"10401673"</f>
        <v>10401673</v>
      </c>
      <c r="F430" t="str">
        <f t="shared" si="30"/>
        <v>Affy 1.0 ST</v>
      </c>
      <c r="G430" t="str">
        <f>"MGI:98727"</f>
        <v>MGI:98727</v>
      </c>
      <c r="H430" t="str">
        <f>"Tgfb3"</f>
        <v>Tgfb3</v>
      </c>
      <c r="I430" t="s">
        <v>25</v>
      </c>
      <c r="J430" t="s">
        <v>71</v>
      </c>
    </row>
    <row r="431" spans="1:10">
      <c r="A431">
        <v>10411690</v>
      </c>
      <c r="B431">
        <v>1.6883520140933701</v>
      </c>
      <c r="C431">
        <v>0.14943453653188599</v>
      </c>
      <c r="E431" t="str">
        <f>"10411690"</f>
        <v>10411690</v>
      </c>
      <c r="F431" t="str">
        <f t="shared" si="30"/>
        <v>Affy 1.0 ST</v>
      </c>
      <c r="G431" t="str">
        <f>"MGI:1333807"</f>
        <v>MGI:1333807</v>
      </c>
      <c r="H431" t="str">
        <f>"Rad17"</f>
        <v>Rad17</v>
      </c>
      <c r="I431" t="str">
        <f>"RAD17 homolog (S. pombe)"</f>
        <v>RAD17 homolog (S. pombe)</v>
      </c>
      <c r="J431" t="str">
        <f>"protein coding gene"</f>
        <v>protein coding gene</v>
      </c>
    </row>
    <row r="432" spans="1:10">
      <c r="A432">
        <v>10526133</v>
      </c>
      <c r="B432">
        <v>1.6868916999416901</v>
      </c>
      <c r="C432">
        <v>0.24068621263716899</v>
      </c>
      <c r="E432" t="str">
        <f>"10526133"</f>
        <v>10526133</v>
      </c>
      <c r="F432" t="str">
        <f t="shared" si="30"/>
        <v>Affy 1.0 ST</v>
      </c>
      <c r="G432" t="str">
        <f>"MGI:1929459"</f>
        <v>MGI:1929459</v>
      </c>
      <c r="H432" t="str">
        <f>"Rabgef1"</f>
        <v>Rabgef1</v>
      </c>
      <c r="I432" t="str">
        <f>"RAB guanine nucleotide exchange factor (GEF) 1"</f>
        <v>RAB guanine nucleotide exchange factor (GEF) 1</v>
      </c>
      <c r="J432" t="str">
        <f>"protein coding gene"</f>
        <v>protein coding gene</v>
      </c>
    </row>
    <row r="433" spans="1:10">
      <c r="A433">
        <v>10444320</v>
      </c>
      <c r="B433">
        <v>1.6863083441797699</v>
      </c>
      <c r="C433">
        <v>0.133975590337232</v>
      </c>
      <c r="E433" t="str">
        <f>"10444320"</f>
        <v>10444320</v>
      </c>
      <c r="F433" t="str">
        <f t="shared" si="30"/>
        <v>Affy 1.0 ST</v>
      </c>
      <c r="G433" t="str">
        <f>"MGI:1932027"</f>
        <v>MGI:1932027</v>
      </c>
      <c r="H433" t="str">
        <f>"Btnl3"</f>
        <v>Btnl3</v>
      </c>
      <c r="I433" t="str">
        <f>"butyrophilin-like 3"</f>
        <v>butyrophilin-like 3</v>
      </c>
      <c r="J433" t="str">
        <f>"protein coding gene"</f>
        <v>protein coding gene</v>
      </c>
    </row>
    <row r="434" spans="1:10">
      <c r="A434">
        <v>10338402</v>
      </c>
      <c r="B434">
        <v>1.6836908705586799</v>
      </c>
      <c r="C434">
        <v>6.9241331574095594E-2</v>
      </c>
      <c r="E434" t="str">
        <f>"10338402"</f>
        <v>10338402</v>
      </c>
      <c r="F434" t="str">
        <f>""</f>
        <v/>
      </c>
      <c r="G434" t="str">
        <f>"No associated gene"</f>
        <v>No associated gene</v>
      </c>
    </row>
    <row r="435" spans="1:10">
      <c r="A435">
        <v>10442211</v>
      </c>
      <c r="B435">
        <v>1.6829745194897801</v>
      </c>
      <c r="C435">
        <v>0.14125493634493799</v>
      </c>
      <c r="E435" t="str">
        <f>"10442211"</f>
        <v>10442211</v>
      </c>
      <c r="F435" t="str">
        <f t="shared" ref="F435:F445" si="31">"Affy 1.0 ST"</f>
        <v>Affy 1.0 ST</v>
      </c>
      <c r="G435" t="str">
        <f>"MGI:99200"</f>
        <v>MGI:99200</v>
      </c>
      <c r="H435" t="str">
        <f>"Zfp53"</f>
        <v>Zfp53</v>
      </c>
      <c r="I435" t="str">
        <f>"zinc finger protein 53"</f>
        <v>zinc finger protein 53</v>
      </c>
      <c r="J435" t="str">
        <f>"protein coding gene"</f>
        <v>protein coding gene</v>
      </c>
    </row>
    <row r="436" spans="1:10">
      <c r="A436">
        <v>10403934</v>
      </c>
      <c r="B436">
        <v>1.6756795965098601</v>
      </c>
      <c r="C436">
        <v>0.103032767068548</v>
      </c>
      <c r="E436" t="str">
        <f>"10403934"</f>
        <v>10403934</v>
      </c>
      <c r="F436" t="str">
        <f t="shared" si="31"/>
        <v>Affy 1.0 ST</v>
      </c>
      <c r="G436" t="str">
        <f>"MGI:1916296"</f>
        <v>MGI:1916296</v>
      </c>
      <c r="H436" t="str">
        <f>"Isca1"</f>
        <v>Isca1</v>
      </c>
      <c r="I436" t="str">
        <f>"iron-sulfur cluster assembly 1 homolog (S. cerevisiae)"</f>
        <v>iron-sulfur cluster assembly 1 homolog (S. cerevisiae)</v>
      </c>
      <c r="J436" t="str">
        <f>"protein coding gene"</f>
        <v>protein coding gene</v>
      </c>
    </row>
    <row r="437" spans="1:10">
      <c r="A437">
        <v>10460312</v>
      </c>
      <c r="B437">
        <v>1.6718103669259701</v>
      </c>
      <c r="C437">
        <v>0.123099295484923</v>
      </c>
      <c r="E437" t="str">
        <f>"10460312"</f>
        <v>10460312</v>
      </c>
      <c r="F437" t="str">
        <f t="shared" si="31"/>
        <v>Affy 1.0 ST</v>
      </c>
      <c r="G437" t="str">
        <f>"MGI:1098779"</f>
        <v>MGI:1098779</v>
      </c>
      <c r="H437" t="str">
        <f>"Cdk2ap2"</f>
        <v>Cdk2ap2</v>
      </c>
      <c r="I437" t="str">
        <f>"CDK2-associated protein 2"</f>
        <v>CDK2-associated protein 2</v>
      </c>
      <c r="J437" t="str">
        <f>"protein coding gene"</f>
        <v>protein coding gene</v>
      </c>
    </row>
    <row r="438" spans="1:10">
      <c r="A438">
        <v>10481474</v>
      </c>
      <c r="B438">
        <v>1.66957644566584</v>
      </c>
      <c r="C438">
        <v>0.16494515182764</v>
      </c>
      <c r="E438" t="str">
        <f>"10481474"</f>
        <v>10481474</v>
      </c>
      <c r="F438" t="str">
        <f t="shared" si="31"/>
        <v>Affy 1.0 ST</v>
      </c>
      <c r="G438" t="str">
        <f>"MGI:109501"</f>
        <v>MGI:109501</v>
      </c>
      <c r="H438" t="str">
        <f>"Crat"</f>
        <v>Crat</v>
      </c>
      <c r="I438" t="str">
        <f>"carnitine acetyltransferase"</f>
        <v>carnitine acetyltransferase</v>
      </c>
      <c r="J438" t="str">
        <f>"protein coding gene"</f>
        <v>protein coding gene</v>
      </c>
    </row>
    <row r="439" spans="1:10">
      <c r="A439">
        <v>10509049</v>
      </c>
      <c r="B439">
        <v>1.6659255034000799</v>
      </c>
      <c r="C439">
        <v>7.6395700610518397E-2</v>
      </c>
      <c r="E439" t="str">
        <f>"10509049"</f>
        <v>10509049</v>
      </c>
      <c r="F439" t="str">
        <f t="shared" si="31"/>
        <v>Affy 1.0 ST</v>
      </c>
      <c r="G439" t="str">
        <f>"MGI:1913597"</f>
        <v>MGI:1913597</v>
      </c>
      <c r="H439" t="str">
        <f>"1700029M20Rik"</f>
        <v>1700029M20Rik</v>
      </c>
      <c r="I439" t="str">
        <f>"RIKEN cDNA 1700029M20 gene"</f>
        <v>RIKEN cDNA 1700029M20 gene</v>
      </c>
      <c r="J439" t="str">
        <f>"unclassified gene"</f>
        <v>unclassified gene</v>
      </c>
    </row>
    <row r="440" spans="1:10">
      <c r="A440">
        <v>10493548</v>
      </c>
      <c r="B440">
        <v>1.66297563657016</v>
      </c>
      <c r="C440">
        <v>0.122607025034071</v>
      </c>
      <c r="E440" t="str">
        <f>"10493548"</f>
        <v>10493548</v>
      </c>
      <c r="F440" t="str">
        <f t="shared" si="31"/>
        <v>Affy 1.0 ST</v>
      </c>
      <c r="G440" t="str">
        <f>"MGI:1915853"</f>
        <v>MGI:1915853</v>
      </c>
      <c r="H440" t="str">
        <f>"Pmvk"</f>
        <v>Pmvk</v>
      </c>
      <c r="I440" t="str">
        <f>"phosphomevalonate kinase"</f>
        <v>phosphomevalonate kinase</v>
      </c>
      <c r="J440" t="str">
        <f t="shared" ref="J440:J445" si="32">"protein coding gene"</f>
        <v>protein coding gene</v>
      </c>
    </row>
    <row r="441" spans="1:10">
      <c r="A441">
        <v>10468275</v>
      </c>
      <c r="B441">
        <v>1.6624546255608399</v>
      </c>
      <c r="C441">
        <v>0.22651473062785901</v>
      </c>
      <c r="E441" t="str">
        <f>"10468275"</f>
        <v>10468275</v>
      </c>
      <c r="F441" t="str">
        <f t="shared" si="31"/>
        <v>Affy 1.0 ST</v>
      </c>
      <c r="G441" t="str">
        <f>"MGI:1918291"</f>
        <v>MGI:1918291</v>
      </c>
      <c r="H441" t="str">
        <f>"Pcgf6"</f>
        <v>Pcgf6</v>
      </c>
      <c r="I441" t="str">
        <f>"polycomb group ring finger 6"</f>
        <v>polycomb group ring finger 6</v>
      </c>
      <c r="J441" t="str">
        <f t="shared" si="32"/>
        <v>protein coding gene</v>
      </c>
    </row>
    <row r="442" spans="1:10">
      <c r="A442">
        <v>10546586</v>
      </c>
      <c r="B442">
        <v>1.6620389889565601</v>
      </c>
      <c r="C442">
        <v>0.168841047712838</v>
      </c>
      <c r="E442" t="str">
        <f>"10546586"</f>
        <v>10546586</v>
      </c>
      <c r="F442" t="str">
        <f t="shared" si="31"/>
        <v>Affy 1.0 ST</v>
      </c>
      <c r="G442" t="str">
        <f>"MGI:2684999"</f>
        <v>MGI:2684999</v>
      </c>
      <c r="H442" t="str">
        <f>"Tmf1"</f>
        <v>Tmf1</v>
      </c>
      <c r="I442" t="str">
        <f>"TATA element modulatory factor 1"</f>
        <v>TATA element modulatory factor 1</v>
      </c>
      <c r="J442" t="str">
        <f t="shared" si="32"/>
        <v>protein coding gene</v>
      </c>
    </row>
    <row r="443" spans="1:10">
      <c r="A443">
        <v>10572290</v>
      </c>
      <c r="B443">
        <v>1.6595161782844401</v>
      </c>
      <c r="C443">
        <v>6.3329105844984204E-2</v>
      </c>
      <c r="E443" t="str">
        <f>"10572290"</f>
        <v>10572290</v>
      </c>
      <c r="F443" t="str">
        <f t="shared" si="31"/>
        <v>Affy 1.0 ST</v>
      </c>
      <c r="G443" t="str">
        <f>"MGI:1922942"</f>
        <v>MGI:1922942</v>
      </c>
      <c r="H443" t="str">
        <f>"Nr2c2ap"</f>
        <v>Nr2c2ap</v>
      </c>
      <c r="I443" t="str">
        <f>"nuclear receptor 2C2-associated protein"</f>
        <v>nuclear receptor 2C2-associated protein</v>
      </c>
      <c r="J443" t="str">
        <f t="shared" si="32"/>
        <v>protein coding gene</v>
      </c>
    </row>
    <row r="444" spans="1:10">
      <c r="A444">
        <v>10353533</v>
      </c>
      <c r="B444">
        <v>1.64451071223607</v>
      </c>
      <c r="C444">
        <v>0.16894937444136099</v>
      </c>
      <c r="E444" t="str">
        <f>"10353533"</f>
        <v>10353533</v>
      </c>
      <c r="F444" t="str">
        <f t="shared" si="31"/>
        <v>Affy 1.0 ST</v>
      </c>
      <c r="G444" t="str">
        <f>"MGI:2138261"</f>
        <v>MGI:2138261</v>
      </c>
      <c r="H444" t="str">
        <f>"Smap1"</f>
        <v>Smap1</v>
      </c>
      <c r="I444" t="str">
        <f>"stromal membrane-associated protein 1"</f>
        <v>stromal membrane-associated protein 1</v>
      </c>
      <c r="J444" t="str">
        <f t="shared" si="32"/>
        <v>protein coding gene</v>
      </c>
    </row>
    <row r="445" spans="1:10">
      <c r="A445">
        <v>10606355</v>
      </c>
      <c r="B445">
        <v>1.6401007429732199</v>
      </c>
      <c r="C445">
        <v>4.6740771113502701E-2</v>
      </c>
      <c r="E445" t="str">
        <f>"10606355"</f>
        <v>10606355</v>
      </c>
      <c r="F445" t="str">
        <f t="shared" si="31"/>
        <v>Affy 1.0 ST</v>
      </c>
      <c r="G445" t="str">
        <f>"MGI:1926218"</f>
        <v>MGI:1926218</v>
      </c>
      <c r="H445" t="str">
        <f>"Cysltr1"</f>
        <v>Cysltr1</v>
      </c>
      <c r="I445" t="str">
        <f>"cysteinyl leukotriene receptor 1"</f>
        <v>cysteinyl leukotriene receptor 1</v>
      </c>
      <c r="J445" t="str">
        <f t="shared" si="32"/>
        <v>protein coding gene</v>
      </c>
    </row>
    <row r="446" spans="1:10">
      <c r="A446">
        <v>10342986</v>
      </c>
      <c r="B446">
        <v>1.6362324219033799</v>
      </c>
      <c r="C446">
        <v>0.12140292732626901</v>
      </c>
      <c r="E446" t="str">
        <f>"10342986"</f>
        <v>10342986</v>
      </c>
      <c r="F446" t="str">
        <f>""</f>
        <v/>
      </c>
      <c r="G446" t="str">
        <f>"No associated gene"</f>
        <v>No associated gene</v>
      </c>
    </row>
    <row r="447" spans="1:10">
      <c r="A447">
        <v>10341742</v>
      </c>
      <c r="B447">
        <v>1.6358865928408099</v>
      </c>
      <c r="C447">
        <v>0.12640582235106901</v>
      </c>
      <c r="E447" t="str">
        <f>"10341742"</f>
        <v>10341742</v>
      </c>
      <c r="F447" t="str">
        <f>""</f>
        <v/>
      </c>
      <c r="G447" t="str">
        <f>"No associated gene"</f>
        <v>No associated gene</v>
      </c>
    </row>
    <row r="448" spans="1:10">
      <c r="A448">
        <v>10467041</v>
      </c>
      <c r="B448">
        <v>1.61254602430674</v>
      </c>
      <c r="C448">
        <v>4.3709289417682401E-2</v>
      </c>
      <c r="E448" t="str">
        <f>"10467041"</f>
        <v>10467041</v>
      </c>
      <c r="F448" t="str">
        <f t="shared" ref="F448:F454" si="33">"Affy 1.0 ST"</f>
        <v>Affy 1.0 ST</v>
      </c>
      <c r="G448" t="str">
        <f>"MGI:1859310"</f>
        <v>MGI:1859310</v>
      </c>
      <c r="H448" t="str">
        <f>"Asah2"</f>
        <v>Asah2</v>
      </c>
      <c r="I448" t="str">
        <f>"N-acylsphingosine amidohydrolase 2"</f>
        <v>N-acylsphingosine amidohydrolase 2</v>
      </c>
      <c r="J448" t="str">
        <f>"protein coding gene"</f>
        <v>protein coding gene</v>
      </c>
    </row>
    <row r="449" spans="1:10">
      <c r="A449">
        <v>10468584</v>
      </c>
      <c r="B449">
        <v>1.6006395539645599</v>
      </c>
      <c r="C449">
        <v>8.3596069693244707E-2</v>
      </c>
      <c r="E449" t="str">
        <f>"10468584"</f>
        <v>10468584</v>
      </c>
      <c r="F449" t="str">
        <f t="shared" si="33"/>
        <v>Affy 1.0 ST</v>
      </c>
      <c r="G449" t="str">
        <f>"MGI:1914230"</f>
        <v>MGI:1914230</v>
      </c>
      <c r="H449" t="str">
        <f>"Zdhhc6"</f>
        <v>Zdhhc6</v>
      </c>
      <c r="I449" t="s">
        <v>26</v>
      </c>
      <c r="J449" t="s">
        <v>71</v>
      </c>
    </row>
    <row r="450" spans="1:10">
      <c r="A450">
        <v>10397752</v>
      </c>
      <c r="B450">
        <v>1.5932781948529</v>
      </c>
      <c r="C450">
        <v>0.15183133397933299</v>
      </c>
      <c r="E450" t="str">
        <f>"10397752"</f>
        <v>10397752</v>
      </c>
      <c r="F450" t="str">
        <f t="shared" si="33"/>
        <v>Affy 1.0 ST</v>
      </c>
      <c r="G450" t="str">
        <f>"MGI:88251"</f>
        <v>MGI:88251</v>
      </c>
      <c r="H450" t="str">
        <f>"Calm1"</f>
        <v>Calm1</v>
      </c>
      <c r="I450" t="str">
        <f>"calmodulin 1"</f>
        <v>calmodulin 1</v>
      </c>
      <c r="J450" t="str">
        <f>"protein coding gene"</f>
        <v>protein coding gene</v>
      </c>
    </row>
    <row r="451" spans="1:10">
      <c r="A451">
        <v>10486112</v>
      </c>
      <c r="B451">
        <v>1.58954262739466</v>
      </c>
      <c r="C451">
        <v>9.5239151917327999E-2</v>
      </c>
      <c r="E451" t="str">
        <f>"10486112"</f>
        <v>10486112</v>
      </c>
      <c r="F451" t="str">
        <f t="shared" si="33"/>
        <v>Affy 1.0 ST</v>
      </c>
      <c r="G451" t="str">
        <f>"MGI:2176433"</f>
        <v>MGI:2176433</v>
      </c>
      <c r="H451" t="str">
        <f>"Bmf"</f>
        <v>Bmf</v>
      </c>
      <c r="I451" t="str">
        <f>"BCL2 modifying factor"</f>
        <v>BCL2 modifying factor</v>
      </c>
      <c r="J451" t="str">
        <f>"protein coding gene"</f>
        <v>protein coding gene</v>
      </c>
    </row>
    <row r="452" spans="1:10">
      <c r="A452">
        <v>10418096</v>
      </c>
      <c r="B452">
        <v>1.5654950152161999</v>
      </c>
      <c r="C452">
        <v>5.8917851628880601E-2</v>
      </c>
      <c r="E452" t="str">
        <f>"10418096"</f>
        <v>10418096</v>
      </c>
      <c r="F452" t="str">
        <f t="shared" si="33"/>
        <v>Affy 1.0 ST</v>
      </c>
      <c r="G452" t="str">
        <f>"MGI:1918478"</f>
        <v>MGI:1918478</v>
      </c>
      <c r="H452" t="str">
        <f>"Dlg5"</f>
        <v>Dlg5</v>
      </c>
      <c r="I452" t="s">
        <v>27</v>
      </c>
      <c r="J452" t="s">
        <v>71</v>
      </c>
    </row>
    <row r="453" spans="1:10">
      <c r="A453">
        <v>10447065</v>
      </c>
      <c r="B453">
        <v>1.5624978128976099</v>
      </c>
      <c r="C453">
        <v>1.14869307031913E-2</v>
      </c>
      <c r="E453" t="str">
        <f>"10447065"</f>
        <v>10447065</v>
      </c>
      <c r="F453" t="str">
        <f t="shared" si="33"/>
        <v>Affy 1.0 ST</v>
      </c>
      <c r="G453" t="str">
        <f>"MGI:2147043"</f>
        <v>MGI:2147043</v>
      </c>
      <c r="H453" t="str">
        <f>"Fam82a1"</f>
        <v>Fam82a1</v>
      </c>
      <c r="I453" t="s">
        <v>28</v>
      </c>
      <c r="J453" t="s">
        <v>71</v>
      </c>
    </row>
    <row r="454" spans="1:10">
      <c r="A454">
        <v>10361669</v>
      </c>
      <c r="B454">
        <v>1.5359119516356099</v>
      </c>
      <c r="C454">
        <v>2.69724108451053E-2</v>
      </c>
      <c r="E454" t="str">
        <f>"10361669"</f>
        <v>10361669</v>
      </c>
      <c r="F454" t="str">
        <f t="shared" si="33"/>
        <v>Affy 1.0 ST</v>
      </c>
      <c r="G454" t="str">
        <f>"MGI:1344353"</f>
        <v>MGI:1344353</v>
      </c>
      <c r="H454" t="str">
        <f>"Katna1"</f>
        <v>Katna1</v>
      </c>
      <c r="I454" t="str">
        <f>"katanin p60 (ATPase-containing) subunit A1"</f>
        <v>katanin p60 (ATPase-containing) subunit A1</v>
      </c>
      <c r="J454" t="str">
        <f>"protein coding gene"</f>
        <v>protein coding gene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annoTimmAct-mzBcellvsGC-Bcell-u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Meehan</cp:lastModifiedBy>
  <dcterms:created xsi:type="dcterms:W3CDTF">2011-02-05T16:42:49Z</dcterms:created>
  <dcterms:modified xsi:type="dcterms:W3CDTF">2011-02-05T16:59:08Z</dcterms:modified>
</cp:coreProperties>
</file>