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7420" yWindow="8720" windowWidth="34400" windowHeight="21760" tabRatio="500"/>
  </bookViews>
  <sheets>
    <sheet name="actMature-mzBvsGCBcell-up-in-on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694" i="1"/>
  <c r="I694"/>
  <c r="H694"/>
  <c r="G694"/>
  <c r="F694"/>
  <c r="E694"/>
  <c r="J693"/>
  <c r="I693"/>
  <c r="H693"/>
  <c r="G693"/>
  <c r="F693"/>
  <c r="E693"/>
  <c r="J692"/>
  <c r="I692"/>
  <c r="H692"/>
  <c r="G692"/>
  <c r="F692"/>
  <c r="E692"/>
  <c r="J691"/>
  <c r="I691"/>
  <c r="H691"/>
  <c r="G691"/>
  <c r="F691"/>
  <c r="E691"/>
  <c r="J690"/>
  <c r="I690"/>
  <c r="H690"/>
  <c r="G690"/>
  <c r="F690"/>
  <c r="E690"/>
  <c r="J689"/>
  <c r="I689"/>
  <c r="H689"/>
  <c r="G689"/>
  <c r="F689"/>
  <c r="E689"/>
  <c r="J688"/>
  <c r="I688"/>
  <c r="H688"/>
  <c r="G688"/>
  <c r="F688"/>
  <c r="E688"/>
  <c r="J687"/>
  <c r="I687"/>
  <c r="H687"/>
  <c r="G687"/>
  <c r="F687"/>
  <c r="E687"/>
  <c r="J686"/>
  <c r="I686"/>
  <c r="H686"/>
  <c r="G686"/>
  <c r="F686"/>
  <c r="E686"/>
  <c r="J685"/>
  <c r="I685"/>
  <c r="H685"/>
  <c r="G685"/>
  <c r="F685"/>
  <c r="E685"/>
  <c r="J684"/>
  <c r="I684"/>
  <c r="H684"/>
  <c r="G684"/>
  <c r="F684"/>
  <c r="E684"/>
  <c r="J683"/>
  <c r="I683"/>
  <c r="H683"/>
  <c r="G683"/>
  <c r="F683"/>
  <c r="E683"/>
  <c r="J682"/>
  <c r="I682"/>
  <c r="H682"/>
  <c r="G682"/>
  <c r="F682"/>
  <c r="E682"/>
  <c r="H681"/>
  <c r="G681"/>
  <c r="F681"/>
  <c r="E681"/>
  <c r="H680"/>
  <c r="G680"/>
  <c r="F680"/>
  <c r="E680"/>
  <c r="J679"/>
  <c r="I679"/>
  <c r="H679"/>
  <c r="G679"/>
  <c r="F679"/>
  <c r="E679"/>
  <c r="J678"/>
  <c r="I678"/>
  <c r="H678"/>
  <c r="G678"/>
  <c r="F678"/>
  <c r="E678"/>
  <c r="H677"/>
  <c r="G677"/>
  <c r="F677"/>
  <c r="E677"/>
  <c r="J676"/>
  <c r="I676"/>
  <c r="H676"/>
  <c r="G676"/>
  <c r="F676"/>
  <c r="E676"/>
  <c r="H675"/>
  <c r="G675"/>
  <c r="F675"/>
  <c r="E675"/>
  <c r="J674"/>
  <c r="I674"/>
  <c r="H674"/>
  <c r="G674"/>
  <c r="F674"/>
  <c r="E674"/>
  <c r="J673"/>
  <c r="I673"/>
  <c r="H673"/>
  <c r="G673"/>
  <c r="F673"/>
  <c r="E673"/>
  <c r="J672"/>
  <c r="I672"/>
  <c r="H672"/>
  <c r="G672"/>
  <c r="F672"/>
  <c r="E672"/>
  <c r="H671"/>
  <c r="G671"/>
  <c r="F671"/>
  <c r="E671"/>
  <c r="H670"/>
  <c r="G670"/>
  <c r="F670"/>
  <c r="E670"/>
  <c r="J669"/>
  <c r="I669"/>
  <c r="H669"/>
  <c r="G669"/>
  <c r="F669"/>
  <c r="E669"/>
  <c r="J668"/>
  <c r="I668"/>
  <c r="H668"/>
  <c r="G668"/>
  <c r="F668"/>
  <c r="E668"/>
  <c r="J667"/>
  <c r="I667"/>
  <c r="H667"/>
  <c r="G667"/>
  <c r="F667"/>
  <c r="E667"/>
  <c r="J666"/>
  <c r="I666"/>
  <c r="H666"/>
  <c r="G666"/>
  <c r="F666"/>
  <c r="E666"/>
  <c r="J665"/>
  <c r="I665"/>
  <c r="H665"/>
  <c r="G665"/>
  <c r="F665"/>
  <c r="E665"/>
  <c r="J664"/>
  <c r="I664"/>
  <c r="H664"/>
  <c r="G664"/>
  <c r="F664"/>
  <c r="E664"/>
  <c r="J663"/>
  <c r="I663"/>
  <c r="H663"/>
  <c r="G663"/>
  <c r="F663"/>
  <c r="E663"/>
  <c r="H662"/>
  <c r="G662"/>
  <c r="F662"/>
  <c r="E662"/>
  <c r="J661"/>
  <c r="I661"/>
  <c r="H661"/>
  <c r="G661"/>
  <c r="F661"/>
  <c r="E661"/>
  <c r="J660"/>
  <c r="I660"/>
  <c r="H660"/>
  <c r="G660"/>
  <c r="F660"/>
  <c r="E660"/>
  <c r="H659"/>
  <c r="G659"/>
  <c r="F659"/>
  <c r="E659"/>
  <c r="J658"/>
  <c r="I658"/>
  <c r="H658"/>
  <c r="G658"/>
  <c r="F658"/>
  <c r="E658"/>
  <c r="H657"/>
  <c r="G657"/>
  <c r="F657"/>
  <c r="E657"/>
  <c r="H656"/>
  <c r="G656"/>
  <c r="F656"/>
  <c r="E656"/>
  <c r="J655"/>
  <c r="I655"/>
  <c r="H655"/>
  <c r="G655"/>
  <c r="F655"/>
  <c r="E655"/>
  <c r="H654"/>
  <c r="G654"/>
  <c r="F654"/>
  <c r="E654"/>
  <c r="G653"/>
  <c r="F653"/>
  <c r="E653"/>
  <c r="G652"/>
  <c r="F652"/>
  <c r="E652"/>
  <c r="J651"/>
  <c r="I651"/>
  <c r="H651"/>
  <c r="G651"/>
  <c r="F651"/>
  <c r="E651"/>
  <c r="J650"/>
  <c r="I650"/>
  <c r="H650"/>
  <c r="G650"/>
  <c r="F650"/>
  <c r="E650"/>
  <c r="H649"/>
  <c r="G649"/>
  <c r="F649"/>
  <c r="E649"/>
  <c r="J648"/>
  <c r="I648"/>
  <c r="H648"/>
  <c r="G648"/>
  <c r="F648"/>
  <c r="E648"/>
  <c r="G647"/>
  <c r="F647"/>
  <c r="E647"/>
  <c r="H646"/>
  <c r="G646"/>
  <c r="F646"/>
  <c r="E646"/>
  <c r="J645"/>
  <c r="I645"/>
  <c r="H645"/>
  <c r="G645"/>
  <c r="F645"/>
  <c r="E645"/>
  <c r="J644"/>
  <c r="I644"/>
  <c r="H644"/>
  <c r="G644"/>
  <c r="F644"/>
  <c r="E644"/>
  <c r="J643"/>
  <c r="I643"/>
  <c r="H643"/>
  <c r="G643"/>
  <c r="F643"/>
  <c r="E643"/>
  <c r="J642"/>
  <c r="I642"/>
  <c r="H642"/>
  <c r="G642"/>
  <c r="F642"/>
  <c r="E642"/>
  <c r="J641"/>
  <c r="I641"/>
  <c r="H641"/>
  <c r="G641"/>
  <c r="F641"/>
  <c r="E641"/>
  <c r="J640"/>
  <c r="I640"/>
  <c r="H640"/>
  <c r="G640"/>
  <c r="F640"/>
  <c r="E640"/>
  <c r="J639"/>
  <c r="I639"/>
  <c r="H639"/>
  <c r="G639"/>
  <c r="F639"/>
  <c r="E639"/>
  <c r="J638"/>
  <c r="I638"/>
  <c r="H638"/>
  <c r="G638"/>
  <c r="F638"/>
  <c r="E638"/>
  <c r="J637"/>
  <c r="I637"/>
  <c r="H637"/>
  <c r="G637"/>
  <c r="F637"/>
  <c r="E637"/>
  <c r="J636"/>
  <c r="I636"/>
  <c r="H636"/>
  <c r="G636"/>
  <c r="F636"/>
  <c r="E636"/>
  <c r="J635"/>
  <c r="I635"/>
  <c r="H635"/>
  <c r="G635"/>
  <c r="F635"/>
  <c r="E635"/>
  <c r="J634"/>
  <c r="I634"/>
  <c r="H634"/>
  <c r="G634"/>
  <c r="F634"/>
  <c r="E634"/>
  <c r="J633"/>
  <c r="I633"/>
  <c r="H633"/>
  <c r="G633"/>
  <c r="F633"/>
  <c r="E633"/>
  <c r="J632"/>
  <c r="I632"/>
  <c r="H632"/>
  <c r="G632"/>
  <c r="F632"/>
  <c r="E632"/>
  <c r="G631"/>
  <c r="F631"/>
  <c r="E631"/>
  <c r="J630"/>
  <c r="I630"/>
  <c r="H630"/>
  <c r="G630"/>
  <c r="F630"/>
  <c r="E630"/>
  <c r="J629"/>
  <c r="I629"/>
  <c r="H629"/>
  <c r="G629"/>
  <c r="F629"/>
  <c r="E629"/>
  <c r="J628"/>
  <c r="I628"/>
  <c r="H628"/>
  <c r="G628"/>
  <c r="F628"/>
  <c r="E628"/>
  <c r="J627"/>
  <c r="I627"/>
  <c r="H627"/>
  <c r="G627"/>
  <c r="F627"/>
  <c r="E627"/>
  <c r="J626"/>
  <c r="I626"/>
  <c r="H626"/>
  <c r="G626"/>
  <c r="F626"/>
  <c r="E626"/>
  <c r="J625"/>
  <c r="I625"/>
  <c r="H625"/>
  <c r="G625"/>
  <c r="F625"/>
  <c r="E625"/>
  <c r="G624"/>
  <c r="F624"/>
  <c r="E624"/>
  <c r="J623"/>
  <c r="I623"/>
  <c r="H623"/>
  <c r="G623"/>
  <c r="F623"/>
  <c r="E623"/>
  <c r="H622"/>
  <c r="G622"/>
  <c r="F622"/>
  <c r="E622"/>
  <c r="J621"/>
  <c r="I621"/>
  <c r="H621"/>
  <c r="G621"/>
  <c r="F621"/>
  <c r="E621"/>
  <c r="G620"/>
  <c r="F620"/>
  <c r="E620"/>
  <c r="J619"/>
  <c r="I619"/>
  <c r="H619"/>
  <c r="G619"/>
  <c r="F619"/>
  <c r="E619"/>
  <c r="H618"/>
  <c r="G618"/>
  <c r="F618"/>
  <c r="E618"/>
  <c r="J617"/>
  <c r="I617"/>
  <c r="H617"/>
  <c r="G617"/>
  <c r="F617"/>
  <c r="E617"/>
  <c r="H616"/>
  <c r="G616"/>
  <c r="F616"/>
  <c r="E616"/>
  <c r="J615"/>
  <c r="I615"/>
  <c r="H615"/>
  <c r="G615"/>
  <c r="F615"/>
  <c r="E615"/>
  <c r="G614"/>
  <c r="F614"/>
  <c r="E614"/>
  <c r="J613"/>
  <c r="I613"/>
  <c r="H613"/>
  <c r="G613"/>
  <c r="F613"/>
  <c r="E613"/>
  <c r="J612"/>
  <c r="I612"/>
  <c r="H612"/>
  <c r="G612"/>
  <c r="F612"/>
  <c r="E612"/>
  <c r="J611"/>
  <c r="I611"/>
  <c r="H611"/>
  <c r="G611"/>
  <c r="F611"/>
  <c r="E611"/>
  <c r="J610"/>
  <c r="I610"/>
  <c r="H610"/>
  <c r="G610"/>
  <c r="F610"/>
  <c r="E610"/>
  <c r="J609"/>
  <c r="I609"/>
  <c r="H609"/>
  <c r="G609"/>
  <c r="F609"/>
  <c r="E609"/>
  <c r="J608"/>
  <c r="I608"/>
  <c r="H608"/>
  <c r="G608"/>
  <c r="F608"/>
  <c r="E608"/>
  <c r="H607"/>
  <c r="G607"/>
  <c r="F607"/>
  <c r="E607"/>
  <c r="J606"/>
  <c r="I606"/>
  <c r="H606"/>
  <c r="G606"/>
  <c r="F606"/>
  <c r="E606"/>
  <c r="G605"/>
  <c r="F605"/>
  <c r="E605"/>
  <c r="J604"/>
  <c r="I604"/>
  <c r="H604"/>
  <c r="G604"/>
  <c r="F604"/>
  <c r="E604"/>
  <c r="J603"/>
  <c r="I603"/>
  <c r="H603"/>
  <c r="G603"/>
  <c r="F603"/>
  <c r="E603"/>
  <c r="J602"/>
  <c r="I602"/>
  <c r="H602"/>
  <c r="G602"/>
  <c r="F602"/>
  <c r="E602"/>
  <c r="J601"/>
  <c r="I601"/>
  <c r="H601"/>
  <c r="G601"/>
  <c r="F601"/>
  <c r="E601"/>
  <c r="J600"/>
  <c r="I600"/>
  <c r="H600"/>
  <c r="G600"/>
  <c r="F600"/>
  <c r="E600"/>
  <c r="J599"/>
  <c r="I599"/>
  <c r="H599"/>
  <c r="G599"/>
  <c r="F599"/>
  <c r="E599"/>
  <c r="J598"/>
  <c r="I598"/>
  <c r="H598"/>
  <c r="G598"/>
  <c r="F598"/>
  <c r="E598"/>
  <c r="J597"/>
  <c r="I597"/>
  <c r="H597"/>
  <c r="G597"/>
  <c r="F597"/>
  <c r="E597"/>
  <c r="J596"/>
  <c r="I596"/>
  <c r="H596"/>
  <c r="G596"/>
  <c r="F596"/>
  <c r="E596"/>
  <c r="H595"/>
  <c r="G595"/>
  <c r="F595"/>
  <c r="E595"/>
  <c r="J594"/>
  <c r="I594"/>
  <c r="H594"/>
  <c r="G594"/>
  <c r="F594"/>
  <c r="E594"/>
  <c r="J593"/>
  <c r="I593"/>
  <c r="H593"/>
  <c r="G593"/>
  <c r="F593"/>
  <c r="E593"/>
  <c r="J592"/>
  <c r="I592"/>
  <c r="H592"/>
  <c r="G592"/>
  <c r="F592"/>
  <c r="E592"/>
  <c r="J591"/>
  <c r="I591"/>
  <c r="H591"/>
  <c r="G591"/>
  <c r="F591"/>
  <c r="E591"/>
  <c r="J590"/>
  <c r="I590"/>
  <c r="H590"/>
  <c r="G590"/>
  <c r="F590"/>
  <c r="E590"/>
  <c r="J589"/>
  <c r="I589"/>
  <c r="H589"/>
  <c r="G589"/>
  <c r="F589"/>
  <c r="E589"/>
  <c r="H588"/>
  <c r="G588"/>
  <c r="F588"/>
  <c r="E588"/>
  <c r="G587"/>
  <c r="F587"/>
  <c r="E587"/>
  <c r="J586"/>
  <c r="I586"/>
  <c r="H586"/>
  <c r="G586"/>
  <c r="F586"/>
  <c r="E586"/>
  <c r="J585"/>
  <c r="I585"/>
  <c r="H585"/>
  <c r="G585"/>
  <c r="F585"/>
  <c r="E585"/>
  <c r="J584"/>
  <c r="I584"/>
  <c r="H584"/>
  <c r="G584"/>
  <c r="F584"/>
  <c r="E584"/>
  <c r="J583"/>
  <c r="I583"/>
  <c r="H583"/>
  <c r="G583"/>
  <c r="F583"/>
  <c r="E583"/>
  <c r="G582"/>
  <c r="F582"/>
  <c r="E582"/>
  <c r="J581"/>
  <c r="I581"/>
  <c r="H581"/>
  <c r="G581"/>
  <c r="F581"/>
  <c r="E581"/>
  <c r="J580"/>
  <c r="I580"/>
  <c r="H580"/>
  <c r="G580"/>
  <c r="F580"/>
  <c r="E580"/>
  <c r="H579"/>
  <c r="G579"/>
  <c r="F579"/>
  <c r="E579"/>
  <c r="J578"/>
  <c r="I578"/>
  <c r="H578"/>
  <c r="G578"/>
  <c r="F578"/>
  <c r="E578"/>
  <c r="J577"/>
  <c r="I577"/>
  <c r="H577"/>
  <c r="G577"/>
  <c r="F577"/>
  <c r="E577"/>
  <c r="J576"/>
  <c r="I576"/>
  <c r="H576"/>
  <c r="G576"/>
  <c r="F576"/>
  <c r="E576"/>
  <c r="J575"/>
  <c r="I575"/>
  <c r="H575"/>
  <c r="G575"/>
  <c r="F575"/>
  <c r="E575"/>
  <c r="J574"/>
  <c r="I574"/>
  <c r="H574"/>
  <c r="G574"/>
  <c r="F574"/>
  <c r="E574"/>
  <c r="G573"/>
  <c r="F573"/>
  <c r="E573"/>
  <c r="J572"/>
  <c r="I572"/>
  <c r="H572"/>
  <c r="G572"/>
  <c r="F572"/>
  <c r="E572"/>
  <c r="J571"/>
  <c r="I571"/>
  <c r="H571"/>
  <c r="G571"/>
  <c r="F571"/>
  <c r="E571"/>
  <c r="J570"/>
  <c r="I570"/>
  <c r="H570"/>
  <c r="G570"/>
  <c r="F570"/>
  <c r="E570"/>
  <c r="G569"/>
  <c r="F569"/>
  <c r="E569"/>
  <c r="H568"/>
  <c r="G568"/>
  <c r="F568"/>
  <c r="E568"/>
  <c r="J567"/>
  <c r="I567"/>
  <c r="H567"/>
  <c r="G567"/>
  <c r="F567"/>
  <c r="E567"/>
  <c r="J566"/>
  <c r="I566"/>
  <c r="H566"/>
  <c r="G566"/>
  <c r="F566"/>
  <c r="E566"/>
  <c r="H565"/>
  <c r="G565"/>
  <c r="F565"/>
  <c r="E565"/>
  <c r="J564"/>
  <c r="I564"/>
  <c r="H564"/>
  <c r="G564"/>
  <c r="F564"/>
  <c r="E564"/>
  <c r="H563"/>
  <c r="G563"/>
  <c r="F563"/>
  <c r="E563"/>
  <c r="G562"/>
  <c r="F562"/>
  <c r="E562"/>
  <c r="J561"/>
  <c r="I561"/>
  <c r="H561"/>
  <c r="G561"/>
  <c r="F561"/>
  <c r="E561"/>
  <c r="J560"/>
  <c r="I560"/>
  <c r="H560"/>
  <c r="G560"/>
  <c r="F560"/>
  <c r="E560"/>
  <c r="J559"/>
  <c r="I559"/>
  <c r="H559"/>
  <c r="G559"/>
  <c r="F559"/>
  <c r="E559"/>
  <c r="J558"/>
  <c r="I558"/>
  <c r="H558"/>
  <c r="G558"/>
  <c r="F558"/>
  <c r="E558"/>
  <c r="H557"/>
  <c r="G557"/>
  <c r="F557"/>
  <c r="E557"/>
  <c r="G556"/>
  <c r="F556"/>
  <c r="E556"/>
  <c r="J555"/>
  <c r="I555"/>
  <c r="H555"/>
  <c r="G555"/>
  <c r="F555"/>
  <c r="E555"/>
  <c r="G554"/>
  <c r="F554"/>
  <c r="E554"/>
  <c r="J553"/>
  <c r="I553"/>
  <c r="H553"/>
  <c r="G553"/>
  <c r="F553"/>
  <c r="E553"/>
  <c r="J552"/>
  <c r="I552"/>
  <c r="H552"/>
  <c r="G552"/>
  <c r="F552"/>
  <c r="E552"/>
  <c r="H551"/>
  <c r="G551"/>
  <c r="F551"/>
  <c r="E551"/>
  <c r="J550"/>
  <c r="I550"/>
  <c r="H550"/>
  <c r="G550"/>
  <c r="F550"/>
  <c r="E550"/>
  <c r="J549"/>
  <c r="I549"/>
  <c r="H549"/>
  <c r="G549"/>
  <c r="F549"/>
  <c r="E549"/>
  <c r="J548"/>
  <c r="I548"/>
  <c r="H548"/>
  <c r="G548"/>
  <c r="F548"/>
  <c r="E548"/>
  <c r="H547"/>
  <c r="G547"/>
  <c r="F547"/>
  <c r="E547"/>
  <c r="J546"/>
  <c r="I546"/>
  <c r="H546"/>
  <c r="G546"/>
  <c r="F546"/>
  <c r="E546"/>
  <c r="J545"/>
  <c r="I545"/>
  <c r="H545"/>
  <c r="G545"/>
  <c r="F545"/>
  <c r="E545"/>
  <c r="J544"/>
  <c r="I544"/>
  <c r="H544"/>
  <c r="G544"/>
  <c r="F544"/>
  <c r="E544"/>
  <c r="J543"/>
  <c r="I543"/>
  <c r="H543"/>
  <c r="G543"/>
  <c r="F543"/>
  <c r="E543"/>
  <c r="J542"/>
  <c r="I542"/>
  <c r="H542"/>
  <c r="G542"/>
  <c r="F542"/>
  <c r="E542"/>
  <c r="H541"/>
  <c r="G541"/>
  <c r="F541"/>
  <c r="E541"/>
  <c r="H540"/>
  <c r="G540"/>
  <c r="F540"/>
  <c r="E540"/>
  <c r="J539"/>
  <c r="I539"/>
  <c r="H539"/>
  <c r="G539"/>
  <c r="F539"/>
  <c r="E539"/>
  <c r="H538"/>
  <c r="G538"/>
  <c r="F538"/>
  <c r="E538"/>
  <c r="J537"/>
  <c r="I537"/>
  <c r="H537"/>
  <c r="G537"/>
  <c r="F537"/>
  <c r="E537"/>
  <c r="J536"/>
  <c r="I536"/>
  <c r="H536"/>
  <c r="G536"/>
  <c r="F536"/>
  <c r="E536"/>
  <c r="J535"/>
  <c r="I535"/>
  <c r="H535"/>
  <c r="G535"/>
  <c r="F535"/>
  <c r="E535"/>
  <c r="J534"/>
  <c r="I534"/>
  <c r="H534"/>
  <c r="G534"/>
  <c r="F534"/>
  <c r="E534"/>
  <c r="J533"/>
  <c r="I533"/>
  <c r="H533"/>
  <c r="G533"/>
  <c r="F533"/>
  <c r="E533"/>
  <c r="J532"/>
  <c r="I532"/>
  <c r="H532"/>
  <c r="G532"/>
  <c r="F532"/>
  <c r="E532"/>
  <c r="J531"/>
  <c r="I531"/>
  <c r="H531"/>
  <c r="G531"/>
  <c r="F531"/>
  <c r="E531"/>
  <c r="J530"/>
  <c r="I530"/>
  <c r="H530"/>
  <c r="G530"/>
  <c r="F530"/>
  <c r="E530"/>
  <c r="J529"/>
  <c r="I529"/>
  <c r="H529"/>
  <c r="G529"/>
  <c r="F529"/>
  <c r="E529"/>
  <c r="J528"/>
  <c r="I528"/>
  <c r="H528"/>
  <c r="G528"/>
  <c r="F528"/>
  <c r="E528"/>
  <c r="J527"/>
  <c r="I527"/>
  <c r="H527"/>
  <c r="G527"/>
  <c r="F527"/>
  <c r="E527"/>
  <c r="J526"/>
  <c r="I526"/>
  <c r="H526"/>
  <c r="G526"/>
  <c r="F526"/>
  <c r="E526"/>
  <c r="J525"/>
  <c r="I525"/>
  <c r="H525"/>
  <c r="G525"/>
  <c r="F525"/>
  <c r="E525"/>
  <c r="J524"/>
  <c r="I524"/>
  <c r="H524"/>
  <c r="G524"/>
  <c r="F524"/>
  <c r="E524"/>
  <c r="J523"/>
  <c r="I523"/>
  <c r="H523"/>
  <c r="G523"/>
  <c r="F523"/>
  <c r="E523"/>
  <c r="J522"/>
  <c r="I522"/>
  <c r="H522"/>
  <c r="G522"/>
  <c r="F522"/>
  <c r="E522"/>
  <c r="H521"/>
  <c r="G521"/>
  <c r="F521"/>
  <c r="E521"/>
  <c r="J520"/>
  <c r="I520"/>
  <c r="H520"/>
  <c r="G520"/>
  <c r="F520"/>
  <c r="E520"/>
  <c r="J519"/>
  <c r="I519"/>
  <c r="H519"/>
  <c r="G519"/>
  <c r="F519"/>
  <c r="E519"/>
  <c r="J518"/>
  <c r="I518"/>
  <c r="H518"/>
  <c r="G518"/>
  <c r="F518"/>
  <c r="E518"/>
  <c r="H517"/>
  <c r="G517"/>
  <c r="F517"/>
  <c r="E517"/>
  <c r="H516"/>
  <c r="G516"/>
  <c r="F516"/>
  <c r="E516"/>
  <c r="J515"/>
  <c r="I515"/>
  <c r="H515"/>
  <c r="G515"/>
  <c r="F515"/>
  <c r="E515"/>
  <c r="H514"/>
  <c r="G514"/>
  <c r="F514"/>
  <c r="E514"/>
  <c r="J513"/>
  <c r="I513"/>
  <c r="H513"/>
  <c r="G513"/>
  <c r="F513"/>
  <c r="E513"/>
  <c r="H512"/>
  <c r="G512"/>
  <c r="F512"/>
  <c r="E512"/>
  <c r="J511"/>
  <c r="I511"/>
  <c r="H511"/>
  <c r="G511"/>
  <c r="F511"/>
  <c r="E511"/>
  <c r="J510"/>
  <c r="I510"/>
  <c r="H510"/>
  <c r="G510"/>
  <c r="F510"/>
  <c r="E510"/>
  <c r="J509"/>
  <c r="I509"/>
  <c r="H509"/>
  <c r="G509"/>
  <c r="F509"/>
  <c r="E509"/>
  <c r="J508"/>
  <c r="I508"/>
  <c r="H508"/>
  <c r="G508"/>
  <c r="F508"/>
  <c r="E508"/>
  <c r="J507"/>
  <c r="I507"/>
  <c r="H507"/>
  <c r="G507"/>
  <c r="F507"/>
  <c r="E507"/>
  <c r="H506"/>
  <c r="G506"/>
  <c r="F506"/>
  <c r="E506"/>
  <c r="J505"/>
  <c r="I505"/>
  <c r="H505"/>
  <c r="G505"/>
  <c r="F505"/>
  <c r="E505"/>
  <c r="J504"/>
  <c r="I504"/>
  <c r="H504"/>
  <c r="G504"/>
  <c r="F504"/>
  <c r="E504"/>
  <c r="J503"/>
  <c r="I503"/>
  <c r="H503"/>
  <c r="G503"/>
  <c r="F503"/>
  <c r="E503"/>
  <c r="J502"/>
  <c r="I502"/>
  <c r="H502"/>
  <c r="G502"/>
  <c r="F502"/>
  <c r="E502"/>
  <c r="H501"/>
  <c r="G501"/>
  <c r="F501"/>
  <c r="E501"/>
  <c r="G500"/>
  <c r="F500"/>
  <c r="E500"/>
  <c r="J499"/>
  <c r="I499"/>
  <c r="H499"/>
  <c r="G499"/>
  <c r="F499"/>
  <c r="E499"/>
  <c r="J498"/>
  <c r="I498"/>
  <c r="H498"/>
  <c r="G498"/>
  <c r="F498"/>
  <c r="E498"/>
  <c r="J497"/>
  <c r="I497"/>
  <c r="H497"/>
  <c r="G497"/>
  <c r="F497"/>
  <c r="E497"/>
  <c r="J496"/>
  <c r="I496"/>
  <c r="H496"/>
  <c r="G496"/>
  <c r="F496"/>
  <c r="E496"/>
  <c r="J495"/>
  <c r="I495"/>
  <c r="H495"/>
  <c r="G495"/>
  <c r="F495"/>
  <c r="E495"/>
  <c r="G494"/>
  <c r="F494"/>
  <c r="E494"/>
  <c r="J493"/>
  <c r="I493"/>
  <c r="H493"/>
  <c r="G493"/>
  <c r="F493"/>
  <c r="E493"/>
  <c r="J492"/>
  <c r="I492"/>
  <c r="H492"/>
  <c r="G492"/>
  <c r="F492"/>
  <c r="E492"/>
  <c r="H491"/>
  <c r="G491"/>
  <c r="F491"/>
  <c r="E491"/>
  <c r="J490"/>
  <c r="I490"/>
  <c r="H490"/>
  <c r="G490"/>
  <c r="F490"/>
  <c r="E490"/>
  <c r="H489"/>
  <c r="G489"/>
  <c r="F489"/>
  <c r="E489"/>
  <c r="G488"/>
  <c r="F488"/>
  <c r="E488"/>
  <c r="J487"/>
  <c r="I487"/>
  <c r="H487"/>
  <c r="G487"/>
  <c r="F487"/>
  <c r="E487"/>
  <c r="H486"/>
  <c r="G486"/>
  <c r="F486"/>
  <c r="E486"/>
  <c r="H485"/>
  <c r="G485"/>
  <c r="F485"/>
  <c r="E485"/>
  <c r="H484"/>
  <c r="G484"/>
  <c r="F484"/>
  <c r="E484"/>
  <c r="J483"/>
  <c r="I483"/>
  <c r="H483"/>
  <c r="G483"/>
  <c r="F483"/>
  <c r="E483"/>
  <c r="J482"/>
  <c r="I482"/>
  <c r="H482"/>
  <c r="G482"/>
  <c r="F482"/>
  <c r="E482"/>
  <c r="H481"/>
  <c r="G481"/>
  <c r="F481"/>
  <c r="E481"/>
  <c r="J480"/>
  <c r="I480"/>
  <c r="H480"/>
  <c r="G480"/>
  <c r="F480"/>
  <c r="E480"/>
  <c r="J479"/>
  <c r="I479"/>
  <c r="H479"/>
  <c r="G479"/>
  <c r="F479"/>
  <c r="E479"/>
  <c r="J478"/>
  <c r="I478"/>
  <c r="H478"/>
  <c r="G478"/>
  <c r="F478"/>
  <c r="E478"/>
  <c r="J477"/>
  <c r="I477"/>
  <c r="H477"/>
  <c r="G477"/>
  <c r="F477"/>
  <c r="E477"/>
  <c r="H476"/>
  <c r="G476"/>
  <c r="F476"/>
  <c r="E476"/>
  <c r="J475"/>
  <c r="I475"/>
  <c r="H475"/>
  <c r="G475"/>
  <c r="F475"/>
  <c r="E475"/>
  <c r="J474"/>
  <c r="I474"/>
  <c r="H474"/>
  <c r="G474"/>
  <c r="F474"/>
  <c r="E474"/>
  <c r="J473"/>
  <c r="I473"/>
  <c r="H473"/>
  <c r="G473"/>
  <c r="F473"/>
  <c r="E473"/>
  <c r="J472"/>
  <c r="I472"/>
  <c r="H472"/>
  <c r="G472"/>
  <c r="F472"/>
  <c r="E472"/>
  <c r="J471"/>
  <c r="I471"/>
  <c r="H471"/>
  <c r="G471"/>
  <c r="F471"/>
  <c r="E471"/>
  <c r="J470"/>
  <c r="I470"/>
  <c r="H470"/>
  <c r="G470"/>
  <c r="F470"/>
  <c r="E470"/>
  <c r="J469"/>
  <c r="I469"/>
  <c r="H469"/>
  <c r="G469"/>
  <c r="F469"/>
  <c r="E469"/>
  <c r="J468"/>
  <c r="I468"/>
  <c r="H468"/>
  <c r="G468"/>
  <c r="F468"/>
  <c r="E468"/>
  <c r="J467"/>
  <c r="I467"/>
  <c r="H467"/>
  <c r="G467"/>
  <c r="F467"/>
  <c r="E467"/>
  <c r="J466"/>
  <c r="I466"/>
  <c r="H466"/>
  <c r="G466"/>
  <c r="F466"/>
  <c r="E466"/>
  <c r="J465"/>
  <c r="I465"/>
  <c r="H465"/>
  <c r="G465"/>
  <c r="F465"/>
  <c r="E465"/>
  <c r="J464"/>
  <c r="I464"/>
  <c r="H464"/>
  <c r="G464"/>
  <c r="F464"/>
  <c r="E464"/>
  <c r="J463"/>
  <c r="I463"/>
  <c r="H463"/>
  <c r="G463"/>
  <c r="F463"/>
  <c r="E463"/>
  <c r="J462"/>
  <c r="I462"/>
  <c r="H462"/>
  <c r="G462"/>
  <c r="F462"/>
  <c r="E462"/>
  <c r="J461"/>
  <c r="I461"/>
  <c r="H461"/>
  <c r="G461"/>
  <c r="F461"/>
  <c r="E461"/>
  <c r="H460"/>
  <c r="G460"/>
  <c r="F460"/>
  <c r="E460"/>
  <c r="J459"/>
  <c r="I459"/>
  <c r="H459"/>
  <c r="G459"/>
  <c r="F459"/>
  <c r="E459"/>
  <c r="J458"/>
  <c r="I458"/>
  <c r="H458"/>
  <c r="G458"/>
  <c r="F458"/>
  <c r="E458"/>
  <c r="J457"/>
  <c r="I457"/>
  <c r="H457"/>
  <c r="G457"/>
  <c r="F457"/>
  <c r="E457"/>
  <c r="J456"/>
  <c r="I456"/>
  <c r="H456"/>
  <c r="G456"/>
  <c r="F456"/>
  <c r="E456"/>
  <c r="J455"/>
  <c r="I455"/>
  <c r="H455"/>
  <c r="G455"/>
  <c r="F455"/>
  <c r="E455"/>
  <c r="H454"/>
  <c r="G454"/>
  <c r="F454"/>
  <c r="E454"/>
  <c r="J453"/>
  <c r="I453"/>
  <c r="H453"/>
  <c r="G453"/>
  <c r="F453"/>
  <c r="E453"/>
  <c r="J452"/>
  <c r="I452"/>
  <c r="H452"/>
  <c r="G452"/>
  <c r="F452"/>
  <c r="E452"/>
  <c r="J451"/>
  <c r="I451"/>
  <c r="H451"/>
  <c r="G451"/>
  <c r="F451"/>
  <c r="E451"/>
  <c r="J450"/>
  <c r="I450"/>
  <c r="H450"/>
  <c r="G450"/>
  <c r="F450"/>
  <c r="E450"/>
  <c r="G449"/>
  <c r="F449"/>
  <c r="E449"/>
  <c r="J448"/>
  <c r="I448"/>
  <c r="H448"/>
  <c r="G448"/>
  <c r="F448"/>
  <c r="E448"/>
  <c r="J447"/>
  <c r="I447"/>
  <c r="H447"/>
  <c r="G447"/>
  <c r="F447"/>
  <c r="E447"/>
  <c r="J446"/>
  <c r="I446"/>
  <c r="H446"/>
  <c r="G446"/>
  <c r="F446"/>
  <c r="E446"/>
  <c r="J445"/>
  <c r="I445"/>
  <c r="H445"/>
  <c r="G445"/>
  <c r="F445"/>
  <c r="E445"/>
  <c r="J444"/>
  <c r="I444"/>
  <c r="H444"/>
  <c r="G444"/>
  <c r="F444"/>
  <c r="E444"/>
  <c r="J443"/>
  <c r="I443"/>
  <c r="H443"/>
  <c r="G443"/>
  <c r="F443"/>
  <c r="E443"/>
  <c r="J442"/>
  <c r="I442"/>
  <c r="H442"/>
  <c r="G442"/>
  <c r="F442"/>
  <c r="E442"/>
  <c r="H441"/>
  <c r="G441"/>
  <c r="F441"/>
  <c r="E441"/>
  <c r="G440"/>
  <c r="F440"/>
  <c r="E440"/>
  <c r="J439"/>
  <c r="I439"/>
  <c r="H439"/>
  <c r="G439"/>
  <c r="F439"/>
  <c r="E439"/>
  <c r="G438"/>
  <c r="F438"/>
  <c r="E438"/>
  <c r="G437"/>
  <c r="F437"/>
  <c r="E437"/>
  <c r="J436"/>
  <c r="I436"/>
  <c r="H436"/>
  <c r="G436"/>
  <c r="F436"/>
  <c r="E436"/>
  <c r="G435"/>
  <c r="F435"/>
  <c r="E435"/>
  <c r="J434"/>
  <c r="I434"/>
  <c r="H434"/>
  <c r="G434"/>
  <c r="F434"/>
  <c r="E434"/>
  <c r="H433"/>
  <c r="G433"/>
  <c r="F433"/>
  <c r="E433"/>
  <c r="J432"/>
  <c r="I432"/>
  <c r="H432"/>
  <c r="G432"/>
  <c r="F432"/>
  <c r="E432"/>
  <c r="J431"/>
  <c r="I431"/>
  <c r="H431"/>
  <c r="G431"/>
  <c r="F431"/>
  <c r="E431"/>
  <c r="H430"/>
  <c r="G430"/>
  <c r="F430"/>
  <c r="E430"/>
  <c r="J429"/>
  <c r="I429"/>
  <c r="H429"/>
  <c r="G429"/>
  <c r="F429"/>
  <c r="E429"/>
  <c r="G428"/>
  <c r="F428"/>
  <c r="E428"/>
  <c r="H427"/>
  <c r="G427"/>
  <c r="F427"/>
  <c r="E427"/>
  <c r="J426"/>
  <c r="I426"/>
  <c r="H426"/>
  <c r="G426"/>
  <c r="F426"/>
  <c r="E426"/>
  <c r="J425"/>
  <c r="I425"/>
  <c r="H425"/>
  <c r="G425"/>
  <c r="F425"/>
  <c r="E425"/>
  <c r="J424"/>
  <c r="I424"/>
  <c r="H424"/>
  <c r="G424"/>
  <c r="F424"/>
  <c r="E424"/>
  <c r="J423"/>
  <c r="I423"/>
  <c r="H423"/>
  <c r="G423"/>
  <c r="F423"/>
  <c r="E423"/>
  <c r="J422"/>
  <c r="I422"/>
  <c r="H422"/>
  <c r="G422"/>
  <c r="F422"/>
  <c r="E422"/>
  <c r="J421"/>
  <c r="I421"/>
  <c r="H421"/>
  <c r="G421"/>
  <c r="F421"/>
  <c r="E421"/>
  <c r="J420"/>
  <c r="I420"/>
  <c r="H420"/>
  <c r="G420"/>
  <c r="F420"/>
  <c r="E420"/>
  <c r="J419"/>
  <c r="I419"/>
  <c r="H419"/>
  <c r="G419"/>
  <c r="F419"/>
  <c r="E419"/>
  <c r="H418"/>
  <c r="G418"/>
  <c r="F418"/>
  <c r="E418"/>
  <c r="H417"/>
  <c r="G417"/>
  <c r="F417"/>
  <c r="E417"/>
  <c r="H416"/>
  <c r="G416"/>
  <c r="F416"/>
  <c r="E416"/>
  <c r="J415"/>
  <c r="I415"/>
  <c r="H415"/>
  <c r="G415"/>
  <c r="F415"/>
  <c r="E415"/>
  <c r="J414"/>
  <c r="I414"/>
  <c r="H414"/>
  <c r="G414"/>
  <c r="F414"/>
  <c r="E414"/>
  <c r="J413"/>
  <c r="I413"/>
  <c r="H413"/>
  <c r="G413"/>
  <c r="F413"/>
  <c r="E413"/>
  <c r="J412"/>
  <c r="I412"/>
  <c r="H412"/>
  <c r="G412"/>
  <c r="F412"/>
  <c r="E412"/>
  <c r="J411"/>
  <c r="I411"/>
  <c r="H411"/>
  <c r="G411"/>
  <c r="F411"/>
  <c r="E411"/>
  <c r="H410"/>
  <c r="G410"/>
  <c r="F410"/>
  <c r="E410"/>
  <c r="J409"/>
  <c r="I409"/>
  <c r="H409"/>
  <c r="G409"/>
  <c r="F409"/>
  <c r="E409"/>
  <c r="J408"/>
  <c r="I408"/>
  <c r="H408"/>
  <c r="G408"/>
  <c r="F408"/>
  <c r="E408"/>
  <c r="H407"/>
  <c r="G407"/>
  <c r="F407"/>
  <c r="E407"/>
  <c r="H406"/>
  <c r="G406"/>
  <c r="F406"/>
  <c r="E406"/>
  <c r="J405"/>
  <c r="I405"/>
  <c r="H405"/>
  <c r="G405"/>
  <c r="F405"/>
  <c r="E405"/>
  <c r="H404"/>
  <c r="G404"/>
  <c r="F404"/>
  <c r="E404"/>
  <c r="J403"/>
  <c r="I403"/>
  <c r="H403"/>
  <c r="G403"/>
  <c r="F403"/>
  <c r="E403"/>
  <c r="G402"/>
  <c r="F402"/>
  <c r="E402"/>
  <c r="J401"/>
  <c r="I401"/>
  <c r="H401"/>
  <c r="G401"/>
  <c r="F401"/>
  <c r="E401"/>
  <c r="G400"/>
  <c r="F400"/>
  <c r="E400"/>
  <c r="J399"/>
  <c r="I399"/>
  <c r="H399"/>
  <c r="G399"/>
  <c r="F399"/>
  <c r="E399"/>
  <c r="J398"/>
  <c r="I398"/>
  <c r="H398"/>
  <c r="G398"/>
  <c r="F398"/>
  <c r="E398"/>
  <c r="J397"/>
  <c r="I397"/>
  <c r="H397"/>
  <c r="G397"/>
  <c r="F397"/>
  <c r="E397"/>
  <c r="H396"/>
  <c r="G396"/>
  <c r="F396"/>
  <c r="E396"/>
  <c r="H395"/>
  <c r="G395"/>
  <c r="F395"/>
  <c r="E395"/>
  <c r="H394"/>
  <c r="G394"/>
  <c r="F394"/>
  <c r="E394"/>
  <c r="J393"/>
  <c r="I393"/>
  <c r="H393"/>
  <c r="G393"/>
  <c r="F393"/>
  <c r="E393"/>
  <c r="J392"/>
  <c r="I392"/>
  <c r="H392"/>
  <c r="G392"/>
  <c r="F392"/>
  <c r="E392"/>
  <c r="J391"/>
  <c r="I391"/>
  <c r="H391"/>
  <c r="G391"/>
  <c r="F391"/>
  <c r="E391"/>
  <c r="G390"/>
  <c r="F390"/>
  <c r="E390"/>
  <c r="G389"/>
  <c r="F389"/>
  <c r="E389"/>
  <c r="H388"/>
  <c r="G388"/>
  <c r="F388"/>
  <c r="E388"/>
  <c r="J387"/>
  <c r="I387"/>
  <c r="H387"/>
  <c r="G387"/>
  <c r="F387"/>
  <c r="E387"/>
  <c r="H386"/>
  <c r="G386"/>
  <c r="F386"/>
  <c r="E386"/>
  <c r="J385"/>
  <c r="I385"/>
  <c r="H385"/>
  <c r="G385"/>
  <c r="F385"/>
  <c r="E385"/>
  <c r="J384"/>
  <c r="I384"/>
  <c r="H384"/>
  <c r="G384"/>
  <c r="F384"/>
  <c r="E384"/>
  <c r="J383"/>
  <c r="I383"/>
  <c r="H383"/>
  <c r="G383"/>
  <c r="F383"/>
  <c r="E383"/>
  <c r="J382"/>
  <c r="I382"/>
  <c r="H382"/>
  <c r="G382"/>
  <c r="F382"/>
  <c r="E382"/>
  <c r="J381"/>
  <c r="I381"/>
  <c r="H381"/>
  <c r="G381"/>
  <c r="F381"/>
  <c r="E381"/>
  <c r="J380"/>
  <c r="I380"/>
  <c r="H380"/>
  <c r="G380"/>
  <c r="F380"/>
  <c r="E380"/>
  <c r="J379"/>
  <c r="I379"/>
  <c r="H379"/>
  <c r="G379"/>
  <c r="F379"/>
  <c r="E379"/>
  <c r="J378"/>
  <c r="I378"/>
  <c r="H378"/>
  <c r="G378"/>
  <c r="F378"/>
  <c r="E378"/>
  <c r="J377"/>
  <c r="I377"/>
  <c r="H377"/>
  <c r="G377"/>
  <c r="F377"/>
  <c r="E377"/>
  <c r="J376"/>
  <c r="I376"/>
  <c r="H376"/>
  <c r="G376"/>
  <c r="F376"/>
  <c r="E376"/>
  <c r="J375"/>
  <c r="I375"/>
  <c r="H375"/>
  <c r="G375"/>
  <c r="F375"/>
  <c r="E375"/>
  <c r="J374"/>
  <c r="I374"/>
  <c r="H374"/>
  <c r="G374"/>
  <c r="F374"/>
  <c r="E374"/>
  <c r="G373"/>
  <c r="F373"/>
  <c r="E373"/>
  <c r="J372"/>
  <c r="I372"/>
  <c r="H372"/>
  <c r="G372"/>
  <c r="F372"/>
  <c r="E372"/>
  <c r="J371"/>
  <c r="I371"/>
  <c r="H371"/>
  <c r="G371"/>
  <c r="F371"/>
  <c r="E371"/>
  <c r="J370"/>
  <c r="I370"/>
  <c r="H370"/>
  <c r="G370"/>
  <c r="F370"/>
  <c r="E370"/>
  <c r="J369"/>
  <c r="I369"/>
  <c r="H369"/>
  <c r="G369"/>
  <c r="F369"/>
  <c r="E369"/>
  <c r="H368"/>
  <c r="G368"/>
  <c r="F368"/>
  <c r="E368"/>
  <c r="H367"/>
  <c r="G367"/>
  <c r="F367"/>
  <c r="E367"/>
  <c r="H366"/>
  <c r="G366"/>
  <c r="F366"/>
  <c r="E366"/>
  <c r="H365"/>
  <c r="G365"/>
  <c r="F365"/>
  <c r="E365"/>
  <c r="J364"/>
  <c r="I364"/>
  <c r="H364"/>
  <c r="G364"/>
  <c r="F364"/>
  <c r="E364"/>
  <c r="J363"/>
  <c r="I363"/>
  <c r="H363"/>
  <c r="G363"/>
  <c r="F363"/>
  <c r="E363"/>
  <c r="J362"/>
  <c r="I362"/>
  <c r="H362"/>
  <c r="G362"/>
  <c r="F362"/>
  <c r="E362"/>
  <c r="J361"/>
  <c r="I361"/>
  <c r="H361"/>
  <c r="G361"/>
  <c r="F361"/>
  <c r="E361"/>
  <c r="J360"/>
  <c r="I360"/>
  <c r="H360"/>
  <c r="G360"/>
  <c r="F360"/>
  <c r="E360"/>
  <c r="H359"/>
  <c r="G359"/>
  <c r="F359"/>
  <c r="E359"/>
  <c r="J358"/>
  <c r="I358"/>
  <c r="H358"/>
  <c r="G358"/>
  <c r="F358"/>
  <c r="E358"/>
  <c r="H357"/>
  <c r="G357"/>
  <c r="F357"/>
  <c r="E357"/>
  <c r="G356"/>
  <c r="F356"/>
  <c r="E356"/>
  <c r="G355"/>
  <c r="F355"/>
  <c r="E355"/>
  <c r="H354"/>
  <c r="G354"/>
  <c r="F354"/>
  <c r="E354"/>
  <c r="J353"/>
  <c r="I353"/>
  <c r="H353"/>
  <c r="G353"/>
  <c r="F353"/>
  <c r="E353"/>
  <c r="J352"/>
  <c r="I352"/>
  <c r="H352"/>
  <c r="G352"/>
  <c r="F352"/>
  <c r="E352"/>
  <c r="J351"/>
  <c r="I351"/>
  <c r="H351"/>
  <c r="G351"/>
  <c r="F351"/>
  <c r="E351"/>
  <c r="H350"/>
  <c r="G350"/>
  <c r="F350"/>
  <c r="E350"/>
  <c r="J349"/>
  <c r="I349"/>
  <c r="H349"/>
  <c r="G349"/>
  <c r="F349"/>
  <c r="E349"/>
  <c r="J348"/>
  <c r="I348"/>
  <c r="H348"/>
  <c r="G348"/>
  <c r="F348"/>
  <c r="E348"/>
  <c r="J347"/>
  <c r="I347"/>
  <c r="H347"/>
  <c r="G347"/>
  <c r="F347"/>
  <c r="E347"/>
  <c r="H346"/>
  <c r="G346"/>
  <c r="F346"/>
  <c r="E346"/>
  <c r="J345"/>
  <c r="I345"/>
  <c r="H345"/>
  <c r="G345"/>
  <c r="F345"/>
  <c r="E345"/>
  <c r="H344"/>
  <c r="G344"/>
  <c r="F344"/>
  <c r="E344"/>
  <c r="J343"/>
  <c r="I343"/>
  <c r="H343"/>
  <c r="G343"/>
  <c r="F343"/>
  <c r="E343"/>
  <c r="J342"/>
  <c r="I342"/>
  <c r="H342"/>
  <c r="G342"/>
  <c r="F342"/>
  <c r="E342"/>
  <c r="J341"/>
  <c r="I341"/>
  <c r="H341"/>
  <c r="G341"/>
  <c r="F341"/>
  <c r="E341"/>
  <c r="J340"/>
  <c r="I340"/>
  <c r="H340"/>
  <c r="G340"/>
  <c r="F340"/>
  <c r="E340"/>
  <c r="H339"/>
  <c r="G339"/>
  <c r="F339"/>
  <c r="E339"/>
  <c r="J338"/>
  <c r="I338"/>
  <c r="H338"/>
  <c r="G338"/>
  <c r="F338"/>
  <c r="E338"/>
  <c r="J337"/>
  <c r="I337"/>
  <c r="H337"/>
  <c r="G337"/>
  <c r="F337"/>
  <c r="E337"/>
  <c r="J336"/>
  <c r="I336"/>
  <c r="H336"/>
  <c r="G336"/>
  <c r="F336"/>
  <c r="E336"/>
  <c r="J335"/>
  <c r="I335"/>
  <c r="H335"/>
  <c r="G335"/>
  <c r="F335"/>
  <c r="E335"/>
  <c r="J334"/>
  <c r="I334"/>
  <c r="H334"/>
  <c r="G334"/>
  <c r="F334"/>
  <c r="E334"/>
  <c r="J333"/>
  <c r="I333"/>
  <c r="H333"/>
  <c r="G333"/>
  <c r="F333"/>
  <c r="E333"/>
  <c r="H332"/>
  <c r="G332"/>
  <c r="F332"/>
  <c r="E332"/>
  <c r="J331"/>
  <c r="I331"/>
  <c r="H331"/>
  <c r="G331"/>
  <c r="F331"/>
  <c r="E331"/>
  <c r="J330"/>
  <c r="I330"/>
  <c r="H330"/>
  <c r="G330"/>
  <c r="F330"/>
  <c r="E330"/>
  <c r="J329"/>
  <c r="I329"/>
  <c r="H329"/>
  <c r="G329"/>
  <c r="F329"/>
  <c r="E329"/>
  <c r="H328"/>
  <c r="G328"/>
  <c r="F328"/>
  <c r="E328"/>
  <c r="J327"/>
  <c r="I327"/>
  <c r="H327"/>
  <c r="G327"/>
  <c r="F327"/>
  <c r="E327"/>
  <c r="J326"/>
  <c r="I326"/>
  <c r="H326"/>
  <c r="G326"/>
  <c r="F326"/>
  <c r="E326"/>
  <c r="J325"/>
  <c r="I325"/>
  <c r="H325"/>
  <c r="G325"/>
  <c r="F325"/>
  <c r="E325"/>
  <c r="J324"/>
  <c r="I324"/>
  <c r="H324"/>
  <c r="G324"/>
  <c r="F324"/>
  <c r="E324"/>
  <c r="J323"/>
  <c r="I323"/>
  <c r="H323"/>
  <c r="G323"/>
  <c r="F323"/>
  <c r="E323"/>
  <c r="J322"/>
  <c r="I322"/>
  <c r="H322"/>
  <c r="G322"/>
  <c r="F322"/>
  <c r="E322"/>
  <c r="J321"/>
  <c r="I321"/>
  <c r="H321"/>
  <c r="G321"/>
  <c r="F321"/>
  <c r="E321"/>
  <c r="J320"/>
  <c r="I320"/>
  <c r="H320"/>
  <c r="G320"/>
  <c r="F320"/>
  <c r="E320"/>
  <c r="J319"/>
  <c r="I319"/>
  <c r="H319"/>
  <c r="G319"/>
  <c r="F319"/>
  <c r="E319"/>
  <c r="J318"/>
  <c r="I318"/>
  <c r="H318"/>
  <c r="G318"/>
  <c r="F318"/>
  <c r="E318"/>
  <c r="J317"/>
  <c r="I317"/>
  <c r="H317"/>
  <c r="G317"/>
  <c r="F317"/>
  <c r="E317"/>
  <c r="J316"/>
  <c r="I316"/>
  <c r="H316"/>
  <c r="G316"/>
  <c r="F316"/>
  <c r="E316"/>
  <c r="J315"/>
  <c r="I315"/>
  <c r="H315"/>
  <c r="G315"/>
  <c r="F315"/>
  <c r="E315"/>
  <c r="G314"/>
  <c r="F314"/>
  <c r="E314"/>
  <c r="J313"/>
  <c r="I313"/>
  <c r="H313"/>
  <c r="G313"/>
  <c r="F313"/>
  <c r="E313"/>
  <c r="G312"/>
  <c r="F312"/>
  <c r="E312"/>
  <c r="G311"/>
  <c r="F311"/>
  <c r="E311"/>
  <c r="J310"/>
  <c r="I310"/>
  <c r="H310"/>
  <c r="G310"/>
  <c r="F310"/>
  <c r="E310"/>
  <c r="G309"/>
  <c r="F309"/>
  <c r="E309"/>
  <c r="J308"/>
  <c r="I308"/>
  <c r="H308"/>
  <c r="G308"/>
  <c r="F308"/>
  <c r="E308"/>
  <c r="J307"/>
  <c r="I307"/>
  <c r="H307"/>
  <c r="G307"/>
  <c r="F307"/>
  <c r="E307"/>
  <c r="J306"/>
  <c r="I306"/>
  <c r="H306"/>
  <c r="G306"/>
  <c r="F306"/>
  <c r="E306"/>
  <c r="J305"/>
  <c r="I305"/>
  <c r="H305"/>
  <c r="G305"/>
  <c r="F305"/>
  <c r="E305"/>
  <c r="J304"/>
  <c r="I304"/>
  <c r="H304"/>
  <c r="G304"/>
  <c r="F304"/>
  <c r="E304"/>
  <c r="H303"/>
  <c r="G303"/>
  <c r="F303"/>
  <c r="E303"/>
  <c r="G302"/>
  <c r="F302"/>
  <c r="E302"/>
  <c r="H301"/>
  <c r="G301"/>
  <c r="F301"/>
  <c r="E301"/>
  <c r="J300"/>
  <c r="I300"/>
  <c r="H300"/>
  <c r="G300"/>
  <c r="F300"/>
  <c r="E300"/>
  <c r="J299"/>
  <c r="I299"/>
  <c r="H299"/>
  <c r="G299"/>
  <c r="F299"/>
  <c r="E299"/>
  <c r="J298"/>
  <c r="I298"/>
  <c r="H298"/>
  <c r="G298"/>
  <c r="F298"/>
  <c r="E298"/>
  <c r="J297"/>
  <c r="I297"/>
  <c r="H297"/>
  <c r="G297"/>
  <c r="F297"/>
  <c r="E297"/>
  <c r="H296"/>
  <c r="G296"/>
  <c r="F296"/>
  <c r="E296"/>
  <c r="J295"/>
  <c r="I295"/>
  <c r="H295"/>
  <c r="G295"/>
  <c r="F295"/>
  <c r="E295"/>
  <c r="J294"/>
  <c r="I294"/>
  <c r="H294"/>
  <c r="G294"/>
  <c r="F294"/>
  <c r="E294"/>
  <c r="J293"/>
  <c r="I293"/>
  <c r="H293"/>
  <c r="G293"/>
  <c r="F293"/>
  <c r="E293"/>
  <c r="J292"/>
  <c r="I292"/>
  <c r="H292"/>
  <c r="G292"/>
  <c r="F292"/>
  <c r="E292"/>
  <c r="J291"/>
  <c r="I291"/>
  <c r="H291"/>
  <c r="G291"/>
  <c r="F291"/>
  <c r="E291"/>
  <c r="J290"/>
  <c r="I290"/>
  <c r="H290"/>
  <c r="G290"/>
  <c r="F290"/>
  <c r="E290"/>
  <c r="J289"/>
  <c r="I289"/>
  <c r="H289"/>
  <c r="G289"/>
  <c r="F289"/>
  <c r="E289"/>
  <c r="H288"/>
  <c r="G288"/>
  <c r="F288"/>
  <c r="E288"/>
  <c r="J287"/>
  <c r="I287"/>
  <c r="H287"/>
  <c r="G287"/>
  <c r="F287"/>
  <c r="E287"/>
  <c r="J286"/>
  <c r="I286"/>
  <c r="H286"/>
  <c r="G286"/>
  <c r="F286"/>
  <c r="E286"/>
  <c r="J285"/>
  <c r="I285"/>
  <c r="H285"/>
  <c r="G285"/>
  <c r="F285"/>
  <c r="E285"/>
  <c r="J284"/>
  <c r="I284"/>
  <c r="H284"/>
  <c r="G284"/>
  <c r="F284"/>
  <c r="E284"/>
  <c r="G283"/>
  <c r="F283"/>
  <c r="E283"/>
  <c r="J282"/>
  <c r="I282"/>
  <c r="H282"/>
  <c r="G282"/>
  <c r="F282"/>
  <c r="E282"/>
  <c r="J281"/>
  <c r="I281"/>
  <c r="H281"/>
  <c r="G281"/>
  <c r="F281"/>
  <c r="E281"/>
  <c r="J280"/>
  <c r="I280"/>
  <c r="H280"/>
  <c r="G280"/>
  <c r="F280"/>
  <c r="E280"/>
  <c r="J279"/>
  <c r="I279"/>
  <c r="H279"/>
  <c r="G279"/>
  <c r="F279"/>
  <c r="E279"/>
  <c r="J278"/>
  <c r="I278"/>
  <c r="H278"/>
  <c r="G278"/>
  <c r="F278"/>
  <c r="E278"/>
  <c r="J277"/>
  <c r="I277"/>
  <c r="H277"/>
  <c r="G277"/>
  <c r="F277"/>
  <c r="E277"/>
  <c r="H276"/>
  <c r="G276"/>
  <c r="F276"/>
  <c r="E276"/>
  <c r="J275"/>
  <c r="I275"/>
  <c r="H275"/>
  <c r="G275"/>
  <c r="F275"/>
  <c r="E275"/>
  <c r="J274"/>
  <c r="I274"/>
  <c r="H274"/>
  <c r="G274"/>
  <c r="F274"/>
  <c r="E274"/>
  <c r="J273"/>
  <c r="I273"/>
  <c r="H273"/>
  <c r="G273"/>
  <c r="F273"/>
  <c r="E273"/>
  <c r="J272"/>
  <c r="I272"/>
  <c r="H272"/>
  <c r="G272"/>
  <c r="F272"/>
  <c r="E272"/>
  <c r="H271"/>
  <c r="G271"/>
  <c r="F271"/>
  <c r="E271"/>
  <c r="J270"/>
  <c r="I270"/>
  <c r="H270"/>
  <c r="G270"/>
  <c r="F270"/>
  <c r="E270"/>
  <c r="J269"/>
  <c r="I269"/>
  <c r="H269"/>
  <c r="G269"/>
  <c r="F269"/>
  <c r="E269"/>
  <c r="H268"/>
  <c r="G268"/>
  <c r="F268"/>
  <c r="E268"/>
  <c r="J267"/>
  <c r="I267"/>
  <c r="H267"/>
  <c r="G267"/>
  <c r="F267"/>
  <c r="E267"/>
  <c r="J266"/>
  <c r="I266"/>
  <c r="H266"/>
  <c r="G266"/>
  <c r="F266"/>
  <c r="E266"/>
  <c r="J265"/>
  <c r="I265"/>
  <c r="H265"/>
  <c r="G265"/>
  <c r="F265"/>
  <c r="E265"/>
  <c r="H264"/>
  <c r="G264"/>
  <c r="F264"/>
  <c r="E264"/>
  <c r="J263"/>
  <c r="I263"/>
  <c r="H263"/>
  <c r="G263"/>
  <c r="F263"/>
  <c r="E263"/>
  <c r="H262"/>
  <c r="G262"/>
  <c r="F262"/>
  <c r="E262"/>
  <c r="J261"/>
  <c r="I261"/>
  <c r="H261"/>
  <c r="G261"/>
  <c r="F261"/>
  <c r="E261"/>
  <c r="J260"/>
  <c r="I260"/>
  <c r="H260"/>
  <c r="G260"/>
  <c r="F260"/>
  <c r="E260"/>
  <c r="J259"/>
  <c r="I259"/>
  <c r="H259"/>
  <c r="G259"/>
  <c r="F259"/>
  <c r="E259"/>
  <c r="J258"/>
  <c r="I258"/>
  <c r="H258"/>
  <c r="G258"/>
  <c r="F258"/>
  <c r="E258"/>
  <c r="J257"/>
  <c r="I257"/>
  <c r="H257"/>
  <c r="G257"/>
  <c r="F257"/>
  <c r="E257"/>
  <c r="J256"/>
  <c r="I256"/>
  <c r="H256"/>
  <c r="G256"/>
  <c r="F256"/>
  <c r="E256"/>
  <c r="H255"/>
  <c r="G255"/>
  <c r="F255"/>
  <c r="E255"/>
  <c r="J254"/>
  <c r="I254"/>
  <c r="H254"/>
  <c r="G254"/>
  <c r="F254"/>
  <c r="E254"/>
  <c r="J253"/>
  <c r="I253"/>
  <c r="H253"/>
  <c r="G253"/>
  <c r="F253"/>
  <c r="E253"/>
  <c r="J252"/>
  <c r="I252"/>
  <c r="H252"/>
  <c r="G252"/>
  <c r="F252"/>
  <c r="E252"/>
  <c r="J251"/>
  <c r="I251"/>
  <c r="H251"/>
  <c r="G251"/>
  <c r="F251"/>
  <c r="E251"/>
  <c r="J250"/>
  <c r="I250"/>
  <c r="H250"/>
  <c r="G250"/>
  <c r="F250"/>
  <c r="E250"/>
  <c r="G249"/>
  <c r="F249"/>
  <c r="E249"/>
  <c r="J248"/>
  <c r="I248"/>
  <c r="H248"/>
  <c r="G248"/>
  <c r="F248"/>
  <c r="E248"/>
  <c r="H247"/>
  <c r="G247"/>
  <c r="F247"/>
  <c r="E247"/>
  <c r="H246"/>
  <c r="G246"/>
  <c r="F246"/>
  <c r="E246"/>
  <c r="J245"/>
  <c r="I245"/>
  <c r="H245"/>
  <c r="G245"/>
  <c r="F245"/>
  <c r="E245"/>
  <c r="J244"/>
  <c r="I244"/>
  <c r="H244"/>
  <c r="G244"/>
  <c r="F244"/>
  <c r="E244"/>
  <c r="J243"/>
  <c r="I243"/>
  <c r="H243"/>
  <c r="G243"/>
  <c r="F243"/>
  <c r="E243"/>
  <c r="H242"/>
  <c r="G242"/>
  <c r="F242"/>
  <c r="E242"/>
  <c r="J241"/>
  <c r="I241"/>
  <c r="H241"/>
  <c r="G241"/>
  <c r="F241"/>
  <c r="E241"/>
  <c r="J240"/>
  <c r="I240"/>
  <c r="H240"/>
  <c r="G240"/>
  <c r="F240"/>
  <c r="E240"/>
  <c r="H239"/>
  <c r="G239"/>
  <c r="F239"/>
  <c r="E239"/>
  <c r="J238"/>
  <c r="I238"/>
  <c r="H238"/>
  <c r="G238"/>
  <c r="F238"/>
  <c r="E238"/>
  <c r="J237"/>
  <c r="I237"/>
  <c r="H237"/>
  <c r="G237"/>
  <c r="F237"/>
  <c r="E237"/>
  <c r="J236"/>
  <c r="I236"/>
  <c r="H236"/>
  <c r="G236"/>
  <c r="F236"/>
  <c r="E236"/>
  <c r="J235"/>
  <c r="I235"/>
  <c r="H235"/>
  <c r="G235"/>
  <c r="F235"/>
  <c r="E235"/>
  <c r="J234"/>
  <c r="I234"/>
  <c r="H234"/>
  <c r="G234"/>
  <c r="F234"/>
  <c r="E234"/>
  <c r="J233"/>
  <c r="I233"/>
  <c r="H233"/>
  <c r="G233"/>
  <c r="F233"/>
  <c r="E233"/>
  <c r="J232"/>
  <c r="I232"/>
  <c r="H232"/>
  <c r="G232"/>
  <c r="F232"/>
  <c r="E232"/>
  <c r="H231"/>
  <c r="G231"/>
  <c r="F231"/>
  <c r="E231"/>
  <c r="J230"/>
  <c r="I230"/>
  <c r="H230"/>
  <c r="G230"/>
  <c r="F230"/>
  <c r="E230"/>
  <c r="J229"/>
  <c r="I229"/>
  <c r="H229"/>
  <c r="G229"/>
  <c r="F229"/>
  <c r="E229"/>
  <c r="J228"/>
  <c r="I228"/>
  <c r="H228"/>
  <c r="G228"/>
  <c r="F228"/>
  <c r="E228"/>
  <c r="J227"/>
  <c r="I227"/>
  <c r="H227"/>
  <c r="G227"/>
  <c r="F227"/>
  <c r="E227"/>
  <c r="J226"/>
  <c r="I226"/>
  <c r="H226"/>
  <c r="G226"/>
  <c r="F226"/>
  <c r="E226"/>
  <c r="J225"/>
  <c r="I225"/>
  <c r="H225"/>
  <c r="G225"/>
  <c r="F225"/>
  <c r="E225"/>
  <c r="H224"/>
  <c r="G224"/>
  <c r="F224"/>
  <c r="E224"/>
  <c r="H223"/>
  <c r="G223"/>
  <c r="F223"/>
  <c r="E223"/>
  <c r="J222"/>
  <c r="I222"/>
  <c r="H222"/>
  <c r="G222"/>
  <c r="F222"/>
  <c r="E222"/>
  <c r="J221"/>
  <c r="I221"/>
  <c r="H221"/>
  <c r="G221"/>
  <c r="F221"/>
  <c r="E221"/>
  <c r="J220"/>
  <c r="I220"/>
  <c r="H220"/>
  <c r="G220"/>
  <c r="F220"/>
  <c r="E220"/>
  <c r="H219"/>
  <c r="G219"/>
  <c r="F219"/>
  <c r="E219"/>
  <c r="J218"/>
  <c r="I218"/>
  <c r="H218"/>
  <c r="G218"/>
  <c r="F218"/>
  <c r="E218"/>
  <c r="J217"/>
  <c r="I217"/>
  <c r="H217"/>
  <c r="G217"/>
  <c r="F217"/>
  <c r="E217"/>
  <c r="H216"/>
  <c r="G216"/>
  <c r="F216"/>
  <c r="E216"/>
  <c r="J215"/>
  <c r="I215"/>
  <c r="H215"/>
  <c r="G215"/>
  <c r="F215"/>
  <c r="E215"/>
  <c r="H214"/>
  <c r="G214"/>
  <c r="F214"/>
  <c r="E214"/>
  <c r="J213"/>
  <c r="I213"/>
  <c r="H213"/>
  <c r="G213"/>
  <c r="F213"/>
  <c r="E213"/>
  <c r="J212"/>
  <c r="I212"/>
  <c r="H212"/>
  <c r="G212"/>
  <c r="F212"/>
  <c r="E212"/>
  <c r="J211"/>
  <c r="I211"/>
  <c r="H211"/>
  <c r="G211"/>
  <c r="F211"/>
  <c r="E211"/>
  <c r="J210"/>
  <c r="I210"/>
  <c r="H210"/>
  <c r="G210"/>
  <c r="F210"/>
  <c r="E210"/>
  <c r="H209"/>
  <c r="G209"/>
  <c r="F209"/>
  <c r="E209"/>
  <c r="J208"/>
  <c r="I208"/>
  <c r="H208"/>
  <c r="G208"/>
  <c r="F208"/>
  <c r="E208"/>
  <c r="J207"/>
  <c r="I207"/>
  <c r="H207"/>
  <c r="G207"/>
  <c r="F207"/>
  <c r="E207"/>
  <c r="J206"/>
  <c r="I206"/>
  <c r="H206"/>
  <c r="G206"/>
  <c r="F206"/>
  <c r="E206"/>
  <c r="J205"/>
  <c r="I205"/>
  <c r="H205"/>
  <c r="G205"/>
  <c r="F205"/>
  <c r="E205"/>
  <c r="J204"/>
  <c r="I204"/>
  <c r="H204"/>
  <c r="G204"/>
  <c r="F204"/>
  <c r="E204"/>
  <c r="G203"/>
  <c r="F203"/>
  <c r="E203"/>
  <c r="J202"/>
  <c r="I202"/>
  <c r="H202"/>
  <c r="G202"/>
  <c r="F202"/>
  <c r="E202"/>
  <c r="J201"/>
  <c r="I201"/>
  <c r="H201"/>
  <c r="G201"/>
  <c r="F201"/>
  <c r="E201"/>
  <c r="J200"/>
  <c r="I200"/>
  <c r="H200"/>
  <c r="G200"/>
  <c r="F200"/>
  <c r="E200"/>
  <c r="J199"/>
  <c r="I199"/>
  <c r="H199"/>
  <c r="G199"/>
  <c r="F199"/>
  <c r="E199"/>
  <c r="G198"/>
  <c r="F198"/>
  <c r="E198"/>
  <c r="J197"/>
  <c r="I197"/>
  <c r="H197"/>
  <c r="G197"/>
  <c r="F197"/>
  <c r="E197"/>
  <c r="J196"/>
  <c r="I196"/>
  <c r="H196"/>
  <c r="G196"/>
  <c r="F196"/>
  <c r="E196"/>
  <c r="J195"/>
  <c r="I195"/>
  <c r="H195"/>
  <c r="G195"/>
  <c r="F195"/>
  <c r="E195"/>
  <c r="J194"/>
  <c r="I194"/>
  <c r="H194"/>
  <c r="G194"/>
  <c r="F194"/>
  <c r="E194"/>
  <c r="J193"/>
  <c r="I193"/>
  <c r="H193"/>
  <c r="G193"/>
  <c r="F193"/>
  <c r="E193"/>
  <c r="J192"/>
  <c r="I192"/>
  <c r="H192"/>
  <c r="G192"/>
  <c r="F192"/>
  <c r="E192"/>
  <c r="J191"/>
  <c r="I191"/>
  <c r="H191"/>
  <c r="G191"/>
  <c r="F191"/>
  <c r="E191"/>
  <c r="J190"/>
  <c r="I190"/>
  <c r="H190"/>
  <c r="G190"/>
  <c r="F190"/>
  <c r="E190"/>
  <c r="H189"/>
  <c r="G189"/>
  <c r="F189"/>
  <c r="E189"/>
  <c r="J188"/>
  <c r="I188"/>
  <c r="H188"/>
  <c r="G188"/>
  <c r="F188"/>
  <c r="E188"/>
  <c r="J187"/>
  <c r="I187"/>
  <c r="H187"/>
  <c r="G187"/>
  <c r="F187"/>
  <c r="E187"/>
  <c r="H186"/>
  <c r="G186"/>
  <c r="F186"/>
  <c r="E186"/>
  <c r="J185"/>
  <c r="I185"/>
  <c r="H185"/>
  <c r="G185"/>
  <c r="F185"/>
  <c r="E185"/>
  <c r="J184"/>
  <c r="I184"/>
  <c r="H184"/>
  <c r="G184"/>
  <c r="F184"/>
  <c r="E184"/>
  <c r="J183"/>
  <c r="I183"/>
  <c r="H183"/>
  <c r="G183"/>
  <c r="F183"/>
  <c r="E183"/>
  <c r="J182"/>
  <c r="I182"/>
  <c r="H182"/>
  <c r="G182"/>
  <c r="F182"/>
  <c r="E182"/>
  <c r="H181"/>
  <c r="G181"/>
  <c r="F181"/>
  <c r="E181"/>
  <c r="J180"/>
  <c r="I180"/>
  <c r="H180"/>
  <c r="G180"/>
  <c r="F180"/>
  <c r="E180"/>
  <c r="J179"/>
  <c r="I179"/>
  <c r="H179"/>
  <c r="G179"/>
  <c r="F179"/>
  <c r="E179"/>
  <c r="J178"/>
  <c r="I178"/>
  <c r="H178"/>
  <c r="G178"/>
  <c r="F178"/>
  <c r="E178"/>
  <c r="J177"/>
  <c r="I177"/>
  <c r="H177"/>
  <c r="G177"/>
  <c r="F177"/>
  <c r="E177"/>
  <c r="H176"/>
  <c r="G176"/>
  <c r="F176"/>
  <c r="E176"/>
  <c r="H175"/>
  <c r="G175"/>
  <c r="F175"/>
  <c r="E175"/>
  <c r="J174"/>
  <c r="I174"/>
  <c r="H174"/>
  <c r="G174"/>
  <c r="F174"/>
  <c r="E174"/>
  <c r="J173"/>
  <c r="I173"/>
  <c r="H173"/>
  <c r="G173"/>
  <c r="F173"/>
  <c r="E173"/>
  <c r="J172"/>
  <c r="I172"/>
  <c r="H172"/>
  <c r="G172"/>
  <c r="F172"/>
  <c r="E172"/>
  <c r="J171"/>
  <c r="I171"/>
  <c r="H171"/>
  <c r="G171"/>
  <c r="F171"/>
  <c r="E171"/>
  <c r="H170"/>
  <c r="G170"/>
  <c r="F170"/>
  <c r="E170"/>
  <c r="J169"/>
  <c r="I169"/>
  <c r="H169"/>
  <c r="G169"/>
  <c r="F169"/>
  <c r="E169"/>
  <c r="J168"/>
  <c r="I168"/>
  <c r="H168"/>
  <c r="G168"/>
  <c r="F168"/>
  <c r="E168"/>
  <c r="G167"/>
  <c r="F167"/>
  <c r="E167"/>
  <c r="J166"/>
  <c r="I166"/>
  <c r="H166"/>
  <c r="G166"/>
  <c r="F166"/>
  <c r="E166"/>
  <c r="J165"/>
  <c r="I165"/>
  <c r="H165"/>
  <c r="G165"/>
  <c r="F165"/>
  <c r="E165"/>
  <c r="J164"/>
  <c r="I164"/>
  <c r="H164"/>
  <c r="G164"/>
  <c r="F164"/>
  <c r="E164"/>
  <c r="G163"/>
  <c r="F163"/>
  <c r="E163"/>
  <c r="H162"/>
  <c r="G162"/>
  <c r="F162"/>
  <c r="E162"/>
  <c r="H161"/>
  <c r="G161"/>
  <c r="F161"/>
  <c r="E161"/>
  <c r="H160"/>
  <c r="G160"/>
  <c r="F160"/>
  <c r="E160"/>
  <c r="J159"/>
  <c r="I159"/>
  <c r="H159"/>
  <c r="G159"/>
  <c r="F159"/>
  <c r="E159"/>
  <c r="J158"/>
  <c r="I158"/>
  <c r="H158"/>
  <c r="G158"/>
  <c r="F158"/>
  <c r="E158"/>
  <c r="J157"/>
  <c r="I157"/>
  <c r="H157"/>
  <c r="G157"/>
  <c r="F157"/>
  <c r="E157"/>
  <c r="H156"/>
  <c r="G156"/>
  <c r="F156"/>
  <c r="E156"/>
  <c r="H155"/>
  <c r="G155"/>
  <c r="F155"/>
  <c r="E155"/>
  <c r="J154"/>
  <c r="I154"/>
  <c r="H154"/>
  <c r="G154"/>
  <c r="F154"/>
  <c r="E154"/>
  <c r="J153"/>
  <c r="I153"/>
  <c r="H153"/>
  <c r="G153"/>
  <c r="F153"/>
  <c r="E153"/>
  <c r="J152"/>
  <c r="I152"/>
  <c r="H152"/>
  <c r="G152"/>
  <c r="F152"/>
  <c r="E152"/>
  <c r="H151"/>
  <c r="G151"/>
  <c r="F151"/>
  <c r="E151"/>
  <c r="J150"/>
  <c r="I150"/>
  <c r="H150"/>
  <c r="G150"/>
  <c r="F150"/>
  <c r="E150"/>
  <c r="J149"/>
  <c r="I149"/>
  <c r="H149"/>
  <c r="G149"/>
  <c r="F149"/>
  <c r="E149"/>
  <c r="J148"/>
  <c r="I148"/>
  <c r="H148"/>
  <c r="G148"/>
  <c r="F148"/>
  <c r="E148"/>
  <c r="J147"/>
  <c r="I147"/>
  <c r="H147"/>
  <c r="G147"/>
  <c r="F147"/>
  <c r="E147"/>
  <c r="H146"/>
  <c r="G146"/>
  <c r="F146"/>
  <c r="E146"/>
  <c r="J145"/>
  <c r="I145"/>
  <c r="H145"/>
  <c r="G145"/>
  <c r="F145"/>
  <c r="E145"/>
  <c r="J144"/>
  <c r="I144"/>
  <c r="H144"/>
  <c r="G144"/>
  <c r="F144"/>
  <c r="E144"/>
  <c r="J143"/>
  <c r="I143"/>
  <c r="H143"/>
  <c r="G143"/>
  <c r="F143"/>
  <c r="E143"/>
  <c r="J142"/>
  <c r="I142"/>
  <c r="H142"/>
  <c r="G142"/>
  <c r="F142"/>
  <c r="E142"/>
  <c r="J141"/>
  <c r="I141"/>
  <c r="H141"/>
  <c r="G141"/>
  <c r="F141"/>
  <c r="E141"/>
  <c r="J140"/>
  <c r="I140"/>
  <c r="H140"/>
  <c r="G140"/>
  <c r="F140"/>
  <c r="E140"/>
  <c r="J139"/>
  <c r="I139"/>
  <c r="H139"/>
  <c r="G139"/>
  <c r="F139"/>
  <c r="E139"/>
  <c r="J138"/>
  <c r="I138"/>
  <c r="H138"/>
  <c r="G138"/>
  <c r="F138"/>
  <c r="E138"/>
  <c r="J137"/>
  <c r="I137"/>
  <c r="H137"/>
  <c r="G137"/>
  <c r="F137"/>
  <c r="E137"/>
  <c r="J136"/>
  <c r="I136"/>
  <c r="H136"/>
  <c r="G136"/>
  <c r="F136"/>
  <c r="E136"/>
  <c r="J135"/>
  <c r="I135"/>
  <c r="H135"/>
  <c r="G135"/>
  <c r="F135"/>
  <c r="E135"/>
  <c r="G134"/>
  <c r="F134"/>
  <c r="E134"/>
  <c r="J133"/>
  <c r="I133"/>
  <c r="H133"/>
  <c r="G133"/>
  <c r="F133"/>
  <c r="E133"/>
  <c r="H132"/>
  <c r="G132"/>
  <c r="F132"/>
  <c r="E132"/>
  <c r="J131"/>
  <c r="I131"/>
  <c r="H131"/>
  <c r="G131"/>
  <c r="F131"/>
  <c r="E131"/>
  <c r="J130"/>
  <c r="I130"/>
  <c r="H130"/>
  <c r="G130"/>
  <c r="F130"/>
  <c r="E130"/>
  <c r="H129"/>
  <c r="G129"/>
  <c r="F129"/>
  <c r="E129"/>
  <c r="J128"/>
  <c r="I128"/>
  <c r="H128"/>
  <c r="G128"/>
  <c r="F128"/>
  <c r="E128"/>
  <c r="H127"/>
  <c r="G127"/>
  <c r="F127"/>
  <c r="E127"/>
  <c r="J126"/>
  <c r="I126"/>
  <c r="H126"/>
  <c r="G126"/>
  <c r="F126"/>
  <c r="E126"/>
  <c r="J125"/>
  <c r="I125"/>
  <c r="H125"/>
  <c r="G125"/>
  <c r="F125"/>
  <c r="E125"/>
  <c r="J124"/>
  <c r="I124"/>
  <c r="H124"/>
  <c r="G124"/>
  <c r="F124"/>
  <c r="E124"/>
  <c r="H123"/>
  <c r="G123"/>
  <c r="F123"/>
  <c r="E123"/>
  <c r="J122"/>
  <c r="I122"/>
  <c r="H122"/>
  <c r="G122"/>
  <c r="F122"/>
  <c r="E122"/>
  <c r="J121"/>
  <c r="I121"/>
  <c r="H121"/>
  <c r="G121"/>
  <c r="F121"/>
  <c r="E121"/>
  <c r="J120"/>
  <c r="I120"/>
  <c r="H120"/>
  <c r="G120"/>
  <c r="F120"/>
  <c r="E120"/>
  <c r="J119"/>
  <c r="I119"/>
  <c r="H119"/>
  <c r="G119"/>
  <c r="F119"/>
  <c r="E119"/>
  <c r="J118"/>
  <c r="I118"/>
  <c r="H118"/>
  <c r="G118"/>
  <c r="F118"/>
  <c r="E118"/>
  <c r="H117"/>
  <c r="G117"/>
  <c r="F117"/>
  <c r="E117"/>
  <c r="J116"/>
  <c r="I116"/>
  <c r="H116"/>
  <c r="G116"/>
  <c r="F116"/>
  <c r="E116"/>
  <c r="J115"/>
  <c r="I115"/>
  <c r="H115"/>
  <c r="G115"/>
  <c r="F115"/>
  <c r="E115"/>
  <c r="H114"/>
  <c r="G114"/>
  <c r="F114"/>
  <c r="E114"/>
  <c r="J113"/>
  <c r="I113"/>
  <c r="H113"/>
  <c r="G113"/>
  <c r="F113"/>
  <c r="E113"/>
  <c r="H112"/>
  <c r="G112"/>
  <c r="F112"/>
  <c r="E112"/>
  <c r="J111"/>
  <c r="I111"/>
  <c r="H111"/>
  <c r="G111"/>
  <c r="F111"/>
  <c r="E111"/>
  <c r="H110"/>
  <c r="G110"/>
  <c r="F110"/>
  <c r="E110"/>
  <c r="J109"/>
  <c r="I109"/>
  <c r="H109"/>
  <c r="G109"/>
  <c r="F109"/>
  <c r="E109"/>
  <c r="J108"/>
  <c r="I108"/>
  <c r="H108"/>
  <c r="G108"/>
  <c r="F108"/>
  <c r="E108"/>
  <c r="J107"/>
  <c r="I107"/>
  <c r="H107"/>
  <c r="G107"/>
  <c r="F107"/>
  <c r="E107"/>
  <c r="J106"/>
  <c r="I106"/>
  <c r="H106"/>
  <c r="G106"/>
  <c r="F106"/>
  <c r="E106"/>
  <c r="H105"/>
  <c r="G105"/>
  <c r="F105"/>
  <c r="E105"/>
  <c r="J104"/>
  <c r="I104"/>
  <c r="H104"/>
  <c r="G104"/>
  <c r="F104"/>
  <c r="E104"/>
  <c r="J103"/>
  <c r="I103"/>
  <c r="H103"/>
  <c r="G103"/>
  <c r="F103"/>
  <c r="E103"/>
  <c r="J102"/>
  <c r="I102"/>
  <c r="H102"/>
  <c r="G102"/>
  <c r="F102"/>
  <c r="E102"/>
  <c r="J101"/>
  <c r="I101"/>
  <c r="H101"/>
  <c r="G101"/>
  <c r="F101"/>
  <c r="E101"/>
  <c r="H100"/>
  <c r="G100"/>
  <c r="F100"/>
  <c r="E100"/>
  <c r="J99"/>
  <c r="I99"/>
  <c r="H99"/>
  <c r="G99"/>
  <c r="F99"/>
  <c r="E99"/>
  <c r="J98"/>
  <c r="I98"/>
  <c r="H98"/>
  <c r="G98"/>
  <c r="F98"/>
  <c r="E98"/>
  <c r="H97"/>
  <c r="G97"/>
  <c r="F97"/>
  <c r="E97"/>
  <c r="J96"/>
  <c r="I96"/>
  <c r="H96"/>
  <c r="G96"/>
  <c r="F96"/>
  <c r="E96"/>
  <c r="J95"/>
  <c r="I95"/>
  <c r="H95"/>
  <c r="G95"/>
  <c r="F95"/>
  <c r="E95"/>
  <c r="J94"/>
  <c r="I94"/>
  <c r="H94"/>
  <c r="G94"/>
  <c r="F94"/>
  <c r="E94"/>
  <c r="H93"/>
  <c r="G93"/>
  <c r="F93"/>
  <c r="E93"/>
  <c r="J92"/>
  <c r="I92"/>
  <c r="H92"/>
  <c r="G92"/>
  <c r="F92"/>
  <c r="E92"/>
  <c r="J91"/>
  <c r="I91"/>
  <c r="H91"/>
  <c r="G91"/>
  <c r="F91"/>
  <c r="E91"/>
  <c r="H90"/>
  <c r="G90"/>
  <c r="F90"/>
  <c r="E90"/>
  <c r="J89"/>
  <c r="I89"/>
  <c r="H89"/>
  <c r="G89"/>
  <c r="F89"/>
  <c r="E89"/>
  <c r="H88"/>
  <c r="G88"/>
  <c r="F88"/>
  <c r="E88"/>
  <c r="J87"/>
  <c r="I87"/>
  <c r="H87"/>
  <c r="G87"/>
  <c r="F87"/>
  <c r="E87"/>
  <c r="J86"/>
  <c r="I86"/>
  <c r="H86"/>
  <c r="G86"/>
  <c r="F86"/>
  <c r="E86"/>
  <c r="J85"/>
  <c r="I85"/>
  <c r="H85"/>
  <c r="G85"/>
  <c r="F85"/>
  <c r="E85"/>
  <c r="J84"/>
  <c r="I84"/>
  <c r="H84"/>
  <c r="G84"/>
  <c r="F84"/>
  <c r="E84"/>
  <c r="H83"/>
  <c r="G83"/>
  <c r="F83"/>
  <c r="E83"/>
  <c r="J82"/>
  <c r="I82"/>
  <c r="H82"/>
  <c r="G82"/>
  <c r="F82"/>
  <c r="E82"/>
  <c r="J81"/>
  <c r="I81"/>
  <c r="H81"/>
  <c r="G81"/>
  <c r="F81"/>
  <c r="E81"/>
  <c r="J80"/>
  <c r="I80"/>
  <c r="H80"/>
  <c r="G80"/>
  <c r="F80"/>
  <c r="E80"/>
  <c r="J79"/>
  <c r="I79"/>
  <c r="H79"/>
  <c r="G79"/>
  <c r="F79"/>
  <c r="E79"/>
  <c r="J78"/>
  <c r="I78"/>
  <c r="H78"/>
  <c r="G78"/>
  <c r="F78"/>
  <c r="E78"/>
  <c r="J77"/>
  <c r="I77"/>
  <c r="H77"/>
  <c r="G77"/>
  <c r="F77"/>
  <c r="E77"/>
  <c r="J76"/>
  <c r="I76"/>
  <c r="H76"/>
  <c r="G76"/>
  <c r="F76"/>
  <c r="E76"/>
  <c r="J75"/>
  <c r="I75"/>
  <c r="H75"/>
  <c r="G75"/>
  <c r="F75"/>
  <c r="E75"/>
  <c r="J74"/>
  <c r="I74"/>
  <c r="H74"/>
  <c r="G74"/>
  <c r="F74"/>
  <c r="E74"/>
  <c r="J73"/>
  <c r="I73"/>
  <c r="H73"/>
  <c r="G73"/>
  <c r="F73"/>
  <c r="E73"/>
  <c r="H72"/>
  <c r="G72"/>
  <c r="F72"/>
  <c r="E72"/>
  <c r="J71"/>
  <c r="I71"/>
  <c r="H71"/>
  <c r="G71"/>
  <c r="F71"/>
  <c r="E71"/>
  <c r="H70"/>
  <c r="G70"/>
  <c r="F70"/>
  <c r="E70"/>
  <c r="J69"/>
  <c r="I69"/>
  <c r="H69"/>
  <c r="G69"/>
  <c r="F69"/>
  <c r="E69"/>
  <c r="J68"/>
  <c r="I68"/>
  <c r="H68"/>
  <c r="G68"/>
  <c r="F68"/>
  <c r="E68"/>
  <c r="J67"/>
  <c r="I67"/>
  <c r="H67"/>
  <c r="G67"/>
  <c r="F67"/>
  <c r="E67"/>
  <c r="J66"/>
  <c r="I66"/>
  <c r="H66"/>
  <c r="G66"/>
  <c r="F66"/>
  <c r="E66"/>
  <c r="J65"/>
  <c r="I65"/>
  <c r="H65"/>
  <c r="G65"/>
  <c r="F65"/>
  <c r="E65"/>
  <c r="J64"/>
  <c r="I64"/>
  <c r="H64"/>
  <c r="G64"/>
  <c r="F64"/>
  <c r="E64"/>
  <c r="H63"/>
  <c r="G63"/>
  <c r="F63"/>
  <c r="E63"/>
  <c r="J62"/>
  <c r="I62"/>
  <c r="H62"/>
  <c r="G62"/>
  <c r="F62"/>
  <c r="E62"/>
  <c r="J61"/>
  <c r="I61"/>
  <c r="H61"/>
  <c r="G61"/>
  <c r="F61"/>
  <c r="E61"/>
  <c r="J60"/>
  <c r="I60"/>
  <c r="H60"/>
  <c r="G60"/>
  <c r="F60"/>
  <c r="E60"/>
  <c r="J59"/>
  <c r="I59"/>
  <c r="H59"/>
  <c r="G59"/>
  <c r="F59"/>
  <c r="E59"/>
  <c r="J58"/>
  <c r="I58"/>
  <c r="H58"/>
  <c r="G58"/>
  <c r="F58"/>
  <c r="E58"/>
  <c r="J57"/>
  <c r="I57"/>
  <c r="H57"/>
  <c r="G57"/>
  <c r="F57"/>
  <c r="E57"/>
  <c r="J56"/>
  <c r="I56"/>
  <c r="H56"/>
  <c r="G56"/>
  <c r="F56"/>
  <c r="E56"/>
  <c r="G55"/>
  <c r="F55"/>
  <c r="E55"/>
  <c r="J54"/>
  <c r="I54"/>
  <c r="H54"/>
  <c r="G54"/>
  <c r="F54"/>
  <c r="E54"/>
  <c r="H53"/>
  <c r="G53"/>
  <c r="F53"/>
  <c r="E53"/>
  <c r="J52"/>
  <c r="I52"/>
  <c r="H52"/>
  <c r="G52"/>
  <c r="F52"/>
  <c r="E52"/>
  <c r="H51"/>
  <c r="G51"/>
  <c r="F51"/>
  <c r="E51"/>
  <c r="J50"/>
  <c r="I50"/>
  <c r="H50"/>
  <c r="G50"/>
  <c r="F50"/>
  <c r="E50"/>
  <c r="J49"/>
  <c r="I49"/>
  <c r="H49"/>
  <c r="G49"/>
  <c r="F49"/>
  <c r="E49"/>
  <c r="J48"/>
  <c r="I48"/>
  <c r="H48"/>
  <c r="G48"/>
  <c r="F48"/>
  <c r="E48"/>
  <c r="H47"/>
  <c r="G47"/>
  <c r="F47"/>
  <c r="E47"/>
  <c r="J46"/>
  <c r="I46"/>
  <c r="H46"/>
  <c r="G46"/>
  <c r="F46"/>
  <c r="E46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I40"/>
  <c r="H40"/>
  <c r="G40"/>
  <c r="F40"/>
  <c r="E40"/>
  <c r="H39"/>
  <c r="G39"/>
  <c r="F39"/>
  <c r="E39"/>
  <c r="H38"/>
  <c r="G38"/>
  <c r="F38"/>
  <c r="E38"/>
  <c r="J37"/>
  <c r="I37"/>
  <c r="H37"/>
  <c r="G37"/>
  <c r="F37"/>
  <c r="E37"/>
  <c r="J36"/>
  <c r="I36"/>
  <c r="H36"/>
  <c r="G36"/>
  <c r="F36"/>
  <c r="E36"/>
  <c r="J35"/>
  <c r="I35"/>
  <c r="H35"/>
  <c r="G35"/>
  <c r="F35"/>
  <c r="E35"/>
  <c r="J34"/>
  <c r="I34"/>
  <c r="H34"/>
  <c r="G34"/>
  <c r="F34"/>
  <c r="E34"/>
  <c r="J33"/>
  <c r="I33"/>
  <c r="H33"/>
  <c r="G33"/>
  <c r="F33"/>
  <c r="E33"/>
  <c r="J32"/>
  <c r="I32"/>
  <c r="H32"/>
  <c r="G32"/>
  <c r="F32"/>
  <c r="E32"/>
  <c r="J31"/>
  <c r="I31"/>
  <c r="H31"/>
  <c r="G31"/>
  <c r="F31"/>
  <c r="E31"/>
  <c r="H30"/>
  <c r="G30"/>
  <c r="F30"/>
  <c r="E30"/>
  <c r="J29"/>
  <c r="I29"/>
  <c r="H29"/>
  <c r="G29"/>
  <c r="F29"/>
  <c r="E29"/>
  <c r="J28"/>
  <c r="I28"/>
  <c r="H28"/>
  <c r="G28"/>
  <c r="F28"/>
  <c r="E28"/>
  <c r="J27"/>
  <c r="I27"/>
  <c r="H27"/>
  <c r="G27"/>
  <c r="F27"/>
  <c r="E27"/>
  <c r="G26"/>
  <c r="F26"/>
  <c r="E26"/>
  <c r="J25"/>
  <c r="I25"/>
  <c r="H25"/>
  <c r="G25"/>
  <c r="F25"/>
  <c r="E25"/>
  <c r="H24"/>
  <c r="G24"/>
  <c r="F24"/>
  <c r="E24"/>
  <c r="J23"/>
  <c r="I23"/>
  <c r="H23"/>
  <c r="G23"/>
  <c r="F23"/>
  <c r="E23"/>
  <c r="J22"/>
  <c r="I22"/>
  <c r="H22"/>
  <c r="G22"/>
  <c r="F22"/>
  <c r="E22"/>
  <c r="J21"/>
  <c r="I21"/>
  <c r="H21"/>
  <c r="G21"/>
  <c r="F21"/>
  <c r="E21"/>
  <c r="H20"/>
  <c r="G20"/>
  <c r="F20"/>
  <c r="E20"/>
  <c r="J19"/>
  <c r="I19"/>
  <c r="H19"/>
  <c r="G19"/>
  <c r="F19"/>
  <c r="E19"/>
  <c r="H18"/>
  <c r="G18"/>
  <c r="F18"/>
  <c r="E18"/>
  <c r="H17"/>
  <c r="G17"/>
  <c r="F17"/>
  <c r="E17"/>
  <c r="J16"/>
  <c r="I16"/>
  <c r="H16"/>
  <c r="G16"/>
  <c r="F16"/>
  <c r="E16"/>
  <c r="J15"/>
  <c r="I15"/>
  <c r="H15"/>
  <c r="G15"/>
  <c r="F15"/>
  <c r="E15"/>
  <c r="J14"/>
  <c r="I14"/>
  <c r="H14"/>
  <c r="G14"/>
  <c r="F14"/>
  <c r="E14"/>
  <c r="J13"/>
  <c r="I13"/>
  <c r="H13"/>
  <c r="G13"/>
  <c r="F13"/>
  <c r="E13"/>
  <c r="H12"/>
  <c r="G12"/>
  <c r="F12"/>
  <c r="E12"/>
  <c r="G11"/>
  <c r="F11"/>
  <c r="E11"/>
  <c r="J10"/>
  <c r="I10"/>
  <c r="H10"/>
  <c r="G10"/>
  <c r="F10"/>
  <c r="E10"/>
  <c r="J9"/>
  <c r="I9"/>
  <c r="H9"/>
  <c r="G9"/>
  <c r="F9"/>
  <c r="E9"/>
  <c r="H8"/>
  <c r="G8"/>
  <c r="F8"/>
  <c r="E8"/>
  <c r="J7"/>
  <c r="I7"/>
  <c r="H7"/>
  <c r="G7"/>
  <c r="F7"/>
  <c r="E7"/>
  <c r="J6"/>
  <c r="I6"/>
  <c r="H6"/>
  <c r="G6"/>
  <c r="F6"/>
  <c r="E6"/>
  <c r="J5"/>
  <c r="I5"/>
  <c r="H5"/>
  <c r="G5"/>
  <c r="F5"/>
  <c r="E5"/>
  <c r="J4"/>
  <c r="I4"/>
  <c r="H4"/>
  <c r="G4"/>
  <c r="F4"/>
  <c r="E4"/>
  <c r="J3"/>
  <c r="I3"/>
  <c r="H3"/>
  <c r="G3"/>
  <c r="F3"/>
  <c r="E3"/>
  <c r="J2"/>
  <c r="I2"/>
  <c r="H2"/>
  <c r="G2"/>
  <c r="F2"/>
  <c r="E2"/>
  <c r="J1"/>
  <c r="I1"/>
  <c r="H1"/>
  <c r="G1"/>
  <c r="F1"/>
  <c r="E1"/>
</calcChain>
</file>

<file path=xl/sharedStrings.xml><?xml version="1.0" encoding="utf-8"?>
<sst xmlns="http://schemas.openxmlformats.org/spreadsheetml/2006/main" count="280" uniqueCount="141">
  <si>
    <t>OTU domain, ubiquitin aldehyde binding 2</t>
  </si>
  <si>
    <t>protein kinase inhibitor, gamma</t>
  </si>
  <si>
    <t>tumor necrosis factor receptor superfamily, member 13c</t>
  </si>
  <si>
    <t>beaded filament structural protein 2, phakinin</t>
  </si>
  <si>
    <t>polymerase (DNA directed), eta (RAD 30 related)</t>
  </si>
  <si>
    <t>helicase, POLQ-like</t>
  </si>
  <si>
    <t>alcohol dehydrogenase, iron containing, 1</t>
  </si>
  <si>
    <t>FYVE, RhoGEF and PH domain containing 6</t>
  </si>
  <si>
    <t>5' nucleotidase, ecto</t>
  </si>
  <si>
    <t>predicted gene, 16633</t>
  </si>
  <si>
    <t>gene segment</t>
  </si>
  <si>
    <t>H1 histone family, member X</t>
  </si>
  <si>
    <t>cytochrome P450, family 51</t>
  </si>
  <si>
    <t>H2A histone family, member X</t>
  </si>
  <si>
    <t>RAB, member of RAS oncogene family-like 5</t>
  </si>
  <si>
    <t>family with sequence similarity 46, member C</t>
  </si>
  <si>
    <t>H1 histone family, member 0</t>
  </si>
  <si>
    <t>ATP-binding cassette, sub-family A (ABC1), member 3</t>
  </si>
  <si>
    <t>family with sequence similarity 134, member B</t>
  </si>
  <si>
    <t>ATPase, aminophospholipid transporter (APLT), class I, type 8A, member 1</t>
  </si>
  <si>
    <t>solute carrier family 25 (mitochondrial thiamine pyrophosphate carrier), member 19</t>
  </si>
  <si>
    <t>catenin (cadherin associated protein), alpha-like 1</t>
  </si>
  <si>
    <t>platelet-activating factor acetylhydrolase, isoform 1b, subunit 3</t>
  </si>
  <si>
    <t>hemoglobin, beta adult major chain</t>
  </si>
  <si>
    <t>coronin, actin binding protein, 2B</t>
  </si>
  <si>
    <t>solute carrier family 31, member 1</t>
  </si>
  <si>
    <t>solute carrier family 30 (zinc transporter), member 5</t>
  </si>
  <si>
    <t>mannosidase, endo-alpha</t>
  </si>
  <si>
    <t>ArfGAP with SH# domain, ankyrin repeat and PH domain1</t>
  </si>
  <si>
    <t>phosphatidylinositol transfer protein, cytoplasmic 1</t>
  </si>
  <si>
    <t>consortin, connexin sorting protein</t>
  </si>
  <si>
    <t>melanoma antigen, family D, 1</t>
  </si>
  <si>
    <t>guanine nucleotide binding protein, alpha 13</t>
  </si>
  <si>
    <t>solute carrier family 12, member 2</t>
  </si>
  <si>
    <t>histone cluster 2, H3c1</t>
  </si>
  <si>
    <t>H3 histone, family 3A</t>
  </si>
  <si>
    <t>isocitrate dehydrogenase 2 (NADP+), mitochondrial</t>
  </si>
  <si>
    <t>pleckstrin homology domain-containing, family A (phosphoinositide binding specific) member 2</t>
  </si>
  <si>
    <t>zinc finger, CCHC domain containing 10</t>
  </si>
  <si>
    <t>enoyl-Coenzyme A, hydratase/3-hydroxyacyl Coenzyme A dehydrogenase</t>
  </si>
  <si>
    <t>family with sequence similarity 118, member A</t>
  </si>
  <si>
    <t>ubiquitin-conjugating enzyme E2, J1</t>
  </si>
  <si>
    <t>guanine nucleotide binding protein, alpha z subunit</t>
  </si>
  <si>
    <t>family with sequence similarity 83, member D</t>
  </si>
  <si>
    <t>glutaredoxin, cysteine rich 1</t>
  </si>
  <si>
    <t>CCR4-NOT transcription complex, subunit 2</t>
  </si>
  <si>
    <t>glucosaminyl (N-acetyl) transferase 3, mucin type</t>
  </si>
  <si>
    <t>FoldChange</t>
  </si>
  <si>
    <t>Stdv</t>
  </si>
  <si>
    <t>RAS, guanyl releasing protein 3</t>
  </si>
  <si>
    <t>protein coding gene</t>
  </si>
  <si>
    <t>POU domain, class 2, associating factor 1</t>
  </si>
  <si>
    <t>Fc receptor, IgE, low affinity II, alpha polypeptide</t>
  </si>
  <si>
    <t>cat eye syndrome chromosome region, candidate 2 homolog (human)</t>
  </si>
  <si>
    <t>beta galactoside alpha 2,6 sialyltransferase 1</t>
  </si>
  <si>
    <t>RAB30, member RAS oncogene family</t>
  </si>
  <si>
    <t>solute carrier family 41, member 2</t>
  </si>
  <si>
    <t>pleckstrin homology domain containing, family O member 1</t>
  </si>
  <si>
    <t>C-type lectin domain family 12, member a</t>
  </si>
  <si>
    <t>endonuclease, polyU-specific</t>
  </si>
  <si>
    <t>poly (ADP-ribose) polymerase family, member 8</t>
  </si>
  <si>
    <t>apolipoprotein B mRNA editing enzyme, catalytic polypeptide 1</t>
  </si>
  <si>
    <t>bone morphogenetic protein receptor, type 1A</t>
  </si>
  <si>
    <t>brain abundant, membrane attached signal protein 1</t>
  </si>
  <si>
    <t>hemoglobin Z, beta-like embryonic chain</t>
  </si>
  <si>
    <t>phospholipase C, gamma 2</t>
  </si>
  <si>
    <t>vomeronasal 2, receptor 96</t>
  </si>
  <si>
    <t>ATPase family, AAA domain containing 1</t>
  </si>
  <si>
    <t>indoleamine 2,3-dioxygenase 1</t>
  </si>
  <si>
    <t>castor homolog 1, zinc finger (Drosophila)</t>
  </si>
  <si>
    <t>RAB28, member RAS oncogene family</t>
  </si>
  <si>
    <t>phosphate cytidylyltransferase 1, choline, beta isoform</t>
  </si>
  <si>
    <t>DNA segment, Chr 6, Wayne State University 163, expressed</t>
  </si>
  <si>
    <t>2,3-bisphosphoglycerate mutase</t>
  </si>
  <si>
    <t>synergin, gamma</t>
  </si>
  <si>
    <t>guanine nucleotide binding protein, alpha 12</t>
  </si>
  <si>
    <t>Der1-like domain family, member 3</t>
  </si>
  <si>
    <t>phospholipase A2, group XIIA</t>
  </si>
  <si>
    <t>homocysteine-inducible, endoplasmic reticulum stress-inducible, ubiquitin-like domain member 1</t>
  </si>
  <si>
    <t>pyrroline-5-carboxylate reductase family, member 2</t>
  </si>
  <si>
    <t>zinc finger, BED domain containing 3</t>
  </si>
  <si>
    <t>transient receptor potential cation channel, subfamily C, member 4 associated protein</t>
  </si>
  <si>
    <t>predicted gene, 16710</t>
  </si>
  <si>
    <t>solute carrier family 23 (nucleobase transporters), member 1</t>
  </si>
  <si>
    <t>E26 avian leukemia oncogene 2, 3' domain</t>
  </si>
  <si>
    <t>pleckstrin homology domain containing, family F (with FYVE domain) member 2</t>
  </si>
  <si>
    <t>core 1 synthase, glycoprotein-N-acetylgalactosamine 3-beta-galactosyltransferase, 1</t>
  </si>
  <si>
    <t>mesoderm induction early response 1, family member 3</t>
  </si>
  <si>
    <t>protein phosphatase 4, regulatory subunit 2</t>
  </si>
  <si>
    <t>discoidin, CUB  and LCCL domain containing 1</t>
  </si>
  <si>
    <t>family with sequence similarity 72, member A</t>
  </si>
  <si>
    <t>ras homolog gene family, member H</t>
  </si>
  <si>
    <t>tumor necrosis factor, alpha-induced protein 8</t>
  </si>
  <si>
    <t>transforming growth factor, beta receptor I</t>
  </si>
  <si>
    <t>solute carrier family 15, member 3</t>
  </si>
  <si>
    <t>protein kinase C, delta</t>
  </si>
  <si>
    <t>AF4/FMR2 family, member 4</t>
  </si>
  <si>
    <t>ligase IV, DNA, ATP-dependent</t>
  </si>
  <si>
    <t>microtubule-associated protein, RP/EB family, member 2</t>
  </si>
  <si>
    <t>actin related protein 2/3 complex, subunit 5-like</t>
  </si>
  <si>
    <t>selenoprotein P, plasma, 1</t>
  </si>
  <si>
    <t>Fanconi anemia, complementation group M</t>
  </si>
  <si>
    <t>cyclin-dependent kinase inhibitor 2C (p18, inhibits CDK4)</t>
  </si>
  <si>
    <t>apoptosis-inducing, TAF9-like domain 1</t>
  </si>
  <si>
    <t>solute carrier family 22 (organic anion/cation transporter), member 15</t>
  </si>
  <si>
    <t>poly (ADP-ribose) polymerase family, member 1</t>
  </si>
  <si>
    <t>sodium channel, voltage-gated, type XI, alpha</t>
  </si>
  <si>
    <t>family with sequence similarity 20, member B</t>
  </si>
  <si>
    <t>TAF9 RNA polymerase II, TATA box binding protein (TBP)-associated factor</t>
  </si>
  <si>
    <t>polymerase (DNA directed), gamma</t>
  </si>
  <si>
    <t>zinc finger, CCHC domain containing 18</t>
  </si>
  <si>
    <t>regulatory factor X, 7</t>
  </si>
  <si>
    <t>REV3-like, catalytic subunit of DNA polymerase zeta RAD54 like (S. cerevisiae)</t>
  </si>
  <si>
    <t>calcium channel, voltage-dependent, L type, alpha 1D subunit</t>
  </si>
  <si>
    <t>transducin-like enhancer of split 1, homolog of Drosophila E(spl)</t>
  </si>
  <si>
    <t>family with sequence similarity 105, member B</t>
  </si>
  <si>
    <t>transient receptor potential cation channel, subfamily M, member 5</t>
  </si>
  <si>
    <t>TBC1 domain family, member 1</t>
  </si>
  <si>
    <t>general transcription factor II A, 1</t>
  </si>
  <si>
    <t>solute carrier family 25 (mitochondrial carrier, dicarboxylate transporter), member 10</t>
  </si>
  <si>
    <t>DAZ interacting protein 3, zinc finger</t>
  </si>
  <si>
    <t>MOB1, Mps One Binder kinase activator-like 1A (yeast)</t>
  </si>
  <si>
    <t>myosin binding protein C, fast-type</t>
  </si>
  <si>
    <t>ubiquitin-conjugating enzyme E2G 1 (UBC7 homolog, C. elegans)</t>
  </si>
  <si>
    <t>HFM1, ATP-dependent DNA helicase homolog (S. cerevisiae)</t>
  </si>
  <si>
    <t>solute carrier family 25 (mitochondrial carrier, phosphate carrier), member 25</t>
  </si>
  <si>
    <t>6-phosphofructo-2-kinase/fructose-2,6-biphosphatase 1</t>
  </si>
  <si>
    <t>N(alpha)-acetyltransferase 40, NatD catalytic subunit, homolog (S. cerevisiae)</t>
  </si>
  <si>
    <t>calcium channel, voltage-dependent, T type, alpha 1H subunit</t>
  </si>
  <si>
    <t>DnaJ (Hsp40) homolog, subfamily C, member 10</t>
  </si>
  <si>
    <t>family with sequence similarity 135, member A</t>
  </si>
  <si>
    <t>lipase, hepatic</t>
  </si>
  <si>
    <t>fascin homolog 1, actin bundling protein (Strongylocentrotus purpuratus)</t>
  </si>
  <si>
    <t>solute carrier family 36 (proton/amino acid symporter), member 4</t>
  </si>
  <si>
    <t>calcium channel, voltage-dependent, alpha 1I subunit</t>
  </si>
  <si>
    <t>family with sequence similarity 76, member B</t>
  </si>
  <si>
    <t>myosin, light polypeptide 4</t>
  </si>
  <si>
    <t>EGF-like-domain, multiple 6</t>
  </si>
  <si>
    <t>crystallin, zeta</t>
  </si>
  <si>
    <t>SWI/SNF related, matrix associated, actin dependent regulator of chromatin, subfamily a, member 4</t>
  </si>
  <si>
    <t>PIN2/TERF1 interacting, telomerase inhibitor 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</si>
</sst>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94"/>
  <sheetViews>
    <sheetView tabSelected="1" workbookViewId="0">
      <selection sqref="A1:J1048576"/>
    </sheetView>
  </sheetViews>
  <sheetFormatPr baseColWidth="10" defaultRowHeight="13"/>
  <cols>
    <col min="9" max="9" width="42.140625" customWidth="1"/>
  </cols>
  <sheetData>
    <row r="1" spans="1:10">
      <c r="B1" t="s">
        <v>47</v>
      </c>
      <c r="C1" t="s">
        <v>48</v>
      </c>
      <c r="E1" t="str">
        <f>"Input"</f>
        <v>Input</v>
      </c>
      <c r="F1" t="str">
        <f>"Input type"</f>
        <v>Input type</v>
      </c>
      <c r="G1" t="str">
        <f>"MGI Gene/Marker ID"</f>
        <v>MGI Gene/Marker ID</v>
      </c>
      <c r="H1" t="str">
        <f>"Symbol"</f>
        <v>Symbol</v>
      </c>
      <c r="I1" t="str">
        <f>"Name"</f>
        <v>Name</v>
      </c>
      <c r="J1" t="str">
        <f>"Feature Type"</f>
        <v>Feature Type</v>
      </c>
    </row>
    <row r="2" spans="1:10">
      <c r="A2">
        <v>10358399</v>
      </c>
      <c r="B2">
        <v>102.52371485492</v>
      </c>
      <c r="C2">
        <v>6.2958617308701399</v>
      </c>
      <c r="E2" t="str">
        <f>"10358399"</f>
        <v>10358399</v>
      </c>
      <c r="F2" t="str">
        <f t="shared" ref="F2:F10" si="0">"Affy 1.0 ST"</f>
        <v>Affy 1.0 ST</v>
      </c>
      <c r="G2" t="str">
        <f>"MGI:2180585"</f>
        <v>MGI:2180585</v>
      </c>
      <c r="H2" t="str">
        <f>"Rgs13"</f>
        <v>Rgs13</v>
      </c>
      <c r="I2" t="str">
        <f>"regulator of G-protein signaling 13"</f>
        <v>regulator of G-protein signaling 13</v>
      </c>
      <c r="J2" t="str">
        <f>"protein coding gene"</f>
        <v>protein coding gene</v>
      </c>
    </row>
    <row r="3" spans="1:10">
      <c r="A3">
        <v>10531126</v>
      </c>
      <c r="B3">
        <v>86.155173004331502</v>
      </c>
      <c r="C3">
        <v>22.8934246606809</v>
      </c>
      <c r="E3" t="str">
        <f>"10531126"</f>
        <v>10531126</v>
      </c>
      <c r="F3" t="str">
        <f t="shared" si="0"/>
        <v>Affy 1.0 ST</v>
      </c>
      <c r="G3" t="str">
        <f>"MGI:96493"</f>
        <v>MGI:96493</v>
      </c>
      <c r="H3" t="str">
        <f>"Igj"</f>
        <v>Igj</v>
      </c>
      <c r="I3" t="str">
        <f>"immunoglobulin joining chain"</f>
        <v>immunoglobulin joining chain</v>
      </c>
      <c r="J3" t="str">
        <f>"protein coding gene"</f>
        <v>protein coding gene</v>
      </c>
    </row>
    <row r="4" spans="1:10">
      <c r="A4">
        <v>10541507</v>
      </c>
      <c r="B4">
        <v>74.321871608125605</v>
      </c>
      <c r="C4">
        <v>13.1996604282135</v>
      </c>
      <c r="E4" t="str">
        <f>"10541507"</f>
        <v>10541507</v>
      </c>
      <c r="F4" t="str">
        <f t="shared" si="0"/>
        <v>Affy 1.0 ST</v>
      </c>
      <c r="G4" t="str">
        <f>"MGI:1342279"</f>
        <v>MGI:1342279</v>
      </c>
      <c r="H4" t="str">
        <f>"Aicda"</f>
        <v>Aicda</v>
      </c>
      <c r="I4" t="str">
        <f>"activation-induced cytidine deaminase"</f>
        <v>activation-induced cytidine deaminase</v>
      </c>
      <c r="J4" t="str">
        <f>"protein coding gene"</f>
        <v>protein coding gene</v>
      </c>
    </row>
    <row r="5" spans="1:10">
      <c r="A5">
        <v>10353010</v>
      </c>
      <c r="B5">
        <v>62.240913560157502</v>
      </c>
      <c r="C5">
        <v>50.936628176844998</v>
      </c>
      <c r="E5" t="str">
        <f>"10353010"</f>
        <v>10353010</v>
      </c>
      <c r="F5" t="str">
        <f t="shared" si="0"/>
        <v>Affy 1.0 ST</v>
      </c>
      <c r="G5" t="str">
        <f>"MGI:99925"</f>
        <v>MGI:99925</v>
      </c>
      <c r="H5" t="str">
        <f>"Mybl1"</f>
        <v>Mybl1</v>
      </c>
      <c r="I5" t="str">
        <f>"myeloblastosis oncogene-like 1"</f>
        <v>myeloblastosis oncogene-like 1</v>
      </c>
      <c r="J5" t="str">
        <f>"protein coding gene"</f>
        <v>protein coding gene</v>
      </c>
    </row>
    <row r="6" spans="1:10">
      <c r="A6">
        <v>10403021</v>
      </c>
      <c r="B6">
        <v>53.529243673916604</v>
      </c>
      <c r="C6">
        <v>46.374440561989601</v>
      </c>
      <c r="E6" t="str">
        <f>"10403021"</f>
        <v>10403021</v>
      </c>
      <c r="F6" t="str">
        <f t="shared" si="0"/>
        <v>Affy 1.0 ST</v>
      </c>
      <c r="G6" t="str">
        <f>"MGI:3704124"</f>
        <v>MGI:3704124</v>
      </c>
      <c r="H6" t="str">
        <f>"Ighv1-43"</f>
        <v>Ighv1-43</v>
      </c>
      <c r="I6" t="str">
        <f>"immunoglobulin heavy variable V1-43"</f>
        <v>immunoglobulin heavy variable V1-43</v>
      </c>
      <c r="J6" t="str">
        <f>"gene segment"</f>
        <v>gene segment</v>
      </c>
    </row>
    <row r="7" spans="1:10">
      <c r="A7">
        <v>10416006</v>
      </c>
      <c r="B7">
        <v>51.782665620592503</v>
      </c>
      <c r="C7">
        <v>5.4499633183426699</v>
      </c>
      <c r="E7" t="str">
        <f>"10416006"</f>
        <v>10416006</v>
      </c>
      <c r="F7" t="str">
        <f t="shared" si="0"/>
        <v>Affy 1.0 ST</v>
      </c>
      <c r="G7" t="str">
        <f>"MGI:2685446"</f>
        <v>MGI:2685446</v>
      </c>
      <c r="H7" t="str">
        <f>"Gm600"</f>
        <v>Gm600</v>
      </c>
      <c r="I7" t="str">
        <f>"predicted gene 600"</f>
        <v>predicted gene 600</v>
      </c>
      <c r="J7" t="str">
        <f>"protein coding gene"</f>
        <v>protein coding gene</v>
      </c>
    </row>
    <row r="8" spans="1:10">
      <c r="A8">
        <v>10446965</v>
      </c>
      <c r="B8">
        <v>48.582820216154801</v>
      </c>
      <c r="C8">
        <v>43.579435112168802</v>
      </c>
      <c r="E8" t="str">
        <f>"10446965"</f>
        <v>10446965</v>
      </c>
      <c r="F8" t="str">
        <f t="shared" si="0"/>
        <v>Affy 1.0 ST</v>
      </c>
      <c r="G8" t="str">
        <f>"MGI:3028579"</f>
        <v>MGI:3028579</v>
      </c>
      <c r="H8" t="str">
        <f>"Rasgrp3"</f>
        <v>Rasgrp3</v>
      </c>
      <c r="I8" t="s">
        <v>49</v>
      </c>
      <c r="J8" t="s">
        <v>50</v>
      </c>
    </row>
    <row r="9" spans="1:10">
      <c r="A9">
        <v>10436024</v>
      </c>
      <c r="B9">
        <v>47.290473032082403</v>
      </c>
      <c r="C9">
        <v>1.9636138842281201</v>
      </c>
      <c r="E9" t="str">
        <f>"10436024"</f>
        <v>10436024</v>
      </c>
      <c r="F9" t="str">
        <f t="shared" si="0"/>
        <v>Affy 1.0 ST</v>
      </c>
      <c r="G9" t="str">
        <f>"MGI:102969"</f>
        <v>MGI:102969</v>
      </c>
      <c r="H9" t="str">
        <f>"Gcet2"</f>
        <v>Gcet2</v>
      </c>
      <c r="I9" t="str">
        <f>"germinal center expressed transcript 2"</f>
        <v>germinal center expressed transcript 2</v>
      </c>
      <c r="J9" t="str">
        <f>"protein coding gene"</f>
        <v>protein coding gene</v>
      </c>
    </row>
    <row r="10" spans="1:10">
      <c r="A10">
        <v>10531261</v>
      </c>
      <c r="B10">
        <v>44.149586269978101</v>
      </c>
      <c r="C10">
        <v>1.4677557795168299</v>
      </c>
      <c r="E10" t="str">
        <f>"10531261"</f>
        <v>10531261</v>
      </c>
      <c r="F10" t="str">
        <f t="shared" si="0"/>
        <v>Affy 1.0 ST</v>
      </c>
      <c r="G10" t="str">
        <f>"MGI:1920496"</f>
        <v>MGI:1920496</v>
      </c>
      <c r="H10" t="str">
        <f>"Rassf6"</f>
        <v>Rassf6</v>
      </c>
      <c r="I10" t="str">
        <f>"Ras association (RalGDS/AF-6) domain family member 6"</f>
        <v>Ras association (RalGDS/AF-6) domain family member 6</v>
      </c>
      <c r="J10" t="str">
        <f>"protein coding gene"</f>
        <v>protein coding gene</v>
      </c>
    </row>
    <row r="11" spans="1:10">
      <c r="A11">
        <v>10545190</v>
      </c>
      <c r="B11">
        <v>30.046838140442699</v>
      </c>
      <c r="C11">
        <v>25.077212140338499</v>
      </c>
      <c r="E11" t="str">
        <f>"10545190"</f>
        <v>10545190</v>
      </c>
      <c r="F11" t="str">
        <f>""</f>
        <v/>
      </c>
      <c r="G11" t="str">
        <f>"No associated gene"</f>
        <v>No associated gene</v>
      </c>
    </row>
    <row r="12" spans="1:10">
      <c r="A12">
        <v>10585276</v>
      </c>
      <c r="B12">
        <v>27.587550591056601</v>
      </c>
      <c r="C12">
        <v>25.479322111205601</v>
      </c>
      <c r="E12" t="str">
        <f>"10585276"</f>
        <v>10585276</v>
      </c>
      <c r="F12" t="str">
        <f t="shared" ref="F12:F25" si="1">"Affy 1.0 ST"</f>
        <v>Affy 1.0 ST</v>
      </c>
      <c r="G12" t="str">
        <f>"MGI:105086"</f>
        <v>MGI:105086</v>
      </c>
      <c r="H12" t="str">
        <f>"Pou2af1"</f>
        <v>Pou2af1</v>
      </c>
      <c r="I12" t="s">
        <v>51</v>
      </c>
      <c r="J12" t="s">
        <v>50</v>
      </c>
    </row>
    <row r="13" spans="1:10">
      <c r="A13">
        <v>10438738</v>
      </c>
      <c r="B13">
        <v>21.5378867373445</v>
      </c>
      <c r="C13">
        <v>16.117325782971498</v>
      </c>
      <c r="E13" t="str">
        <f>"10438738"</f>
        <v>10438738</v>
      </c>
      <c r="F13" t="str">
        <f t="shared" si="1"/>
        <v>Affy 1.0 ST</v>
      </c>
      <c r="G13" t="str">
        <f>"MGI:107187"</f>
        <v>MGI:107187</v>
      </c>
      <c r="H13" t="str">
        <f>"Bcl6"</f>
        <v>Bcl6</v>
      </c>
      <c r="I13" t="str">
        <f>"B-cell leukemia/lymphoma 6"</f>
        <v>B-cell leukemia/lymphoma 6</v>
      </c>
      <c r="J13" t="str">
        <f>"protein coding gene"</f>
        <v>protein coding gene</v>
      </c>
    </row>
    <row r="14" spans="1:10">
      <c r="A14">
        <v>10531737</v>
      </c>
      <c r="B14">
        <v>19.350985243703299</v>
      </c>
      <c r="C14">
        <v>13.3818513529092</v>
      </c>
      <c r="E14" t="str">
        <f>"10531737"</f>
        <v>10531737</v>
      </c>
      <c r="F14" t="str">
        <f t="shared" si="1"/>
        <v>Affy 1.0 ST</v>
      </c>
      <c r="G14" t="str">
        <f>"MGI:1343124"</f>
        <v>MGI:1343124</v>
      </c>
      <c r="H14" t="str">
        <f>"Hpse"</f>
        <v>Hpse</v>
      </c>
      <c r="I14" t="str">
        <f>"heparanase"</f>
        <v>heparanase</v>
      </c>
      <c r="J14" t="str">
        <f>"protein coding gene"</f>
        <v>protein coding gene</v>
      </c>
    </row>
    <row r="15" spans="1:10">
      <c r="A15">
        <v>10487011</v>
      </c>
      <c r="B15">
        <v>19.284024097337198</v>
      </c>
      <c r="C15">
        <v>2.4049415362478199</v>
      </c>
      <c r="E15" t="str">
        <f>"10487011"</f>
        <v>10487011</v>
      </c>
      <c r="F15" t="str">
        <f t="shared" si="1"/>
        <v>Affy 1.0 ST</v>
      </c>
      <c r="G15" t="str">
        <f>"MGI:1914342"</f>
        <v>MGI:1914342</v>
      </c>
      <c r="H15" t="str">
        <f>"Gatm"</f>
        <v>Gatm</v>
      </c>
      <c r="I15" t="str">
        <f>"glycine amidinotransferase (L-arginine:glycine amidinotransferase)"</f>
        <v>glycine amidinotransferase (L-arginine:glycine amidinotransferase)</v>
      </c>
      <c r="J15" t="str">
        <f>"protein coding gene"</f>
        <v>protein coding gene</v>
      </c>
    </row>
    <row r="16" spans="1:10">
      <c r="A16">
        <v>10593887</v>
      </c>
      <c r="B16">
        <v>17.7942125481453</v>
      </c>
      <c r="C16">
        <v>1.4256824723733501</v>
      </c>
      <c r="E16" t="str">
        <f>"10593887"</f>
        <v>10593887</v>
      </c>
      <c r="F16" t="str">
        <f t="shared" si="1"/>
        <v>Affy 1.0 ST</v>
      </c>
      <c r="G16" t="str">
        <f>"MGI:1920024"</f>
        <v>MGI:1920024</v>
      </c>
      <c r="H16" t="str">
        <f>"Neil1"</f>
        <v>Neil1</v>
      </c>
      <c r="I16" t="str">
        <f>"nei endonuclease VIII-like 1 (E. coli)"</f>
        <v>nei endonuclease VIII-like 1 (E. coli)</v>
      </c>
      <c r="J16" t="str">
        <f>"protein coding gene"</f>
        <v>protein coding gene</v>
      </c>
    </row>
    <row r="17" spans="1:10">
      <c r="A17">
        <v>10576757</v>
      </c>
      <c r="B17">
        <v>16.621709565182901</v>
      </c>
      <c r="C17">
        <v>13.446107244620601</v>
      </c>
      <c r="E17" t="str">
        <f>"10576757"</f>
        <v>10576757</v>
      </c>
      <c r="F17" t="str">
        <f t="shared" si="1"/>
        <v>Affy 1.0 ST</v>
      </c>
      <c r="G17" t="str">
        <f>"MGI:95497"</f>
        <v>MGI:95497</v>
      </c>
      <c r="H17" t="str">
        <f>"Fcer2a"</f>
        <v>Fcer2a</v>
      </c>
      <c r="I17" t="s">
        <v>52</v>
      </c>
      <c r="J17" t="s">
        <v>50</v>
      </c>
    </row>
    <row r="18" spans="1:10">
      <c r="A18">
        <v>10541260</v>
      </c>
      <c r="B18">
        <v>16.0538099564431</v>
      </c>
      <c r="C18">
        <v>7.0943328964453301</v>
      </c>
      <c r="E18" t="str">
        <f>"10541260"</f>
        <v>10541260</v>
      </c>
      <c r="F18" t="str">
        <f t="shared" si="1"/>
        <v>Affy 1.0 ST</v>
      </c>
      <c r="G18" t="str">
        <f>"MGI:1923799"</f>
        <v>MGI:1923799</v>
      </c>
      <c r="H18" t="str">
        <f>"Cecr2"</f>
        <v>Cecr2</v>
      </c>
      <c r="I18" t="s">
        <v>53</v>
      </c>
      <c r="J18" t="s">
        <v>50</v>
      </c>
    </row>
    <row r="19" spans="1:10">
      <c r="A19">
        <v>10431424</v>
      </c>
      <c r="B19">
        <v>15.9896496913859</v>
      </c>
      <c r="C19">
        <v>3.2829303391859401</v>
      </c>
      <c r="E19" t="str">
        <f>"10431424"</f>
        <v>10431424</v>
      </c>
      <c r="F19" t="str">
        <f t="shared" si="1"/>
        <v>Affy 1.0 ST</v>
      </c>
      <c r="G19" t="str">
        <f>"MGI:2154239"</f>
        <v>MGI:2154239</v>
      </c>
      <c r="H19" t="str">
        <f>"Plxnb2"</f>
        <v>Plxnb2</v>
      </c>
      <c r="I19" t="str">
        <f>"plexin B2"</f>
        <v>plexin B2</v>
      </c>
      <c r="J19" t="str">
        <f>"protein coding gene"</f>
        <v>protein coding gene</v>
      </c>
    </row>
    <row r="20" spans="1:10">
      <c r="A20">
        <v>10434758</v>
      </c>
      <c r="B20">
        <v>15.8589480924265</v>
      </c>
      <c r="C20">
        <v>11.652554318264499</v>
      </c>
      <c r="E20" t="str">
        <f>"10434758"</f>
        <v>10434758</v>
      </c>
      <c r="F20" t="str">
        <f t="shared" si="1"/>
        <v>Affy 1.0 ST</v>
      </c>
      <c r="G20" t="str">
        <f>"MGI:108470"</f>
        <v>MGI:108470</v>
      </c>
      <c r="H20" t="str">
        <f>"St6gal1"</f>
        <v>St6gal1</v>
      </c>
      <c r="I20" t="s">
        <v>54</v>
      </c>
      <c r="J20" t="s">
        <v>50</v>
      </c>
    </row>
    <row r="21" spans="1:10">
      <c r="A21">
        <v>10439346</v>
      </c>
      <c r="B21">
        <v>15.101152810058201</v>
      </c>
      <c r="C21">
        <v>3.8201318623703999</v>
      </c>
      <c r="E21" t="str">
        <f>"10439346"</f>
        <v>10439346</v>
      </c>
      <c r="F21" t="str">
        <f t="shared" si="1"/>
        <v>Affy 1.0 ST</v>
      </c>
      <c r="G21" t="str">
        <f>"MGI:2146616"</f>
        <v>MGI:2146616</v>
      </c>
      <c r="H21" t="str">
        <f>"Eaf2"</f>
        <v>Eaf2</v>
      </c>
      <c r="I21" t="str">
        <f>"ELL associated factor 2"</f>
        <v>ELL associated factor 2</v>
      </c>
      <c r="J21" t="str">
        <f>"protein coding gene"</f>
        <v>protein coding gene</v>
      </c>
    </row>
    <row r="22" spans="1:10">
      <c r="A22">
        <v>10503709</v>
      </c>
      <c r="B22">
        <v>15.083666710790199</v>
      </c>
      <c r="C22">
        <v>9.5340082318715194</v>
      </c>
      <c r="E22" t="str">
        <f>"10503709"</f>
        <v>10503709</v>
      </c>
      <c r="F22" t="str">
        <f t="shared" si="1"/>
        <v>Affy 1.0 ST</v>
      </c>
      <c r="G22" t="str">
        <f>"MGI:3642664"</f>
        <v>MGI:3642664</v>
      </c>
      <c r="H22" t="str">
        <f>"D130062J21Rik"</f>
        <v>D130062J21Rik</v>
      </c>
      <c r="I22" t="str">
        <f>"RIKEN cDNA D130062J21 gene"</f>
        <v>RIKEN cDNA D130062J21 gene</v>
      </c>
      <c r="J22" t="str">
        <f>"unclassified gene"</f>
        <v>unclassified gene</v>
      </c>
    </row>
    <row r="23" spans="1:10">
      <c r="A23">
        <v>10473809</v>
      </c>
      <c r="B23">
        <v>14.933629322601201</v>
      </c>
      <c r="C23">
        <v>13.137178845352</v>
      </c>
      <c r="E23" t="str">
        <f>"10473809"</f>
        <v>10473809</v>
      </c>
      <c r="F23" t="str">
        <f t="shared" si="1"/>
        <v>Affy 1.0 ST</v>
      </c>
      <c r="G23" t="str">
        <f>"MGI:98282"</f>
        <v>MGI:98282</v>
      </c>
      <c r="H23" t="str">
        <f>"Sfpi1"</f>
        <v>Sfpi1</v>
      </c>
      <c r="I23" t="str">
        <f>"SFFV proviral integration 1"</f>
        <v>SFFV proviral integration 1</v>
      </c>
      <c r="J23" t="str">
        <f>"protein coding gene"</f>
        <v>protein coding gene</v>
      </c>
    </row>
    <row r="24" spans="1:10">
      <c r="A24">
        <v>10554938</v>
      </c>
      <c r="B24">
        <v>14.5910392249025</v>
      </c>
      <c r="C24">
        <v>11.294450126125099</v>
      </c>
      <c r="E24" t="str">
        <f>"10554938"</f>
        <v>10554938</v>
      </c>
      <c r="F24" t="str">
        <f t="shared" si="1"/>
        <v>Affy 1.0 ST</v>
      </c>
      <c r="G24" t="str">
        <f>"MGI:1923235"</f>
        <v>MGI:1923235</v>
      </c>
      <c r="H24" t="str">
        <f>"Rab30"</f>
        <v>Rab30</v>
      </c>
      <c r="I24" t="s">
        <v>55</v>
      </c>
      <c r="J24" t="s">
        <v>50</v>
      </c>
    </row>
    <row r="25" spans="1:10">
      <c r="A25">
        <v>10549506</v>
      </c>
      <c r="B25">
        <v>13.4057657240179</v>
      </c>
      <c r="C25">
        <v>9.9998595357967996</v>
      </c>
      <c r="E25" t="str">
        <f>"10549506"</f>
        <v>10549506</v>
      </c>
      <c r="F25" t="str">
        <f t="shared" si="1"/>
        <v>Affy 1.0 ST</v>
      </c>
      <c r="G25" t="str">
        <f>"MGI:2444273"</f>
        <v>MGI:2444273</v>
      </c>
      <c r="H25" t="str">
        <f>"Dennd5b"</f>
        <v>Dennd5b</v>
      </c>
      <c r="I25" t="str">
        <f>"DENN/MADD domain containing 5B"</f>
        <v>DENN/MADD domain containing 5B</v>
      </c>
      <c r="J25" t="str">
        <f>"protein coding gene"</f>
        <v>protein coding gene</v>
      </c>
    </row>
    <row r="26" spans="1:10">
      <c r="A26">
        <v>10503695</v>
      </c>
      <c r="B26">
        <v>12.892564982723499</v>
      </c>
      <c r="C26">
        <v>5.6390665409051</v>
      </c>
      <c r="E26" t="str">
        <f>"10503695"</f>
        <v>10503695</v>
      </c>
      <c r="F26" t="str">
        <f>""</f>
        <v/>
      </c>
      <c r="G26" t="str">
        <f>"No associated gene"</f>
        <v>No associated gene</v>
      </c>
    </row>
    <row r="27" spans="1:10">
      <c r="A27">
        <v>10375463</v>
      </c>
      <c r="B27">
        <v>12.436303731364299</v>
      </c>
      <c r="C27">
        <v>2.3479786147734298</v>
      </c>
      <c r="E27" t="str">
        <f>"10375463"</f>
        <v>10375463</v>
      </c>
      <c r="F27" t="str">
        <f t="shared" ref="F27:F54" si="2">"Affy 1.0 ST"</f>
        <v>Affy 1.0 ST</v>
      </c>
      <c r="G27" t="str">
        <f>"MGI:2159680"</f>
        <v>MGI:2159680</v>
      </c>
      <c r="H27" t="str">
        <f>"Havcr1"</f>
        <v>Havcr1</v>
      </c>
      <c r="I27" t="str">
        <f>"hepatitis A virus cellular receptor 1"</f>
        <v>hepatitis A virus cellular receptor 1</v>
      </c>
      <c r="J27" t="str">
        <f>"protein coding gene"</f>
        <v>protein coding gene</v>
      </c>
    </row>
    <row r="28" spans="1:10">
      <c r="A28">
        <v>10490903</v>
      </c>
      <c r="B28">
        <v>12.222297199632299</v>
      </c>
      <c r="C28">
        <v>1.3414625180862501</v>
      </c>
      <c r="E28" t="str">
        <f>"10490903"</f>
        <v>10490903</v>
      </c>
      <c r="F28" t="str">
        <f t="shared" si="2"/>
        <v>Affy 1.0 ST</v>
      </c>
      <c r="G28" t="str">
        <f>"MGI:1931322"</f>
        <v>MGI:1931322</v>
      </c>
      <c r="H28" t="str">
        <f>"Car13"</f>
        <v>Car13</v>
      </c>
      <c r="I28" t="str">
        <f>"carbonic anhydrase 13"</f>
        <v>carbonic anhydrase 13</v>
      </c>
      <c r="J28" t="str">
        <f>"protein coding gene"</f>
        <v>protein coding gene</v>
      </c>
    </row>
    <row r="29" spans="1:10">
      <c r="A29">
        <v>10539850</v>
      </c>
      <c r="B29">
        <v>12.1460739893877</v>
      </c>
      <c r="C29">
        <v>3.7039789232924298</v>
      </c>
      <c r="E29" t="str">
        <f>"10539850"</f>
        <v>10539850</v>
      </c>
      <c r="F29" t="str">
        <f t="shared" si="2"/>
        <v>Affy 1.0 ST</v>
      </c>
      <c r="G29" t="str">
        <f>"MGI:1914053"</f>
        <v>MGI:1914053</v>
      </c>
      <c r="H29" t="str">
        <f>"8430410A17Rik"</f>
        <v>8430410A17Rik</v>
      </c>
      <c r="I29" t="str">
        <f>"RIKEN cDNA 8430410A17 gene"</f>
        <v>RIKEN cDNA 8430410A17 gene</v>
      </c>
      <c r="J29" t="str">
        <f>"protein coding gene"</f>
        <v>protein coding gene</v>
      </c>
    </row>
    <row r="30" spans="1:10">
      <c r="A30">
        <v>10371321</v>
      </c>
      <c r="B30">
        <v>11.883116510096899</v>
      </c>
      <c r="C30">
        <v>9.6428591956792999</v>
      </c>
      <c r="E30" t="str">
        <f>"10371321"</f>
        <v>10371321</v>
      </c>
      <c r="F30" t="str">
        <f t="shared" si="2"/>
        <v>Affy 1.0 ST</v>
      </c>
      <c r="G30" t="str">
        <f>"MGI:2442940"</f>
        <v>MGI:2442940</v>
      </c>
      <c r="H30" t="str">
        <f>"Slc41a2"</f>
        <v>Slc41a2</v>
      </c>
      <c r="I30" t="s">
        <v>56</v>
      </c>
      <c r="J30" t="s">
        <v>50</v>
      </c>
    </row>
    <row r="31" spans="1:10">
      <c r="A31">
        <v>10432636</v>
      </c>
      <c r="B31">
        <v>11.381197950752901</v>
      </c>
      <c r="C31">
        <v>4.4679864916496799</v>
      </c>
      <c r="E31" t="str">
        <f>"10432636"</f>
        <v>10432636</v>
      </c>
      <c r="F31" t="str">
        <f t="shared" si="2"/>
        <v>Affy 1.0 ST</v>
      </c>
      <c r="G31" t="str">
        <f>"MGI:2448476"</f>
        <v>MGI:2448476</v>
      </c>
      <c r="H31" t="str">
        <f>"Smagp"</f>
        <v>Smagp</v>
      </c>
      <c r="I31" t="str">
        <f>"small cell adhesion glycoprotein"</f>
        <v>small cell adhesion glycoprotein</v>
      </c>
      <c r="J31" t="str">
        <f t="shared" ref="J31:J37" si="3">"protein coding gene"</f>
        <v>protein coding gene</v>
      </c>
    </row>
    <row r="32" spans="1:10">
      <c r="A32">
        <v>10387985</v>
      </c>
      <c r="B32">
        <v>10.592913306037699</v>
      </c>
      <c r="C32">
        <v>7.3885494098134599</v>
      </c>
      <c r="E32" t="str">
        <f>"10387985"</f>
        <v>10387985</v>
      </c>
      <c r="F32" t="str">
        <f t="shared" si="2"/>
        <v>Affy 1.0 ST</v>
      </c>
      <c r="G32" t="str">
        <f>"MGI:3610314"</f>
        <v>MGI:3610314</v>
      </c>
      <c r="H32" t="str">
        <f>"A430084P05Rik"</f>
        <v>A430084P05Rik</v>
      </c>
      <c r="I32" t="str">
        <f>"RIKEN cDNA A430084P05 gene"</f>
        <v>RIKEN cDNA A430084P05 gene</v>
      </c>
      <c r="J32" t="str">
        <f t="shared" si="3"/>
        <v>protein coding gene</v>
      </c>
    </row>
    <row r="33" spans="1:10">
      <c r="A33">
        <v>10462603</v>
      </c>
      <c r="B33">
        <v>10.558202815720801</v>
      </c>
      <c r="C33">
        <v>3.2957237841128499</v>
      </c>
      <c r="E33" t="str">
        <f>"10462603"</f>
        <v>10462603</v>
      </c>
      <c r="F33" t="str">
        <f t="shared" si="2"/>
        <v>Affy 1.0 ST</v>
      </c>
      <c r="G33" t="str">
        <f>"MGI:95484"</f>
        <v>MGI:95484</v>
      </c>
      <c r="H33" t="str">
        <f>"Fas"</f>
        <v>Fas</v>
      </c>
      <c r="I33" t="str">
        <f>"Fas (TNF receptor superfamily member 6)"</f>
        <v>Fas (TNF receptor superfamily member 6)</v>
      </c>
      <c r="J33" t="str">
        <f t="shared" si="3"/>
        <v>protein coding gene</v>
      </c>
    </row>
    <row r="34" spans="1:10">
      <c r="A34">
        <v>10489391</v>
      </c>
      <c r="B34">
        <v>9.9577346185231104</v>
      </c>
      <c r="C34">
        <v>1.5410021934137501</v>
      </c>
      <c r="E34" t="str">
        <f>"10489391"</f>
        <v>10489391</v>
      </c>
      <c r="F34" t="str">
        <f t="shared" si="2"/>
        <v>Affy 1.0 ST</v>
      </c>
      <c r="G34" t="str">
        <f>"MGI:87916"</f>
        <v>MGI:87916</v>
      </c>
      <c r="H34" t="str">
        <f>"Ada"</f>
        <v>Ada</v>
      </c>
      <c r="I34" t="str">
        <f>"adenosine deaminase"</f>
        <v>adenosine deaminase</v>
      </c>
      <c r="J34" t="str">
        <f t="shared" si="3"/>
        <v>protein coding gene</v>
      </c>
    </row>
    <row r="35" spans="1:10">
      <c r="A35">
        <v>10595371</v>
      </c>
      <c r="B35">
        <v>9.8789184898820608</v>
      </c>
      <c r="C35">
        <v>5.6046702865572904</v>
      </c>
      <c r="E35" t="str">
        <f>"10595371"</f>
        <v>10595371</v>
      </c>
      <c r="F35" t="str">
        <f t="shared" si="2"/>
        <v>Affy 1.0 ST</v>
      </c>
      <c r="G35" t="str">
        <f>"MGI:2138069"</f>
        <v>MGI:2138069</v>
      </c>
      <c r="H35" t="str">
        <f>"Hmgn3"</f>
        <v>Hmgn3</v>
      </c>
      <c r="I35" t="str">
        <f>"high mobility group nucleosomal binding domain 3"</f>
        <v>high mobility group nucleosomal binding domain 3</v>
      </c>
      <c r="J35" t="str">
        <f t="shared" si="3"/>
        <v>protein coding gene</v>
      </c>
    </row>
    <row r="36" spans="1:10">
      <c r="A36">
        <v>10428857</v>
      </c>
      <c r="B36">
        <v>9.8669008002798204</v>
      </c>
      <c r="C36">
        <v>7.2222645238739398</v>
      </c>
      <c r="E36" t="str">
        <f>"10428857"</f>
        <v>10428857</v>
      </c>
      <c r="F36" t="str">
        <f t="shared" si="2"/>
        <v>Affy 1.0 ST</v>
      </c>
      <c r="G36" t="str">
        <f>"MGI:2384818"</f>
        <v>MGI:2384818</v>
      </c>
      <c r="H36" t="str">
        <f>"Mtss1"</f>
        <v>Mtss1</v>
      </c>
      <c r="I36" t="str">
        <f>"metastasis suppressor 1"</f>
        <v>metastasis suppressor 1</v>
      </c>
      <c r="J36" t="str">
        <f t="shared" si="3"/>
        <v>protein coding gene</v>
      </c>
    </row>
    <row r="37" spans="1:10">
      <c r="A37">
        <v>10485622</v>
      </c>
      <c r="B37">
        <v>9.7614218225427596</v>
      </c>
      <c r="C37">
        <v>10.2434626768088</v>
      </c>
      <c r="E37" t="str">
        <f>"10485622"</f>
        <v>10485622</v>
      </c>
      <c r="F37" t="str">
        <f t="shared" si="2"/>
        <v>Affy 1.0 ST</v>
      </c>
      <c r="G37" t="str">
        <f>"MGI:2138986"</f>
        <v>MGI:2138986</v>
      </c>
      <c r="H37" t="str">
        <f>"Qser1"</f>
        <v>Qser1</v>
      </c>
      <c r="I37" t="str">
        <f>"glutamine and serine rich 1"</f>
        <v>glutamine and serine rich 1</v>
      </c>
      <c r="J37" t="str">
        <f t="shared" si="3"/>
        <v>protein coding gene</v>
      </c>
    </row>
    <row r="38" spans="1:10">
      <c r="A38">
        <v>10500295</v>
      </c>
      <c r="B38">
        <v>9.6332874041407202</v>
      </c>
      <c r="C38">
        <v>6.3291065317691499</v>
      </c>
      <c r="E38" t="str">
        <f>"10500295"</f>
        <v>10500295</v>
      </c>
      <c r="F38" t="str">
        <f t="shared" si="2"/>
        <v>Affy 1.0 ST</v>
      </c>
      <c r="G38" t="str">
        <f>"MGI:1914470"</f>
        <v>MGI:1914470</v>
      </c>
      <c r="H38" t="str">
        <f>"Plekho1"</f>
        <v>Plekho1</v>
      </c>
      <c r="I38" t="s">
        <v>57</v>
      </c>
      <c r="J38" t="s">
        <v>50</v>
      </c>
    </row>
    <row r="39" spans="1:10">
      <c r="A39">
        <v>10542164</v>
      </c>
      <c r="B39">
        <v>9.5823926997664195</v>
      </c>
      <c r="C39">
        <v>5.5774730804299999</v>
      </c>
      <c r="E39" t="str">
        <f>"10542164"</f>
        <v>10542164</v>
      </c>
      <c r="F39" t="str">
        <f t="shared" si="2"/>
        <v>Affy 1.0 ST</v>
      </c>
      <c r="G39" t="str">
        <f>"MGI:3040968"</f>
        <v>MGI:3040968</v>
      </c>
      <c r="H39" t="str">
        <f>"Clec12a"</f>
        <v>Clec12a</v>
      </c>
      <c r="I39" t="s">
        <v>58</v>
      </c>
      <c r="J39" t="s">
        <v>50</v>
      </c>
    </row>
    <row r="40" spans="1:10">
      <c r="A40">
        <v>10352767</v>
      </c>
      <c r="B40">
        <v>9.5508187915506593</v>
      </c>
      <c r="C40">
        <v>7.8806843977068297</v>
      </c>
      <c r="E40" t="str">
        <f>"10352767"</f>
        <v>10352767</v>
      </c>
      <c r="F40" t="str">
        <f t="shared" si="2"/>
        <v>Affy 1.0 ST</v>
      </c>
      <c r="G40" t="str">
        <f>"MGI:109359"</f>
        <v>MGI:109359</v>
      </c>
      <c r="H40" t="str">
        <f>"Nek2"</f>
        <v>Nek2</v>
      </c>
      <c r="I40" t="str">
        <f>"NIMA (never in mitosis gene a)-related expressed kinase 2"</f>
        <v>NIMA (never in mitosis gene a)-related expressed kinase 2</v>
      </c>
      <c r="J40" t="str">
        <f>"protein coding gene"</f>
        <v>protein coding gene</v>
      </c>
    </row>
    <row r="41" spans="1:10">
      <c r="A41">
        <v>10462866</v>
      </c>
      <c r="B41">
        <v>9.4969683785332695</v>
      </c>
      <c r="C41">
        <v>9.6273404123238997</v>
      </c>
      <c r="E41" t="str">
        <f>"10462866"</f>
        <v>10462866</v>
      </c>
      <c r="F41" t="str">
        <f t="shared" si="2"/>
        <v>Affy 1.0 ST</v>
      </c>
      <c r="G41" t="str">
        <f>"MGI:1921357"</f>
        <v>MGI:1921357</v>
      </c>
      <c r="H41" t="str">
        <f>"Cep55"</f>
        <v>Cep55</v>
      </c>
      <c r="I41" t="str">
        <f>"centrosomal protein 55"</f>
        <v>centrosomal protein 55</v>
      </c>
      <c r="J41" t="str">
        <f>"protein coding gene"</f>
        <v>protein coding gene</v>
      </c>
    </row>
    <row r="42" spans="1:10">
      <c r="A42">
        <v>10404840</v>
      </c>
      <c r="B42">
        <v>9.4827382891115803</v>
      </c>
      <c r="C42">
        <v>5.7707186553830097</v>
      </c>
      <c r="E42" t="str">
        <f>"10404840"</f>
        <v>10404840</v>
      </c>
      <c r="F42" t="str">
        <f t="shared" si="2"/>
        <v>Affy 1.0 ST</v>
      </c>
      <c r="G42" t="str">
        <f>"MGI:1328316"</f>
        <v>MGI:1328316</v>
      </c>
      <c r="H42" t="str">
        <f>"Cd83"</f>
        <v>Cd83</v>
      </c>
      <c r="I42" t="str">
        <f>"CD83 antigen"</f>
        <v>CD83 antigen</v>
      </c>
      <c r="J42" t="str">
        <f>"protein coding gene"</f>
        <v>protein coding gene</v>
      </c>
    </row>
    <row r="43" spans="1:10">
      <c r="A43">
        <v>10403009</v>
      </c>
      <c r="B43">
        <v>9.30729137438062</v>
      </c>
      <c r="C43">
        <v>6.2805281782803597</v>
      </c>
      <c r="E43" t="str">
        <f>"10403009"</f>
        <v>10403009</v>
      </c>
      <c r="F43" t="str">
        <f t="shared" si="2"/>
        <v>Affy 1.0 ST</v>
      </c>
      <c r="G43" t="str">
        <f>"MGI:3645298"</f>
        <v>MGI:3645298</v>
      </c>
      <c r="H43" t="str">
        <f>"Ighv3-8"</f>
        <v>Ighv3-8</v>
      </c>
      <c r="I43" t="str">
        <f>"immunoglobulin heavy variable V3-8"</f>
        <v>immunoglobulin heavy variable V3-8</v>
      </c>
      <c r="J43" t="str">
        <f>"gene segment"</f>
        <v>gene segment</v>
      </c>
    </row>
    <row r="44" spans="1:10">
      <c r="A44">
        <v>10525365</v>
      </c>
      <c r="B44">
        <v>9.2261066689219309</v>
      </c>
      <c r="C44">
        <v>7.8900767498166502</v>
      </c>
      <c r="E44" t="str">
        <f>"10525365"</f>
        <v>10525365</v>
      </c>
      <c r="F44" t="str">
        <f t="shared" si="2"/>
        <v>Affy 1.0 ST</v>
      </c>
      <c r="G44" t="str">
        <f>"MGI:1921346"</f>
        <v>MGI:1921346</v>
      </c>
      <c r="H44" t="str">
        <f>"Hvcn1"</f>
        <v>Hvcn1</v>
      </c>
      <c r="I44" t="str">
        <f>"hydrogen voltage-gated channel 1"</f>
        <v>hydrogen voltage-gated channel 1</v>
      </c>
      <c r="J44" t="str">
        <f>"protein coding gene"</f>
        <v>protein coding gene</v>
      </c>
    </row>
    <row r="45" spans="1:10">
      <c r="A45">
        <v>10431962</v>
      </c>
      <c r="B45">
        <v>9.1301482949413408</v>
      </c>
      <c r="C45">
        <v>1.25850778803908</v>
      </c>
      <c r="E45" t="str">
        <f>"10431962"</f>
        <v>10431962</v>
      </c>
      <c r="F45" t="str">
        <f t="shared" si="2"/>
        <v>Affy 1.0 ST</v>
      </c>
      <c r="G45" t="str">
        <f>"MGI:97746"</f>
        <v>MGI:97746</v>
      </c>
      <c r="H45" t="str">
        <f>"Endou"</f>
        <v>Endou</v>
      </c>
      <c r="I45" t="s">
        <v>59</v>
      </c>
      <c r="J45" t="s">
        <v>50</v>
      </c>
    </row>
    <row r="46" spans="1:10">
      <c r="A46">
        <v>10420877</v>
      </c>
      <c r="B46">
        <v>8.8753751579893301</v>
      </c>
      <c r="C46">
        <v>8.8547686356821398</v>
      </c>
      <c r="E46" t="str">
        <f>"10420877"</f>
        <v>10420877</v>
      </c>
      <c r="F46" t="str">
        <f t="shared" si="2"/>
        <v>Affy 1.0 ST</v>
      </c>
      <c r="G46" t="str">
        <f>"MGI:1919238"</f>
        <v>MGI:1919238</v>
      </c>
      <c r="H46" t="str">
        <f>"Esco2"</f>
        <v>Esco2</v>
      </c>
      <c r="I46" t="str">
        <f>"establishment of cohesion 1 homolog 2 (S. cerevisiae)"</f>
        <v>establishment of cohesion 1 homolog 2 (S. cerevisiae)</v>
      </c>
      <c r="J46" t="str">
        <f>"protein coding gene"</f>
        <v>protein coding gene</v>
      </c>
    </row>
    <row r="47" spans="1:10">
      <c r="A47">
        <v>10412345</v>
      </c>
      <c r="B47">
        <v>8.8595763286146791</v>
      </c>
      <c r="C47">
        <v>4.1779891957521498</v>
      </c>
      <c r="E47" t="str">
        <f>"10412345"</f>
        <v>10412345</v>
      </c>
      <c r="F47" t="str">
        <f t="shared" si="2"/>
        <v>Affy 1.0 ST</v>
      </c>
      <c r="G47" t="str">
        <f>"MGI:1098713"</f>
        <v>MGI:1098713</v>
      </c>
      <c r="H47" t="str">
        <f>"Parp8"</f>
        <v>Parp8</v>
      </c>
      <c r="I47" t="s">
        <v>60</v>
      </c>
      <c r="J47" t="s">
        <v>50</v>
      </c>
    </row>
    <row r="48" spans="1:10">
      <c r="A48">
        <v>10368289</v>
      </c>
      <c r="B48">
        <v>8.6154623561468</v>
      </c>
      <c r="C48">
        <v>1.2247552300228399</v>
      </c>
      <c r="E48" t="str">
        <f>"10368289"</f>
        <v>10368289</v>
      </c>
      <c r="F48" t="str">
        <f t="shared" si="2"/>
        <v>Affy 1.0 ST</v>
      </c>
      <c r="G48" t="str">
        <f>"MGI:97370"</f>
        <v>MGI:97370</v>
      </c>
      <c r="H48" t="str">
        <f>"Enpp1"</f>
        <v>Enpp1</v>
      </c>
      <c r="I48" t="str">
        <f>"ectonucleotide pyrophosphatase/phosphodiesterase 1"</f>
        <v>ectonucleotide pyrophosphatase/phosphodiesterase 1</v>
      </c>
      <c r="J48" t="str">
        <f>"protein coding gene"</f>
        <v>protein coding gene</v>
      </c>
    </row>
    <row r="49" spans="1:10">
      <c r="A49">
        <v>10469110</v>
      </c>
      <c r="B49">
        <v>8.6069458941666408</v>
      </c>
      <c r="C49">
        <v>5.9991248958303798</v>
      </c>
      <c r="E49" t="str">
        <f>"10469110"</f>
        <v>10469110</v>
      </c>
      <c r="F49" t="str">
        <f t="shared" si="2"/>
        <v>Affy 1.0 ST</v>
      </c>
      <c r="G49" t="str">
        <f>"MGI:2138893"</f>
        <v>MGI:2138893</v>
      </c>
      <c r="H49" t="str">
        <f>"Usp6nl"</f>
        <v>Usp6nl</v>
      </c>
      <c r="I49" t="str">
        <f>"USP6 N-terminal like"</f>
        <v>USP6 N-terminal like</v>
      </c>
      <c r="J49" t="str">
        <f>"protein coding gene"</f>
        <v>protein coding gene</v>
      </c>
    </row>
    <row r="50" spans="1:10">
      <c r="A50">
        <v>10534585</v>
      </c>
      <c r="B50">
        <v>8.5193038834256996</v>
      </c>
      <c r="C50">
        <v>1.83830697643074</v>
      </c>
      <c r="E50" t="str">
        <f>"10534585"</f>
        <v>10534585</v>
      </c>
      <c r="F50" t="str">
        <f t="shared" si="2"/>
        <v>Affy 1.0 ST</v>
      </c>
      <c r="G50" t="str">
        <f>"MGI:1345171"</f>
        <v>MGI:1345171</v>
      </c>
      <c r="H50" t="str">
        <f>"Sh2b2"</f>
        <v>Sh2b2</v>
      </c>
      <c r="I50" t="str">
        <f>"SH2B adaptor protein 2"</f>
        <v>SH2B adaptor protein 2</v>
      </c>
      <c r="J50" t="str">
        <f>"protein coding gene"</f>
        <v>protein coding gene</v>
      </c>
    </row>
    <row r="51" spans="1:10">
      <c r="A51">
        <v>10547621</v>
      </c>
      <c r="B51">
        <v>8.5164290574628403</v>
      </c>
      <c r="C51">
        <v>5.9128660020378598</v>
      </c>
      <c r="E51" t="str">
        <f>"10547621"</f>
        <v>10547621</v>
      </c>
      <c r="F51" t="str">
        <f t="shared" si="2"/>
        <v>Affy 1.0 ST</v>
      </c>
      <c r="G51" t="str">
        <f>"MGI:103298"</f>
        <v>MGI:103298</v>
      </c>
      <c r="H51" t="str">
        <f>"Apobec1"</f>
        <v>Apobec1</v>
      </c>
      <c r="I51" t="s">
        <v>61</v>
      </c>
      <c r="J51" t="s">
        <v>50</v>
      </c>
    </row>
    <row r="52" spans="1:10">
      <c r="A52">
        <v>10358389</v>
      </c>
      <c r="B52">
        <v>8.4089601918760302</v>
      </c>
      <c r="C52">
        <v>4.11024159598289</v>
      </c>
      <c r="E52" t="str">
        <f>"10358389"</f>
        <v>10358389</v>
      </c>
      <c r="F52" t="str">
        <f t="shared" si="2"/>
        <v>Affy 1.0 ST</v>
      </c>
      <c r="G52" t="str">
        <f>"MGI:1098271"</f>
        <v>MGI:1098271</v>
      </c>
      <c r="H52" t="str">
        <f>"Rgs2"</f>
        <v>Rgs2</v>
      </c>
      <c r="I52" t="str">
        <f>"regulator of G-protein signaling 2"</f>
        <v>regulator of G-protein signaling 2</v>
      </c>
      <c r="J52" t="str">
        <f>"protein coding gene"</f>
        <v>protein coding gene</v>
      </c>
    </row>
    <row r="53" spans="1:10">
      <c r="A53">
        <v>10418927</v>
      </c>
      <c r="B53">
        <v>8.14448882316176</v>
      </c>
      <c r="C53">
        <v>1.08670022425436</v>
      </c>
      <c r="E53" t="str">
        <f>"10418927"</f>
        <v>10418927</v>
      </c>
      <c r="F53" t="str">
        <f t="shared" si="2"/>
        <v>Affy 1.0 ST</v>
      </c>
      <c r="G53" t="str">
        <f>"MGI:1338938"</f>
        <v>MGI:1338938</v>
      </c>
      <c r="H53" t="str">
        <f>"Bmpr1a"</f>
        <v>Bmpr1a</v>
      </c>
      <c r="I53" t="s">
        <v>62</v>
      </c>
      <c r="J53" t="s">
        <v>50</v>
      </c>
    </row>
    <row r="54" spans="1:10">
      <c r="A54">
        <v>10366546</v>
      </c>
      <c r="B54">
        <v>8.0933332683154209</v>
      </c>
      <c r="C54">
        <v>8.2312407872942597</v>
      </c>
      <c r="E54" t="str">
        <f>"10366546"</f>
        <v>10366546</v>
      </c>
      <c r="F54" t="str">
        <f t="shared" si="2"/>
        <v>Affy 1.0 ST</v>
      </c>
      <c r="G54" t="str">
        <f>"MGI:1917824"</f>
        <v>MGI:1917824</v>
      </c>
      <c r="H54" t="str">
        <f>"Cpm"</f>
        <v>Cpm</v>
      </c>
      <c r="I54" t="str">
        <f>"carboxypeptidase M"</f>
        <v>carboxypeptidase M</v>
      </c>
      <c r="J54" t="str">
        <f>"protein coding gene"</f>
        <v>protein coding gene</v>
      </c>
    </row>
    <row r="55" spans="1:10">
      <c r="A55">
        <v>10545184</v>
      </c>
      <c r="B55">
        <v>7.8834626036091704</v>
      </c>
      <c r="C55">
        <v>6.1343818957428802</v>
      </c>
      <c r="E55" t="str">
        <f>"10545184"</f>
        <v>10545184</v>
      </c>
      <c r="F55" t="str">
        <f>""</f>
        <v/>
      </c>
      <c r="G55" t="str">
        <f>"No associated gene"</f>
        <v>No associated gene</v>
      </c>
    </row>
    <row r="56" spans="1:10">
      <c r="A56">
        <v>10364109</v>
      </c>
      <c r="B56">
        <v>7.6014844634333496</v>
      </c>
      <c r="C56">
        <v>3.39840958850837</v>
      </c>
      <c r="E56" t="str">
        <f>"10364109"</f>
        <v>10364109</v>
      </c>
      <c r="F56" t="str">
        <f t="shared" ref="F56:F119" si="4">"Affy 1.0 ST"</f>
        <v>Affy 1.0 ST</v>
      </c>
      <c r="G56" t="str">
        <f>"MGI:98938"</f>
        <v>MGI:98938</v>
      </c>
      <c r="H56" t="str">
        <f>"Vpreb3"</f>
        <v>Vpreb3</v>
      </c>
      <c r="I56" t="str">
        <f>"pre-B lymphocyte gene 3"</f>
        <v>pre-B lymphocyte gene 3</v>
      </c>
      <c r="J56" t="str">
        <f t="shared" ref="J56:J62" si="5">"protein coding gene"</f>
        <v>protein coding gene</v>
      </c>
    </row>
    <row r="57" spans="1:10">
      <c r="A57">
        <v>10434806</v>
      </c>
      <c r="B57">
        <v>7.53925697440474</v>
      </c>
      <c r="C57">
        <v>5.4855407228523596</v>
      </c>
      <c r="E57" t="str">
        <f>"10434806"</f>
        <v>10434806</v>
      </c>
      <c r="F57" t="str">
        <f t="shared" si="4"/>
        <v>Affy 1.0 ST</v>
      </c>
      <c r="G57" t="str">
        <f>"MGI:2441849"</f>
        <v>MGI:2441849</v>
      </c>
      <c r="H57" t="str">
        <f>"Lpp"</f>
        <v>Lpp</v>
      </c>
      <c r="I57" t="str">
        <f>"LIM domain containing preferred translocation partner in lipoma"</f>
        <v>LIM domain containing preferred translocation partner in lipoma</v>
      </c>
      <c r="J57" t="str">
        <f t="shared" si="5"/>
        <v>protein coding gene</v>
      </c>
    </row>
    <row r="58" spans="1:10">
      <c r="A58">
        <v>10545101</v>
      </c>
      <c r="B58">
        <v>7.4980661282116001</v>
      </c>
      <c r="C58">
        <v>4.2410202653568003</v>
      </c>
      <c r="E58" t="str">
        <f>"10545101"</f>
        <v>10545101</v>
      </c>
      <c r="F58" t="str">
        <f t="shared" si="4"/>
        <v>Affy 1.0 ST</v>
      </c>
      <c r="G58" t="str">
        <f>"MGI:1859384"</f>
        <v>MGI:1859384</v>
      </c>
      <c r="H58" t="str">
        <f>"Hpgds"</f>
        <v>Hpgds</v>
      </c>
      <c r="I58" t="str">
        <f>"hematopoietic prostaglandin D synthase"</f>
        <v>hematopoietic prostaglandin D synthase</v>
      </c>
      <c r="J58" t="str">
        <f t="shared" si="5"/>
        <v>protein coding gene</v>
      </c>
    </row>
    <row r="59" spans="1:10">
      <c r="A59">
        <v>10508465</v>
      </c>
      <c r="B59">
        <v>7.4796776162137197</v>
      </c>
      <c r="C59">
        <v>3.0677150627739098</v>
      </c>
      <c r="E59" t="str">
        <f>"10508465"</f>
        <v>10508465</v>
      </c>
      <c r="F59" t="str">
        <f t="shared" si="4"/>
        <v>Affy 1.0 ST</v>
      </c>
      <c r="G59" t="str">
        <f>"MGI:97143"</f>
        <v>MGI:97143</v>
      </c>
      <c r="H59" t="str">
        <f>"Marcksl1"</f>
        <v>Marcksl1</v>
      </c>
      <c r="I59" t="str">
        <f>"MARCKS-like 1"</f>
        <v>MARCKS-like 1</v>
      </c>
      <c r="J59" t="str">
        <f t="shared" si="5"/>
        <v>protein coding gene</v>
      </c>
    </row>
    <row r="60" spans="1:10">
      <c r="A60">
        <v>10435525</v>
      </c>
      <c r="B60">
        <v>7.2875596242825296</v>
      </c>
      <c r="C60">
        <v>3.6537563727818099</v>
      </c>
      <c r="E60" t="str">
        <f>"10435525"</f>
        <v>10435525</v>
      </c>
      <c r="F60" t="str">
        <f t="shared" si="4"/>
        <v>Affy 1.0 ST</v>
      </c>
      <c r="G60" t="str">
        <f>"MGI:2443764"</f>
        <v>MGI:2443764</v>
      </c>
      <c r="H60" t="str">
        <f>"Iqcb1"</f>
        <v>Iqcb1</v>
      </c>
      <c r="I60" t="str">
        <f>"IQ calmodulin-binding motif containing 1"</f>
        <v>IQ calmodulin-binding motif containing 1</v>
      </c>
      <c r="J60" t="str">
        <f t="shared" si="5"/>
        <v>protein coding gene</v>
      </c>
    </row>
    <row r="61" spans="1:10">
      <c r="A61">
        <v>10406581</v>
      </c>
      <c r="B61">
        <v>7.2818600985330004</v>
      </c>
      <c r="C61">
        <v>8.9836166017606605</v>
      </c>
      <c r="E61" t="str">
        <f>"10406581"</f>
        <v>10406581</v>
      </c>
      <c r="F61" t="str">
        <f t="shared" si="4"/>
        <v>Affy 1.0 ST</v>
      </c>
      <c r="G61" t="str">
        <f>"MGI:94890"</f>
        <v>MGI:94890</v>
      </c>
      <c r="H61" t="str">
        <f>"Dhfr"</f>
        <v>Dhfr</v>
      </c>
      <c r="I61" t="str">
        <f>"dihydrofolate reductase"</f>
        <v>dihydrofolate reductase</v>
      </c>
      <c r="J61" t="str">
        <f t="shared" si="5"/>
        <v>protein coding gene</v>
      </c>
    </row>
    <row r="62" spans="1:10">
      <c r="A62">
        <v>10513362</v>
      </c>
      <c r="B62">
        <v>7.2438455897017002</v>
      </c>
      <c r="C62">
        <v>4.8836780982312096</v>
      </c>
      <c r="E62" t="str">
        <f>"10513362"</f>
        <v>10513362</v>
      </c>
      <c r="F62" t="str">
        <f t="shared" si="4"/>
        <v>Affy 1.0 ST</v>
      </c>
      <c r="G62" t="str">
        <f>"MGI:3651543"</f>
        <v>MGI:3651543</v>
      </c>
      <c r="H62" t="str">
        <f>"Susd1"</f>
        <v>Susd1</v>
      </c>
      <c r="I62" t="str">
        <f>"sushi domain containing 1"</f>
        <v>sushi domain containing 1</v>
      </c>
      <c r="J62" t="str">
        <f t="shared" si="5"/>
        <v>protein coding gene</v>
      </c>
    </row>
    <row r="63" spans="1:10">
      <c r="A63">
        <v>10427895</v>
      </c>
      <c r="B63">
        <v>7.2411136426601299</v>
      </c>
      <c r="C63">
        <v>1.44485602690073</v>
      </c>
      <c r="E63" t="str">
        <f>"10427895"</f>
        <v>10427895</v>
      </c>
      <c r="F63" t="str">
        <f t="shared" si="4"/>
        <v>Affy 1.0 ST</v>
      </c>
      <c r="G63" t="str">
        <f>"MGI:1917600"</f>
        <v>MGI:1917600</v>
      </c>
      <c r="H63" t="str">
        <f>"Basp1"</f>
        <v>Basp1</v>
      </c>
      <c r="I63" t="s">
        <v>63</v>
      </c>
      <c r="J63" t="s">
        <v>50</v>
      </c>
    </row>
    <row r="64" spans="1:10">
      <c r="A64">
        <v>10479833</v>
      </c>
      <c r="B64">
        <v>7.1676236701051304</v>
      </c>
      <c r="C64">
        <v>1.9145015054597001</v>
      </c>
      <c r="E64" t="str">
        <f>"10479833"</f>
        <v>10479833</v>
      </c>
      <c r="F64" t="str">
        <f t="shared" si="4"/>
        <v>Affy 1.0 ST</v>
      </c>
      <c r="G64" t="str">
        <f>"MGI:1918898"</f>
        <v>MGI:1918898</v>
      </c>
      <c r="H64" t="str">
        <f>"Optn"</f>
        <v>Optn</v>
      </c>
      <c r="I64" t="str">
        <f>"optineurin"</f>
        <v>optineurin</v>
      </c>
      <c r="J64" t="str">
        <f t="shared" ref="J64:J69" si="6">"protein coding gene"</f>
        <v>protein coding gene</v>
      </c>
    </row>
    <row r="65" spans="1:10">
      <c r="A65">
        <v>10419170</v>
      </c>
      <c r="B65">
        <v>7.1654315558893797</v>
      </c>
      <c r="C65">
        <v>5.8897023342069801</v>
      </c>
      <c r="E65" t="str">
        <f>"10419170"</f>
        <v>10419170</v>
      </c>
      <c r="F65" t="str">
        <f t="shared" si="4"/>
        <v>Affy 1.0 ST</v>
      </c>
      <c r="G65" t="str">
        <f>"MGI:1917811"</f>
        <v>MGI:1917811</v>
      </c>
      <c r="H65" t="str">
        <f>"Txndc16"</f>
        <v>Txndc16</v>
      </c>
      <c r="I65" t="str">
        <f>"thioredoxin domain containing 16"</f>
        <v>thioredoxin domain containing 16</v>
      </c>
      <c r="J65" t="str">
        <f t="shared" si="6"/>
        <v>protein coding gene</v>
      </c>
    </row>
    <row r="66" spans="1:10">
      <c r="A66">
        <v>10353272</v>
      </c>
      <c r="B66">
        <v>7.1551186735599002</v>
      </c>
      <c r="C66">
        <v>1.8803092371818899</v>
      </c>
      <c r="E66" t="str">
        <f>"10353272"</f>
        <v>10353272</v>
      </c>
      <c r="F66" t="str">
        <f t="shared" si="4"/>
        <v>Affy 1.0 ST</v>
      </c>
      <c r="G66" t="str">
        <f>"MGI:1352508"</f>
        <v>MGI:1352508</v>
      </c>
      <c r="H66" t="str">
        <f>"Stau2"</f>
        <v>Stau2</v>
      </c>
      <c r="I66" t="str">
        <f>"staufen (RNA binding protein) homolog 2 (Drosophila)"</f>
        <v>staufen (RNA binding protein) homolog 2 (Drosophila)</v>
      </c>
      <c r="J66" t="str">
        <f t="shared" si="6"/>
        <v>protein coding gene</v>
      </c>
    </row>
    <row r="67" spans="1:10">
      <c r="A67">
        <v>10351667</v>
      </c>
      <c r="B67">
        <v>7.0050964486284499</v>
      </c>
      <c r="C67">
        <v>6.4920817899204701</v>
      </c>
      <c r="E67" t="str">
        <f>"10351667"</f>
        <v>10351667</v>
      </c>
      <c r="F67" t="str">
        <f t="shared" si="4"/>
        <v>Affy 1.0 ST</v>
      </c>
      <c r="G67" t="str">
        <f>"MGI:1351314"</f>
        <v>MGI:1351314</v>
      </c>
      <c r="H67" t="str">
        <f>"Slamf1"</f>
        <v>Slamf1</v>
      </c>
      <c r="I67" t="str">
        <f>"signaling lymphocytic activation molecule family member 1"</f>
        <v>signaling lymphocytic activation molecule family member 1</v>
      </c>
      <c r="J67" t="str">
        <f t="shared" si="6"/>
        <v>protein coding gene</v>
      </c>
    </row>
    <row r="68" spans="1:10">
      <c r="A68">
        <v>10382257</v>
      </c>
      <c r="B68">
        <v>6.9861903055196297</v>
      </c>
      <c r="C68">
        <v>3.7606369990398498</v>
      </c>
      <c r="E68" t="str">
        <f>"10382257"</f>
        <v>10382257</v>
      </c>
      <c r="F68" t="str">
        <f t="shared" si="4"/>
        <v>Affy 1.0 ST</v>
      </c>
      <c r="G68" t="str">
        <f>"MGI:104837"</f>
        <v>MGI:104837</v>
      </c>
      <c r="H68" t="str">
        <f>"Amz2"</f>
        <v>Amz2</v>
      </c>
      <c r="I68" t="str">
        <f>"archaelysin family metallopeptidase 2"</f>
        <v>archaelysin family metallopeptidase 2</v>
      </c>
      <c r="J68" t="str">
        <f t="shared" si="6"/>
        <v>protein coding gene</v>
      </c>
    </row>
    <row r="69" spans="1:10">
      <c r="A69">
        <v>10427816</v>
      </c>
      <c r="B69">
        <v>6.9317466218629704</v>
      </c>
      <c r="C69">
        <v>2.7637771741766599</v>
      </c>
      <c r="E69" t="str">
        <f>"10427816"</f>
        <v>10427816</v>
      </c>
      <c r="F69" t="str">
        <f t="shared" si="4"/>
        <v>Affy 1.0 ST</v>
      </c>
      <c r="G69" t="str">
        <f>"MGI:1922394"</f>
        <v>MGI:1922394</v>
      </c>
      <c r="H69" t="str">
        <f>"Pdzd2"</f>
        <v>Pdzd2</v>
      </c>
      <c r="I69" t="str">
        <f>"PDZ domain containing 2"</f>
        <v>PDZ domain containing 2</v>
      </c>
      <c r="J69" t="str">
        <f t="shared" si="6"/>
        <v>protein coding gene</v>
      </c>
    </row>
    <row r="70" spans="1:10">
      <c r="A70">
        <v>10566268</v>
      </c>
      <c r="B70">
        <v>6.8654055506112703</v>
      </c>
      <c r="C70">
        <v>0.13333322923426499</v>
      </c>
      <c r="E70" t="str">
        <f>"10566268"</f>
        <v>10566268</v>
      </c>
      <c r="F70" t="str">
        <f t="shared" si="4"/>
        <v>Affy 1.0 ST</v>
      </c>
      <c r="G70" t="str">
        <f>"MGI:96024"</f>
        <v>MGI:96024</v>
      </c>
      <c r="H70" t="str">
        <f>"Hbb-bh1"</f>
        <v>Hbb-bh1</v>
      </c>
      <c r="I70" t="s">
        <v>64</v>
      </c>
      <c r="J70" t="s">
        <v>50</v>
      </c>
    </row>
    <row r="71" spans="1:10">
      <c r="A71">
        <v>10596222</v>
      </c>
      <c r="B71">
        <v>6.8385056995468503</v>
      </c>
      <c r="C71">
        <v>0.974043172118779</v>
      </c>
      <c r="E71" t="str">
        <f>"10596222"</f>
        <v>10596222</v>
      </c>
      <c r="F71" t="str">
        <f t="shared" si="4"/>
        <v>Affy 1.0 ST</v>
      </c>
      <c r="G71" t="str">
        <f>"MGI:2181676"</f>
        <v>MGI:2181676</v>
      </c>
      <c r="H71" t="str">
        <f>"Ccrl1"</f>
        <v>Ccrl1</v>
      </c>
      <c r="I71" t="str">
        <f>"chemokine (C-C motif) receptor-like 1"</f>
        <v>chemokine (C-C motif) receptor-like 1</v>
      </c>
      <c r="J71" t="str">
        <f>"protein coding gene"</f>
        <v>protein coding gene</v>
      </c>
    </row>
    <row r="72" spans="1:10">
      <c r="A72">
        <v>10575799</v>
      </c>
      <c r="B72">
        <v>6.8167928881676803</v>
      </c>
      <c r="C72">
        <v>8.7647491566408</v>
      </c>
      <c r="E72" t="str">
        <f>"10575799"</f>
        <v>10575799</v>
      </c>
      <c r="F72" t="str">
        <f t="shared" si="4"/>
        <v>Affy 1.0 ST</v>
      </c>
      <c r="G72" t="str">
        <f>"MGI:97616"</f>
        <v>MGI:97616</v>
      </c>
      <c r="H72" t="str">
        <f>"Plcg2"</f>
        <v>Plcg2</v>
      </c>
      <c r="I72" t="s">
        <v>65</v>
      </c>
      <c r="J72" t="s">
        <v>50</v>
      </c>
    </row>
    <row r="73" spans="1:10">
      <c r="A73">
        <v>10506680</v>
      </c>
      <c r="B73">
        <v>6.7787644664962103</v>
      </c>
      <c r="C73">
        <v>1.8773643957500401</v>
      </c>
      <c r="E73" t="str">
        <f>"10506680"</f>
        <v>10506680</v>
      </c>
      <c r="F73" t="str">
        <f t="shared" si="4"/>
        <v>Affy 1.0 ST</v>
      </c>
      <c r="G73" t="str">
        <f>"MGI:1920037"</f>
        <v>MGI:1920037</v>
      </c>
      <c r="H73" t="str">
        <f>"Tmem48"</f>
        <v>Tmem48</v>
      </c>
      <c r="I73" t="str">
        <f>"transmembrane protein 48"</f>
        <v>transmembrane protein 48</v>
      </c>
      <c r="J73" t="str">
        <f t="shared" ref="J73:J81" si="7">"protein coding gene"</f>
        <v>protein coding gene</v>
      </c>
    </row>
    <row r="74" spans="1:10">
      <c r="A74">
        <v>10431170</v>
      </c>
      <c r="B74">
        <v>6.7618593910761202</v>
      </c>
      <c r="C74">
        <v>4.2938799661026996</v>
      </c>
      <c r="E74" t="str">
        <f>"10431170"</f>
        <v>10431170</v>
      </c>
      <c r="F74" t="str">
        <f t="shared" si="4"/>
        <v>Affy 1.0 ST</v>
      </c>
      <c r="G74" t="str">
        <f>"MGI:2444899"</f>
        <v>MGI:2444899</v>
      </c>
      <c r="H74" t="str">
        <f>"5031439G07Rik"</f>
        <v>5031439G07Rik</v>
      </c>
      <c r="I74" t="str">
        <f>"RIKEN cDNA 5031439G07 gene"</f>
        <v>RIKEN cDNA 5031439G07 gene</v>
      </c>
      <c r="J74" t="str">
        <f t="shared" si="7"/>
        <v>protein coding gene</v>
      </c>
    </row>
    <row r="75" spans="1:10">
      <c r="A75">
        <v>10543067</v>
      </c>
      <c r="B75">
        <v>6.7175746852134504</v>
      </c>
      <c r="C75">
        <v>2.1765325482779101</v>
      </c>
      <c r="E75" t="str">
        <f>"10543067"</f>
        <v>10543067</v>
      </c>
      <c r="F75" t="str">
        <f t="shared" si="4"/>
        <v>Affy 1.0 ST</v>
      </c>
      <c r="G75" t="str">
        <f>"MGI:1350929"</f>
        <v>MGI:1350929</v>
      </c>
      <c r="H75" t="str">
        <f>"Asns"</f>
        <v>Asns</v>
      </c>
      <c r="I75" t="str">
        <f>"asparagine synthetase"</f>
        <v>asparagine synthetase</v>
      </c>
      <c r="J75" t="str">
        <f t="shared" si="7"/>
        <v>protein coding gene</v>
      </c>
    </row>
    <row r="76" spans="1:10">
      <c r="A76">
        <v>10540579</v>
      </c>
      <c r="B76">
        <v>6.7099543406565099</v>
      </c>
      <c r="C76">
        <v>3.41929872250835</v>
      </c>
      <c r="E76" t="str">
        <f>"10540579"</f>
        <v>10540579</v>
      </c>
      <c r="F76" t="str">
        <f t="shared" si="4"/>
        <v>Affy 1.0 ST</v>
      </c>
      <c r="G76" t="str">
        <f>"MGI:1916075"</f>
        <v>MGI:1916075</v>
      </c>
      <c r="H76" t="str">
        <f>"Mtmr14"</f>
        <v>Mtmr14</v>
      </c>
      <c r="I76" t="str">
        <f>"myotubularin related protein 14"</f>
        <v>myotubularin related protein 14</v>
      </c>
      <c r="J76" t="str">
        <f t="shared" si="7"/>
        <v>protein coding gene</v>
      </c>
    </row>
    <row r="77" spans="1:10">
      <c r="A77">
        <v>10406598</v>
      </c>
      <c r="B77">
        <v>6.7037383098275001</v>
      </c>
      <c r="C77">
        <v>2.4194088668698002</v>
      </c>
      <c r="E77" t="str">
        <f>"10406598"</f>
        <v>10406598</v>
      </c>
      <c r="F77" t="str">
        <f t="shared" si="4"/>
        <v>Affy 1.0 ST</v>
      </c>
      <c r="G77" t="str">
        <f>"MGI:2444223"</f>
        <v>MGI:2444223</v>
      </c>
      <c r="H77" t="str">
        <f>"Serinc5"</f>
        <v>Serinc5</v>
      </c>
      <c r="I77" t="str">
        <f>"serine incorporator 5"</f>
        <v>serine incorporator 5</v>
      </c>
      <c r="J77" t="str">
        <f t="shared" si="7"/>
        <v>protein coding gene</v>
      </c>
    </row>
    <row r="78" spans="1:10">
      <c r="A78">
        <v>10476648</v>
      </c>
      <c r="B78">
        <v>6.6870780323264603</v>
      </c>
      <c r="C78">
        <v>2.9852636970610802</v>
      </c>
      <c r="E78" t="str">
        <f>"10476648"</f>
        <v>10476648</v>
      </c>
      <c r="F78" t="str">
        <f t="shared" si="4"/>
        <v>Affy 1.0 ST</v>
      </c>
      <c r="G78" t="str">
        <f>"MGI:1929270"</f>
        <v>MGI:1929270</v>
      </c>
      <c r="H78" t="str">
        <f>"Dstn"</f>
        <v>Dstn</v>
      </c>
      <c r="I78" t="str">
        <f>"destrin"</f>
        <v>destrin</v>
      </c>
      <c r="J78" t="str">
        <f t="shared" si="7"/>
        <v>protein coding gene</v>
      </c>
    </row>
    <row r="79" spans="1:10">
      <c r="A79">
        <v>10469571</v>
      </c>
      <c r="B79">
        <v>6.6463389640943404</v>
      </c>
      <c r="C79">
        <v>2.9767629178088599</v>
      </c>
      <c r="E79" t="str">
        <f>"10469571"</f>
        <v>10469571</v>
      </c>
      <c r="F79" t="str">
        <f t="shared" si="4"/>
        <v>Affy 1.0 ST</v>
      </c>
      <c r="G79" t="str">
        <f>"MGI:1918448"</f>
        <v>MGI:1918448</v>
      </c>
      <c r="H79" t="str">
        <f>"Otud1"</f>
        <v>Otud1</v>
      </c>
      <c r="I79" t="str">
        <f>"OTU domain containing 1"</f>
        <v>OTU domain containing 1</v>
      </c>
      <c r="J79" t="str">
        <f t="shared" si="7"/>
        <v>protein coding gene</v>
      </c>
    </row>
    <row r="80" spans="1:10">
      <c r="A80">
        <v>10400748</v>
      </c>
      <c r="B80">
        <v>6.6415349692982302</v>
      </c>
      <c r="C80">
        <v>1.06358966040689</v>
      </c>
      <c r="E80" t="str">
        <f>"10400748"</f>
        <v>10400748</v>
      </c>
      <c r="F80" t="str">
        <f t="shared" si="4"/>
        <v>Affy 1.0 ST</v>
      </c>
      <c r="G80" t="str">
        <f>"MGI:1918341"</f>
        <v>MGI:1918341</v>
      </c>
      <c r="H80" t="str">
        <f>"Cdkl1"</f>
        <v>Cdkl1</v>
      </c>
      <c r="I80" t="str">
        <f>"cyclin-dependent kinase-like 1 (CDC2-related kinase)"</f>
        <v>cyclin-dependent kinase-like 1 (CDC2-related kinase)</v>
      </c>
      <c r="J80" t="str">
        <f t="shared" si="7"/>
        <v>protein coding gene</v>
      </c>
    </row>
    <row r="81" spans="1:10">
      <c r="A81">
        <v>10435769</v>
      </c>
      <c r="B81">
        <v>6.6171464762054004</v>
      </c>
      <c r="C81">
        <v>6.4517770515867596</v>
      </c>
      <c r="E81" t="str">
        <f>"10435769"</f>
        <v>10435769</v>
      </c>
      <c r="F81" t="str">
        <f t="shared" si="4"/>
        <v>Affy 1.0 ST</v>
      </c>
      <c r="G81" t="str">
        <f>"MGI:1929213"</f>
        <v>MGI:1929213</v>
      </c>
      <c r="H81" t="str">
        <f>"Zbtb20"</f>
        <v>Zbtb20</v>
      </c>
      <c r="I81" t="str">
        <f>"zinc finger and BTB domain containing 20"</f>
        <v>zinc finger and BTB domain containing 20</v>
      </c>
      <c r="J81" t="str">
        <f t="shared" si="7"/>
        <v>protein coding gene</v>
      </c>
    </row>
    <row r="82" spans="1:10">
      <c r="A82">
        <v>10545205</v>
      </c>
      <c r="B82">
        <v>6.4877034383386203</v>
      </c>
      <c r="C82">
        <v>3.7651126463639901</v>
      </c>
      <c r="E82" t="str">
        <f>"10545205"</f>
        <v>10545205</v>
      </c>
      <c r="F82" t="str">
        <f t="shared" si="4"/>
        <v>Affy 1.0 ST</v>
      </c>
      <c r="G82" t="str">
        <f>"MGI:2686264"</f>
        <v>MGI:2686264</v>
      </c>
      <c r="H82" t="str">
        <f>"Igkv4-57-1"</f>
        <v>Igkv4-57-1</v>
      </c>
      <c r="I82" t="str">
        <f>"immunoglobulin kappa variable 4-57-1"</f>
        <v>immunoglobulin kappa variable 4-57-1</v>
      </c>
      <c r="J82" t="str">
        <f>"gene segment"</f>
        <v>gene segment</v>
      </c>
    </row>
    <row r="83" spans="1:10">
      <c r="A83">
        <v>10442115</v>
      </c>
      <c r="B83">
        <v>6.4853206078540202</v>
      </c>
      <c r="C83">
        <v>2.5089979269477101</v>
      </c>
      <c r="E83" t="str">
        <f>"10442115"</f>
        <v>10442115</v>
      </c>
      <c r="F83" t="str">
        <f t="shared" si="4"/>
        <v>Affy 1.0 ST</v>
      </c>
      <c r="G83" t="str">
        <f>"MGI:3644514"</f>
        <v>MGI:3644514</v>
      </c>
      <c r="H83" t="str">
        <f>"Vmn2r96"</f>
        <v>Vmn2r96</v>
      </c>
      <c r="I83" t="s">
        <v>66</v>
      </c>
      <c r="J83" t="s">
        <v>50</v>
      </c>
    </row>
    <row r="84" spans="1:10">
      <c r="A84">
        <v>10465895</v>
      </c>
      <c r="B84">
        <v>6.4489854861531004</v>
      </c>
      <c r="C84">
        <v>0.380329719014046</v>
      </c>
      <c r="E84" t="str">
        <f>"10465895"</f>
        <v>10465895</v>
      </c>
      <c r="F84" t="str">
        <f t="shared" si="4"/>
        <v>Affy 1.0 ST</v>
      </c>
      <c r="G84" t="str">
        <f>"MGI:1930079"</f>
        <v>MGI:1930079</v>
      </c>
      <c r="H84" t="str">
        <f>"Fads2"</f>
        <v>Fads2</v>
      </c>
      <c r="I84" t="str">
        <f>"fatty acid desaturase 2"</f>
        <v>fatty acid desaturase 2</v>
      </c>
      <c r="J84" t="str">
        <f>"protein coding gene"</f>
        <v>protein coding gene</v>
      </c>
    </row>
    <row r="85" spans="1:10">
      <c r="A85">
        <v>10549504</v>
      </c>
      <c r="B85">
        <v>6.4340291829217104</v>
      </c>
      <c r="C85">
        <v>3.6020872198767599</v>
      </c>
      <c r="E85" t="str">
        <f>"10549504"</f>
        <v>10549504</v>
      </c>
      <c r="F85" t="str">
        <f t="shared" si="4"/>
        <v>Affy 1.0 ST</v>
      </c>
      <c r="G85" t="str">
        <f>"MGI:2444273"</f>
        <v>MGI:2444273</v>
      </c>
      <c r="H85" t="str">
        <f>"Dennd5b"</f>
        <v>Dennd5b</v>
      </c>
      <c r="I85" t="str">
        <f>"DENN/MADD domain containing 5B"</f>
        <v>DENN/MADD domain containing 5B</v>
      </c>
      <c r="J85" t="str">
        <f>"protein coding gene"</f>
        <v>protein coding gene</v>
      </c>
    </row>
    <row r="86" spans="1:10">
      <c r="A86">
        <v>10421029</v>
      </c>
      <c r="B86">
        <v>6.4117422119424097</v>
      </c>
      <c r="C86">
        <v>5.08087409196495</v>
      </c>
      <c r="E86" t="str">
        <f>"10421029"</f>
        <v>10421029</v>
      </c>
      <c r="F86" t="str">
        <f t="shared" si="4"/>
        <v>Affy 1.0 ST</v>
      </c>
      <c r="G86" t="str">
        <f>"MGI:1919787"</f>
        <v>MGI:1919787</v>
      </c>
      <c r="H86" t="str">
        <f>"Cdca2"</f>
        <v>Cdca2</v>
      </c>
      <c r="I86" t="str">
        <f>"cell division cycle associated 2"</f>
        <v>cell division cycle associated 2</v>
      </c>
      <c r="J86" t="str">
        <f>"protein coding gene"</f>
        <v>protein coding gene</v>
      </c>
    </row>
    <row r="87" spans="1:10">
      <c r="A87">
        <v>10431266</v>
      </c>
      <c r="B87">
        <v>6.4079036190115604</v>
      </c>
      <c r="C87">
        <v>5.2730117521882001</v>
      </c>
      <c r="E87" t="str">
        <f>"10431266"</f>
        <v>10431266</v>
      </c>
      <c r="F87" t="str">
        <f t="shared" si="4"/>
        <v>Affy 1.0 ST</v>
      </c>
      <c r="G87" t="str">
        <f>"MGI:2386052"</f>
        <v>MGI:2386052</v>
      </c>
      <c r="H87" t="str">
        <f>"Cerk"</f>
        <v>Cerk</v>
      </c>
      <c r="I87" t="str">
        <f>"ceramide kinase"</f>
        <v>ceramide kinase</v>
      </c>
      <c r="J87" t="str">
        <f>"protein coding gene"</f>
        <v>protein coding gene</v>
      </c>
    </row>
    <row r="88" spans="1:10">
      <c r="A88">
        <v>10397966</v>
      </c>
      <c r="B88">
        <v>6.4047747235496599</v>
      </c>
      <c r="C88">
        <v>1.11519855147673</v>
      </c>
      <c r="E88" t="str">
        <f>"10397966"</f>
        <v>10397966</v>
      </c>
      <c r="F88" t="str">
        <f t="shared" si="4"/>
        <v>Affy 1.0 ST</v>
      </c>
      <c r="G88" t="str">
        <f>"MGI:1915399"</f>
        <v>MGI:1915399</v>
      </c>
      <c r="H88" t="str">
        <f>"Otub2"</f>
        <v>Otub2</v>
      </c>
      <c r="I88" t="s">
        <v>0</v>
      </c>
      <c r="J88" t="s">
        <v>50</v>
      </c>
    </row>
    <row r="89" spans="1:10">
      <c r="A89">
        <v>10356267</v>
      </c>
      <c r="B89">
        <v>6.3880221606555301</v>
      </c>
      <c r="C89">
        <v>4.2088997348117703</v>
      </c>
      <c r="E89" t="str">
        <f>"10356267"</f>
        <v>10356267</v>
      </c>
      <c r="F89" t="str">
        <f t="shared" si="4"/>
        <v>Affy 1.0 ST</v>
      </c>
      <c r="G89" t="str">
        <f>"MGI:3037746"</f>
        <v>MGI:3037746</v>
      </c>
      <c r="H89" t="str">
        <f>"A530032D15Rik"</f>
        <v>A530032D15Rik</v>
      </c>
      <c r="I89" t="str">
        <f>"RIKEN cDNA A530032D15Rik gene"</f>
        <v>RIKEN cDNA A530032D15Rik gene</v>
      </c>
      <c r="J89" t="str">
        <f>"protein coding gene"</f>
        <v>protein coding gene</v>
      </c>
    </row>
    <row r="90" spans="1:10">
      <c r="A90">
        <v>10478409</v>
      </c>
      <c r="B90">
        <v>6.3595895022433497</v>
      </c>
      <c r="C90">
        <v>4.3049807161864697</v>
      </c>
      <c r="E90" t="str">
        <f>"10478409"</f>
        <v>10478409</v>
      </c>
      <c r="F90" t="str">
        <f t="shared" si="4"/>
        <v>Affy 1.0 ST</v>
      </c>
      <c r="G90" t="str">
        <f>"MGI:1343086"</f>
        <v>MGI:1343086</v>
      </c>
      <c r="H90" t="str">
        <f>"Pkig"</f>
        <v>Pkig</v>
      </c>
      <c r="I90" t="s">
        <v>1</v>
      </c>
      <c r="J90" t="s">
        <v>50</v>
      </c>
    </row>
    <row r="91" spans="1:10">
      <c r="A91">
        <v>10399148</v>
      </c>
      <c r="B91">
        <v>6.3551388599191396</v>
      </c>
      <c r="C91">
        <v>4.9492678028234796</v>
      </c>
      <c r="E91" t="str">
        <f>"10399148"</f>
        <v>10399148</v>
      </c>
      <c r="F91" t="str">
        <f t="shared" si="4"/>
        <v>Affy 1.0 ST</v>
      </c>
      <c r="G91" t="str">
        <f>"MGI:2444365"</f>
        <v>MGI:2444365</v>
      </c>
      <c r="H91" t="str">
        <f>"Rapgef5"</f>
        <v>Rapgef5</v>
      </c>
      <c r="I91" t="str">
        <f>"Rap guanine nucleotide exchange factor (GEF) 5"</f>
        <v>Rap guanine nucleotide exchange factor (GEF) 5</v>
      </c>
      <c r="J91" t="str">
        <f>"protein coding gene"</f>
        <v>protein coding gene</v>
      </c>
    </row>
    <row r="92" spans="1:10">
      <c r="A92">
        <v>10585282</v>
      </c>
      <c r="B92">
        <v>6.2502574489992702</v>
      </c>
      <c r="C92">
        <v>3.7545827340750901</v>
      </c>
      <c r="E92" t="str">
        <f>"10585282"</f>
        <v>10585282</v>
      </c>
      <c r="F92" t="str">
        <f t="shared" si="4"/>
        <v>Affy 1.0 ST</v>
      </c>
      <c r="G92" t="str">
        <f>"MGI:1917099"</f>
        <v>MGI:1917099</v>
      </c>
      <c r="H92" t="str">
        <f>"2010007H06Rik"</f>
        <v>2010007H06Rik</v>
      </c>
      <c r="I92" t="str">
        <f>"RIKEN cDNA 2010007H06 gene"</f>
        <v>RIKEN cDNA 2010007H06 gene</v>
      </c>
      <c r="J92" t="str">
        <f>"protein coding gene"</f>
        <v>protein coding gene</v>
      </c>
    </row>
    <row r="93" spans="1:10">
      <c r="A93">
        <v>10430818</v>
      </c>
      <c r="B93">
        <v>6.2256764286775796</v>
      </c>
      <c r="C93">
        <v>4.23155614727533</v>
      </c>
      <c r="E93" t="str">
        <f>"10430818"</f>
        <v>10430818</v>
      </c>
      <c r="F93" t="str">
        <f t="shared" si="4"/>
        <v>Affy 1.0 ST</v>
      </c>
      <c r="G93" t="str">
        <f>"MGI:1919299"</f>
        <v>MGI:1919299</v>
      </c>
      <c r="H93" t="str">
        <f>"Tnfrsf13c"</f>
        <v>Tnfrsf13c</v>
      </c>
      <c r="I93" t="s">
        <v>2</v>
      </c>
      <c r="J93" t="s">
        <v>50</v>
      </c>
    </row>
    <row r="94" spans="1:10">
      <c r="A94">
        <v>10361381</v>
      </c>
      <c r="B94">
        <v>6.0715855020962799</v>
      </c>
      <c r="C94">
        <v>0.33456959917618401</v>
      </c>
      <c r="E94" t="str">
        <f>"10361381"</f>
        <v>10361381</v>
      </c>
      <c r="F94" t="str">
        <f t="shared" si="4"/>
        <v>Affy 1.0 ST</v>
      </c>
      <c r="G94" t="str">
        <f>"MGI:1927152"</f>
        <v>MGI:1927152</v>
      </c>
      <c r="H94" t="str">
        <f>"Syne1"</f>
        <v>Syne1</v>
      </c>
      <c r="I94" t="str">
        <f>"synaptic nuclear envelope 1"</f>
        <v>synaptic nuclear envelope 1</v>
      </c>
      <c r="J94" t="str">
        <f>"protein coding gene"</f>
        <v>protein coding gene</v>
      </c>
    </row>
    <row r="95" spans="1:10">
      <c r="A95">
        <v>10425890</v>
      </c>
      <c r="B95">
        <v>6.03269470222906</v>
      </c>
      <c r="C95">
        <v>0.78715421744111902</v>
      </c>
      <c r="E95" t="str">
        <f>"10425890"</f>
        <v>10425890</v>
      </c>
      <c r="F95" t="str">
        <f t="shared" si="4"/>
        <v>Affy 1.0 ST</v>
      </c>
      <c r="G95" t="str">
        <f>"MGI:1920417"</f>
        <v>MGI:1920417</v>
      </c>
      <c r="H95" t="str">
        <f>"Arhgap8"</f>
        <v>Arhgap8</v>
      </c>
      <c r="I95" t="str">
        <f>"Rho GTPase activating protein 8"</f>
        <v>Rho GTPase activating protein 8</v>
      </c>
      <c r="J95" t="str">
        <f>"protein coding gene"</f>
        <v>protein coding gene</v>
      </c>
    </row>
    <row r="96" spans="1:10">
      <c r="A96">
        <v>10435789</v>
      </c>
      <c r="B96">
        <v>6.0159491115171697</v>
      </c>
      <c r="C96">
        <v>5.5334441248633004</v>
      </c>
      <c r="E96" t="str">
        <f>"10435789"</f>
        <v>10435789</v>
      </c>
      <c r="F96" t="str">
        <f t="shared" si="4"/>
        <v>Affy 1.0 ST</v>
      </c>
      <c r="G96" t="str">
        <f>"MGI:1929213"</f>
        <v>MGI:1929213</v>
      </c>
      <c r="H96" t="str">
        <f>"Zbtb20"</f>
        <v>Zbtb20</v>
      </c>
      <c r="I96" t="str">
        <f>"zinc finger and BTB domain containing 20"</f>
        <v>zinc finger and BTB domain containing 20</v>
      </c>
      <c r="J96" t="str">
        <f>"protein coding gene"</f>
        <v>protein coding gene</v>
      </c>
    </row>
    <row r="97" spans="1:10">
      <c r="A97">
        <v>10596190</v>
      </c>
      <c r="B97">
        <v>5.9718795430256799</v>
      </c>
      <c r="C97">
        <v>3.4280696749586199</v>
      </c>
      <c r="E97" t="str">
        <f>"10596190"</f>
        <v>10596190</v>
      </c>
      <c r="F97" t="str">
        <f t="shared" si="4"/>
        <v>Affy 1.0 ST</v>
      </c>
      <c r="G97" t="str">
        <f>"MGI:1333828"</f>
        <v>MGI:1333828</v>
      </c>
      <c r="H97" t="str">
        <f>"Bfsp2"</f>
        <v>Bfsp2</v>
      </c>
      <c r="I97" t="s">
        <v>3</v>
      </c>
      <c r="J97" t="s">
        <v>50</v>
      </c>
    </row>
    <row r="98" spans="1:10">
      <c r="A98">
        <v>10347748</v>
      </c>
      <c r="B98">
        <v>5.9691055172157501</v>
      </c>
      <c r="C98">
        <v>2.2065622771337399</v>
      </c>
      <c r="E98" t="str">
        <f>"10347748"</f>
        <v>10347748</v>
      </c>
      <c r="F98" t="str">
        <f t="shared" si="4"/>
        <v>Affy 1.0 ST</v>
      </c>
      <c r="G98" t="str">
        <f>"MGI:1921455"</f>
        <v>MGI:1921455</v>
      </c>
      <c r="H98" t="str">
        <f>"Acsl3"</f>
        <v>Acsl3</v>
      </c>
      <c r="I98" t="str">
        <f>"acyl-CoA synthetase long-chain family member 3"</f>
        <v>acyl-CoA synthetase long-chain family member 3</v>
      </c>
      <c r="J98" t="str">
        <f>"protein coding gene"</f>
        <v>protein coding gene</v>
      </c>
    </row>
    <row r="99" spans="1:10">
      <c r="A99">
        <v>10547088</v>
      </c>
      <c r="B99">
        <v>5.9566627744200904</v>
      </c>
      <c r="C99">
        <v>2.2585584551264501</v>
      </c>
      <c r="E99" t="str">
        <f>"10547088"</f>
        <v>10547088</v>
      </c>
      <c r="F99" t="str">
        <f t="shared" si="4"/>
        <v>Affy 1.0 ST</v>
      </c>
      <c r="G99" t="str">
        <f>"MGI:1333850"</f>
        <v>MGI:1333850</v>
      </c>
      <c r="H99" t="str">
        <f>"Mbd4"</f>
        <v>Mbd4</v>
      </c>
      <c r="I99" t="str">
        <f>"methyl-CpG binding domain protein 4"</f>
        <v>methyl-CpG binding domain protein 4</v>
      </c>
      <c r="J99" t="str">
        <f>"protein coding gene"</f>
        <v>protein coding gene</v>
      </c>
    </row>
    <row r="100" spans="1:10">
      <c r="A100">
        <v>10451225</v>
      </c>
      <c r="B100">
        <v>5.9278400808628602</v>
      </c>
      <c r="C100">
        <v>2.96644617183237</v>
      </c>
      <c r="E100" t="str">
        <f>"10451225"</f>
        <v>10451225</v>
      </c>
      <c r="F100" t="str">
        <f t="shared" si="4"/>
        <v>Affy 1.0 ST</v>
      </c>
      <c r="G100" t="str">
        <f>"MGI:1891457"</f>
        <v>MGI:1891457</v>
      </c>
      <c r="H100" t="str">
        <f>"Polh"</f>
        <v>Polh</v>
      </c>
      <c r="I100" t="s">
        <v>4</v>
      </c>
      <c r="J100" t="s">
        <v>50</v>
      </c>
    </row>
    <row r="101" spans="1:10">
      <c r="A101">
        <v>10434782</v>
      </c>
      <c r="B101">
        <v>5.9260231098860396</v>
      </c>
      <c r="C101">
        <v>3.7965490110365598</v>
      </c>
      <c r="E101" t="str">
        <f>"10434782"</f>
        <v>10434782</v>
      </c>
      <c r="F101" t="str">
        <f t="shared" si="4"/>
        <v>Affy 1.0 ST</v>
      </c>
      <c r="G101" t="str">
        <f>"MGI:2441849"</f>
        <v>MGI:2441849</v>
      </c>
      <c r="H101" t="str">
        <f>"Lpp"</f>
        <v>Lpp</v>
      </c>
      <c r="I101" t="str">
        <f>"LIM domain containing preferred translocation partner in lipoma"</f>
        <v>LIM domain containing preferred translocation partner in lipoma</v>
      </c>
      <c r="J101" t="str">
        <f>"protein coding gene"</f>
        <v>protein coding gene</v>
      </c>
    </row>
    <row r="102" spans="1:10">
      <c r="A102">
        <v>10560624</v>
      </c>
      <c r="B102">
        <v>5.9041454016498696</v>
      </c>
      <c r="C102">
        <v>3.6414670197147601</v>
      </c>
      <c r="E102" t="str">
        <f>"10560624"</f>
        <v>10560624</v>
      </c>
      <c r="F102" t="str">
        <f t="shared" si="4"/>
        <v>Affy 1.0 ST</v>
      </c>
      <c r="G102" t="str">
        <f>"MGI:88057"</f>
        <v>MGI:88057</v>
      </c>
      <c r="H102" t="str">
        <f>"Apoe"</f>
        <v>Apoe</v>
      </c>
      <c r="I102" t="str">
        <f>"apolipoprotein E"</f>
        <v>apolipoprotein E</v>
      </c>
      <c r="J102" t="str">
        <f>"protein coding gene"</f>
        <v>protein coding gene</v>
      </c>
    </row>
    <row r="103" spans="1:10">
      <c r="A103">
        <v>10600936</v>
      </c>
      <c r="B103">
        <v>5.8771349481603199</v>
      </c>
      <c r="C103">
        <v>1.0804265140245299</v>
      </c>
      <c r="E103" t="str">
        <f>"10600936"</f>
        <v>10600936</v>
      </c>
      <c r="F103" t="str">
        <f t="shared" si="4"/>
        <v>Affy 1.0 ST</v>
      </c>
      <c r="G103" t="str">
        <f>"MGI:102708"</f>
        <v>MGI:102708</v>
      </c>
      <c r="H103" t="str">
        <f>"Efnb1"</f>
        <v>Efnb1</v>
      </c>
      <c r="I103" t="str">
        <f>"ephrin B1"</f>
        <v>ephrin B1</v>
      </c>
      <c r="J103" t="str">
        <f>"protein coding gene"</f>
        <v>protein coding gene</v>
      </c>
    </row>
    <row r="104" spans="1:10">
      <c r="A104">
        <v>10424349</v>
      </c>
      <c r="B104">
        <v>5.8517420539925604</v>
      </c>
      <c r="C104">
        <v>3.1550242321671602</v>
      </c>
      <c r="E104" t="str">
        <f>"10424349"</f>
        <v>10424349</v>
      </c>
      <c r="F104" t="str">
        <f t="shared" si="4"/>
        <v>Affy 1.0 ST</v>
      </c>
      <c r="G104" t="str">
        <f>"MGI:109296"</f>
        <v>MGI:109296</v>
      </c>
      <c r="H104" t="str">
        <f>"Sqle"</f>
        <v>Sqle</v>
      </c>
      <c r="I104" t="str">
        <f>"squalene epoxidase"</f>
        <v>squalene epoxidase</v>
      </c>
      <c r="J104" t="str">
        <f>"protein coding gene"</f>
        <v>protein coding gene</v>
      </c>
    </row>
    <row r="105" spans="1:10">
      <c r="A105">
        <v>10531752</v>
      </c>
      <c r="B105">
        <v>5.7817205640483698</v>
      </c>
      <c r="C105">
        <v>1.9230399436024099</v>
      </c>
      <c r="E105" t="str">
        <f>"10531752"</f>
        <v>10531752</v>
      </c>
      <c r="F105" t="str">
        <f t="shared" si="4"/>
        <v>Affy 1.0 ST</v>
      </c>
      <c r="G105" t="str">
        <f>"MGI:2176740"</f>
        <v>MGI:2176740</v>
      </c>
      <c r="H105" t="str">
        <f>"Helq"</f>
        <v>Helq</v>
      </c>
      <c r="I105" t="s">
        <v>5</v>
      </c>
      <c r="J105" t="s">
        <v>50</v>
      </c>
    </row>
    <row r="106" spans="1:10">
      <c r="A106">
        <v>10414315</v>
      </c>
      <c r="B106">
        <v>5.7560922893917503</v>
      </c>
      <c r="C106">
        <v>4.12226593250183</v>
      </c>
      <c r="E106" t="str">
        <f>"10414315"</f>
        <v>10414315</v>
      </c>
      <c r="F106" t="str">
        <f t="shared" si="4"/>
        <v>Affy 1.0 ST</v>
      </c>
      <c r="G106" t="str">
        <f>"MGI:1919641"</f>
        <v>MGI:1919641</v>
      </c>
      <c r="H106" t="str">
        <f>"Cdkn3"</f>
        <v>Cdkn3</v>
      </c>
      <c r="I106" t="str">
        <f>"cyclin-dependent kinase inhibitor 3"</f>
        <v>cyclin-dependent kinase inhibitor 3</v>
      </c>
      <c r="J106" t="str">
        <f>"protein coding gene"</f>
        <v>protein coding gene</v>
      </c>
    </row>
    <row r="107" spans="1:10">
      <c r="A107">
        <v>10523012</v>
      </c>
      <c r="B107">
        <v>5.7544706675243704</v>
      </c>
      <c r="C107">
        <v>3.1942282553091199</v>
      </c>
      <c r="E107" t="str">
        <f>"10523012"</f>
        <v>10523012</v>
      </c>
      <c r="F107" t="str">
        <f t="shared" si="4"/>
        <v>Affy 1.0 ST</v>
      </c>
      <c r="G107" t="str">
        <f>"MGI:102726"</f>
        <v>MGI:102726</v>
      </c>
      <c r="H107" t="str">
        <f>"Dck"</f>
        <v>Dck</v>
      </c>
      <c r="I107" t="str">
        <f>"deoxycytidine kinase"</f>
        <v>deoxycytidine kinase</v>
      </c>
      <c r="J107" t="str">
        <f>"protein coding gene"</f>
        <v>protein coding gene</v>
      </c>
    </row>
    <row r="108" spans="1:10">
      <c r="A108">
        <v>10481931</v>
      </c>
      <c r="B108">
        <v>5.6940407492930003</v>
      </c>
      <c r="C108">
        <v>2.4709637659272898</v>
      </c>
      <c r="E108" t="str">
        <f>"10481931"</f>
        <v>10481931</v>
      </c>
      <c r="F108" t="str">
        <f t="shared" si="4"/>
        <v>Affy 1.0 ST</v>
      </c>
      <c r="G108" t="str">
        <f>"MGI:1921266"</f>
        <v>MGI:1921266</v>
      </c>
      <c r="H108" t="str">
        <f>"Phf19"</f>
        <v>Phf19</v>
      </c>
      <c r="I108" t="str">
        <f>"PHD finger protein 19"</f>
        <v>PHD finger protein 19</v>
      </c>
      <c r="J108" t="str">
        <f>"protein coding gene"</f>
        <v>protein coding gene</v>
      </c>
    </row>
    <row r="109" spans="1:10">
      <c r="A109">
        <v>10357472</v>
      </c>
      <c r="B109">
        <v>5.6932576299809998</v>
      </c>
      <c r="C109">
        <v>1.4547444538040699</v>
      </c>
      <c r="E109" t="str">
        <f>"10357472"</f>
        <v>10357472</v>
      </c>
      <c r="F109" t="str">
        <f t="shared" si="4"/>
        <v>Affy 1.0 ST</v>
      </c>
      <c r="G109" t="str">
        <f>"MGI:109563"</f>
        <v>MGI:109563</v>
      </c>
      <c r="H109" t="str">
        <f>"Cxcr4"</f>
        <v>Cxcr4</v>
      </c>
      <c r="I109" t="str">
        <f>"chemokine (C-X-C motif) receptor 4"</f>
        <v>chemokine (C-X-C motif) receptor 4</v>
      </c>
      <c r="J109" t="str">
        <f>"protein coding gene"</f>
        <v>protein coding gene</v>
      </c>
    </row>
    <row r="110" spans="1:10">
      <c r="A110">
        <v>10344725</v>
      </c>
      <c r="B110">
        <v>5.5999686815016796</v>
      </c>
      <c r="C110">
        <v>0.283423908873215</v>
      </c>
      <c r="E110" t="str">
        <f>"10344725"</f>
        <v>10344725</v>
      </c>
      <c r="F110" t="str">
        <f t="shared" si="4"/>
        <v>Affy 1.0 ST</v>
      </c>
      <c r="G110" t="str">
        <f>"MGI:1923437"</f>
        <v>MGI:1923437</v>
      </c>
      <c r="H110" t="str">
        <f>"Adhfe1"</f>
        <v>Adhfe1</v>
      </c>
      <c r="I110" t="s">
        <v>6</v>
      </c>
      <c r="J110" t="s">
        <v>50</v>
      </c>
    </row>
    <row r="111" spans="1:10">
      <c r="A111">
        <v>10591412</v>
      </c>
      <c r="B111">
        <v>5.5697267454636004</v>
      </c>
      <c r="C111">
        <v>1.45999205155914</v>
      </c>
      <c r="E111" t="str">
        <f>"10591412"</f>
        <v>10591412</v>
      </c>
      <c r="F111" t="str">
        <f t="shared" si="4"/>
        <v>Affy 1.0 ST</v>
      </c>
      <c r="G111" t="str">
        <f>"MGI:99569"</f>
        <v>MGI:99569</v>
      </c>
      <c r="H111" t="str">
        <f>"S1pr2"</f>
        <v>S1pr2</v>
      </c>
      <c r="I111" t="str">
        <f>"sphingosine-1-phosphate receptor 2"</f>
        <v>sphingosine-1-phosphate receptor 2</v>
      </c>
      <c r="J111" t="str">
        <f>"protein coding gene"</f>
        <v>protein coding gene</v>
      </c>
    </row>
    <row r="112" spans="1:10">
      <c r="A112">
        <v>10365845</v>
      </c>
      <c r="B112">
        <v>5.5687530617559</v>
      </c>
      <c r="C112">
        <v>2.0326171531708899</v>
      </c>
      <c r="E112" t="str">
        <f>"10365845"</f>
        <v>10365845</v>
      </c>
      <c r="F112" t="str">
        <f t="shared" si="4"/>
        <v>Affy 1.0 ST</v>
      </c>
      <c r="G112" t="str">
        <f>"MGI:1261419"</f>
        <v>MGI:1261419</v>
      </c>
      <c r="H112" t="str">
        <f>"Fgd6"</f>
        <v>Fgd6</v>
      </c>
      <c r="I112" t="s">
        <v>7</v>
      </c>
      <c r="J112" t="s">
        <v>50</v>
      </c>
    </row>
    <row r="113" spans="1:10">
      <c r="A113">
        <v>10366293</v>
      </c>
      <c r="B113">
        <v>5.5591268513723398</v>
      </c>
      <c r="C113">
        <v>0.75747973949716996</v>
      </c>
      <c r="E113" t="str">
        <f>"10366293"</f>
        <v>10366293</v>
      </c>
      <c r="F113" t="str">
        <f t="shared" si="4"/>
        <v>Affy 1.0 ST</v>
      </c>
      <c r="G113" t="str">
        <f>"MGI:1202907"</f>
        <v>MGI:1202907</v>
      </c>
      <c r="H113" t="str">
        <f>"Csrp2"</f>
        <v>Csrp2</v>
      </c>
      <c r="I113" t="str">
        <f>"cysteine and glycine-rich protein 2"</f>
        <v>cysteine and glycine-rich protein 2</v>
      </c>
      <c r="J113" t="str">
        <f>"protein coding gene"</f>
        <v>protein coding gene</v>
      </c>
    </row>
    <row r="114" spans="1:10">
      <c r="A114">
        <v>10587639</v>
      </c>
      <c r="B114">
        <v>5.4386256308404297</v>
      </c>
      <c r="C114">
        <v>3.1363406321399299</v>
      </c>
      <c r="E114" t="str">
        <f>"10587639"</f>
        <v>10587639</v>
      </c>
      <c r="F114" t="str">
        <f t="shared" si="4"/>
        <v>Affy 1.0 ST</v>
      </c>
      <c r="G114" t="str">
        <f>"MGI:99782"</f>
        <v>MGI:99782</v>
      </c>
      <c r="H114" t="str">
        <f>"Nt5e"</f>
        <v>Nt5e</v>
      </c>
      <c r="I114" t="s">
        <v>8</v>
      </c>
      <c r="J114" t="s">
        <v>50</v>
      </c>
    </row>
    <row r="115" spans="1:10">
      <c r="A115">
        <v>10538939</v>
      </c>
      <c r="B115">
        <v>5.4162005737229304</v>
      </c>
      <c r="C115">
        <v>3.5248121772145602</v>
      </c>
      <c r="E115" t="str">
        <f>"10538939"</f>
        <v>10538939</v>
      </c>
      <c r="F115" t="str">
        <f t="shared" si="4"/>
        <v>Affy 1.0 ST</v>
      </c>
      <c r="G115" t="str">
        <f>"MGI:1341830"</f>
        <v>MGI:1341830</v>
      </c>
      <c r="H115" t="str">
        <f>"Eif2ak3"</f>
        <v>Eif2ak3</v>
      </c>
      <c r="I115" t="str">
        <f>"eukaryotic translation initiation factor 2 alpha kinase 3"</f>
        <v>eukaryotic translation initiation factor 2 alpha kinase 3</v>
      </c>
      <c r="J115" t="str">
        <f>"protein coding gene"</f>
        <v>protein coding gene</v>
      </c>
    </row>
    <row r="116" spans="1:10">
      <c r="A116">
        <v>10403023</v>
      </c>
      <c r="B116">
        <v>5.2691472448596501</v>
      </c>
      <c r="C116">
        <v>2.8293306343311699</v>
      </c>
      <c r="E116" t="str">
        <f>"10403023"</f>
        <v>10403023</v>
      </c>
      <c r="F116" t="str">
        <f t="shared" si="4"/>
        <v>Affy 1.0 ST</v>
      </c>
      <c r="G116" t="str">
        <f>"MGI:3704124"</f>
        <v>MGI:3704124</v>
      </c>
      <c r="H116" t="str">
        <f>"Ighv1-43"</f>
        <v>Ighv1-43</v>
      </c>
      <c r="I116" t="str">
        <f>"immunoglobulin heavy variable V1-43"</f>
        <v>immunoglobulin heavy variable V1-43</v>
      </c>
      <c r="J116" t="str">
        <f>"gene segment"</f>
        <v>gene segment</v>
      </c>
    </row>
    <row r="117" spans="1:10">
      <c r="A117">
        <v>10403036</v>
      </c>
      <c r="B117">
        <v>5.2663771391897596</v>
      </c>
      <c r="C117">
        <v>2.25225589652328</v>
      </c>
      <c r="E117" t="str">
        <f>"10403036"</f>
        <v>10403036</v>
      </c>
      <c r="F117" t="str">
        <f t="shared" si="4"/>
        <v>Affy 1.0 ST</v>
      </c>
      <c r="G117" t="str">
        <f>"MGI:4439557"</f>
        <v>MGI:4439557</v>
      </c>
      <c r="H117" t="str">
        <f>"Gm16633"</f>
        <v>Gm16633</v>
      </c>
      <c r="I117" t="s">
        <v>9</v>
      </c>
      <c r="J117" t="s">
        <v>10</v>
      </c>
    </row>
    <row r="118" spans="1:10">
      <c r="A118">
        <v>10587503</v>
      </c>
      <c r="B118">
        <v>5.2492518009470901</v>
      </c>
      <c r="C118">
        <v>0.437788853876038</v>
      </c>
      <c r="E118" t="str">
        <f>"10587503"</f>
        <v>10587503</v>
      </c>
      <c r="F118" t="str">
        <f t="shared" si="4"/>
        <v>Affy 1.0 ST</v>
      </c>
      <c r="G118" t="str">
        <f>"MGI:1915350"</f>
        <v>MGI:1915350</v>
      </c>
      <c r="H118" t="str">
        <f>"Sh3bgrl2"</f>
        <v>Sh3bgrl2</v>
      </c>
      <c r="I118" t="str">
        <f>"SH3 domain binding glutamic acid-rich protein like 2"</f>
        <v>SH3 domain binding glutamic acid-rich protein like 2</v>
      </c>
      <c r="J118" t="str">
        <f>"protein coding gene"</f>
        <v>protein coding gene</v>
      </c>
    </row>
    <row r="119" spans="1:10">
      <c r="A119">
        <v>10468311</v>
      </c>
      <c r="B119">
        <v>5.2364665496174201</v>
      </c>
      <c r="C119">
        <v>3.00203514547563</v>
      </c>
      <c r="E119" t="str">
        <f>"10468311"</f>
        <v>10468311</v>
      </c>
      <c r="F119" t="str">
        <f t="shared" si="4"/>
        <v>Affy 1.0 ST</v>
      </c>
      <c r="G119" t="str">
        <f>"MGI:1298393"</f>
        <v>MGI:1298393</v>
      </c>
      <c r="H119" t="str">
        <f>"Sh3pxd2a"</f>
        <v>Sh3pxd2a</v>
      </c>
      <c r="I119" t="str">
        <f>"SH3 and PX domains 2A"</f>
        <v>SH3 and PX domains 2A</v>
      </c>
      <c r="J119" t="str">
        <f>"protein coding gene"</f>
        <v>protein coding gene</v>
      </c>
    </row>
    <row r="120" spans="1:10">
      <c r="A120">
        <v>10606102</v>
      </c>
      <c r="B120">
        <v>5.2080376095270902</v>
      </c>
      <c r="C120">
        <v>3.7373793726877</v>
      </c>
      <c r="E120" t="str">
        <f>"10606102"</f>
        <v>10606102</v>
      </c>
      <c r="F120" t="str">
        <f t="shared" ref="F120:F133" si="8">"Affy 1.0 ST"</f>
        <v>Affy 1.0 ST</v>
      </c>
      <c r="G120" t="str">
        <f>"MGI:97576"</f>
        <v>MGI:97576</v>
      </c>
      <c r="H120" t="str">
        <f>"Phka1"</f>
        <v>Phka1</v>
      </c>
      <c r="I120" t="str">
        <f>"phosphorylase kinase alpha 1"</f>
        <v>phosphorylase kinase alpha 1</v>
      </c>
      <c r="J120" t="str">
        <f>"protein coding gene"</f>
        <v>protein coding gene</v>
      </c>
    </row>
    <row r="121" spans="1:10">
      <c r="A121">
        <v>10434802</v>
      </c>
      <c r="B121">
        <v>5.1949958050181397</v>
      </c>
      <c r="C121">
        <v>2.98603936301825</v>
      </c>
      <c r="E121" t="str">
        <f>"10434802"</f>
        <v>10434802</v>
      </c>
      <c r="F121" t="str">
        <f t="shared" si="8"/>
        <v>Affy 1.0 ST</v>
      </c>
      <c r="G121" t="str">
        <f>"MGI:2441849"</f>
        <v>MGI:2441849</v>
      </c>
      <c r="H121" t="str">
        <f>"Lpp"</f>
        <v>Lpp</v>
      </c>
      <c r="I121" t="str">
        <f>"LIM domain containing preferred translocation partner in lipoma"</f>
        <v>LIM domain containing preferred translocation partner in lipoma</v>
      </c>
      <c r="J121" t="str">
        <f>"protein coding gene"</f>
        <v>protein coding gene</v>
      </c>
    </row>
    <row r="122" spans="1:10">
      <c r="A122">
        <v>10345546</v>
      </c>
      <c r="B122">
        <v>5.1637781013589397</v>
      </c>
      <c r="C122">
        <v>1.35753251420957</v>
      </c>
      <c r="E122" t="str">
        <f>"10345546"</f>
        <v>10345546</v>
      </c>
      <c r="F122" t="str">
        <f t="shared" si="8"/>
        <v>Affy 1.0 ST</v>
      </c>
      <c r="G122" t="str">
        <f>"MGI:1918103"</f>
        <v>MGI:1918103</v>
      </c>
      <c r="H122" t="str">
        <f>"Vwa3b"</f>
        <v>Vwa3b</v>
      </c>
      <c r="I122" t="str">
        <f>"von Willebrand factor A domain containing 3B"</f>
        <v>von Willebrand factor A domain containing 3B</v>
      </c>
      <c r="J122" t="str">
        <f>"protein coding gene"</f>
        <v>protein coding gene</v>
      </c>
    </row>
    <row r="123" spans="1:10">
      <c r="A123">
        <v>10546088</v>
      </c>
      <c r="B123">
        <v>5.1567072037194102</v>
      </c>
      <c r="C123">
        <v>0.44428640962514299</v>
      </c>
      <c r="E123" t="str">
        <f>"10546088"</f>
        <v>10546088</v>
      </c>
      <c r="F123" t="str">
        <f t="shared" si="8"/>
        <v>Affy 1.0 ST</v>
      </c>
      <c r="G123" t="str">
        <f>"MGI:2685307"</f>
        <v>MGI:2685307</v>
      </c>
      <c r="H123" t="str">
        <f>"H1fx"</f>
        <v>H1fx</v>
      </c>
      <c r="I123" t="s">
        <v>11</v>
      </c>
      <c r="J123" t="s">
        <v>50</v>
      </c>
    </row>
    <row r="124" spans="1:10">
      <c r="A124">
        <v>10390780</v>
      </c>
      <c r="B124">
        <v>5.1323549836132898</v>
      </c>
      <c r="C124">
        <v>0.94401838019068796</v>
      </c>
      <c r="E124" t="str">
        <f>"10390780"</f>
        <v>10390780</v>
      </c>
      <c r="F124" t="str">
        <f t="shared" si="8"/>
        <v>Affy 1.0 ST</v>
      </c>
      <c r="G124" t="str">
        <f>"MGI:2442728"</f>
        <v>MGI:2442728</v>
      </c>
      <c r="H124" t="str">
        <f>"Krt222"</f>
        <v>Krt222</v>
      </c>
      <c r="I124" t="str">
        <f>"keratin 222"</f>
        <v>keratin 222</v>
      </c>
      <c r="J124" t="str">
        <f>"protein coding gene"</f>
        <v>protein coding gene</v>
      </c>
    </row>
    <row r="125" spans="1:10">
      <c r="A125">
        <v>10418842</v>
      </c>
      <c r="B125">
        <v>5.0990824782440001</v>
      </c>
      <c r="C125">
        <v>0.30186287547080698</v>
      </c>
      <c r="E125" t="str">
        <f>"10418842"</f>
        <v>10418842</v>
      </c>
      <c r="F125" t="str">
        <f t="shared" si="8"/>
        <v>Affy 1.0 ST</v>
      </c>
      <c r="G125" t="str">
        <f>"MGI:3588196"</f>
        <v>MGI:3588196</v>
      </c>
      <c r="H125" t="str">
        <f>"3425401B19Rik"</f>
        <v>3425401B19Rik</v>
      </c>
      <c r="I125" t="str">
        <f>"RIKEN cDNA 3425401B19 gene"</f>
        <v>RIKEN cDNA 3425401B19 gene</v>
      </c>
      <c r="J125" t="str">
        <f>"protein coding gene"</f>
        <v>protein coding gene</v>
      </c>
    </row>
    <row r="126" spans="1:10">
      <c r="A126">
        <v>10512226</v>
      </c>
      <c r="B126">
        <v>5.0367643705553498</v>
      </c>
      <c r="C126">
        <v>1.8751825424564199</v>
      </c>
      <c r="E126" t="str">
        <f>"10512226"</f>
        <v>10512226</v>
      </c>
      <c r="F126" t="str">
        <f t="shared" si="8"/>
        <v>Affy 1.0 ST</v>
      </c>
      <c r="G126" t="str">
        <f>"MGI:1916220"</f>
        <v>MGI:1916220</v>
      </c>
      <c r="H126" t="str">
        <f>"Dcaf12"</f>
        <v>Dcaf12</v>
      </c>
      <c r="I126" t="str">
        <f>"DDB1 and CUL4 associated factor 12"</f>
        <v>DDB1 and CUL4 associated factor 12</v>
      </c>
      <c r="J126" t="str">
        <f>"protein coding gene"</f>
        <v>protein coding gene</v>
      </c>
    </row>
    <row r="127" spans="1:10">
      <c r="A127">
        <v>10527920</v>
      </c>
      <c r="B127">
        <v>5.0327579201358699</v>
      </c>
      <c r="C127">
        <v>2.1607377837928299</v>
      </c>
      <c r="E127" t="str">
        <f>"10527920"</f>
        <v>10527920</v>
      </c>
      <c r="F127" t="str">
        <f t="shared" si="8"/>
        <v>Affy 1.0 ST</v>
      </c>
      <c r="G127" t="str">
        <f>"MGI:106040"</f>
        <v>MGI:106040</v>
      </c>
      <c r="H127" t="str">
        <f>"Cyp51"</f>
        <v>Cyp51</v>
      </c>
      <c r="I127" t="s">
        <v>12</v>
      </c>
      <c r="J127" t="s">
        <v>50</v>
      </c>
    </row>
    <row r="128" spans="1:10">
      <c r="A128">
        <v>10407211</v>
      </c>
      <c r="B128">
        <v>5.0303283724255197</v>
      </c>
      <c r="C128">
        <v>0.63916694650042305</v>
      </c>
      <c r="E128" t="str">
        <f>"10407211"</f>
        <v>10407211</v>
      </c>
      <c r="F128" t="str">
        <f t="shared" si="8"/>
        <v>Affy 1.0 ST</v>
      </c>
      <c r="G128" t="str">
        <f>"MGI:108412"</f>
        <v>MGI:108412</v>
      </c>
      <c r="H128" t="str">
        <f>"Ppap2a"</f>
        <v>Ppap2a</v>
      </c>
      <c r="I128" t="str">
        <f>"phosphatidic acid phosphatase type 2A"</f>
        <v>phosphatidic acid phosphatase type 2A</v>
      </c>
      <c r="J128" t="str">
        <f>"protein coding gene"</f>
        <v>protein coding gene</v>
      </c>
    </row>
    <row r="129" spans="1:10">
      <c r="A129">
        <v>10584710</v>
      </c>
      <c r="B129">
        <v>5.0147060090481004</v>
      </c>
      <c r="C129">
        <v>2.6384370386496698</v>
      </c>
      <c r="E129" t="str">
        <f>"10584710"</f>
        <v>10584710</v>
      </c>
      <c r="F129" t="str">
        <f t="shared" si="8"/>
        <v>Affy 1.0 ST</v>
      </c>
      <c r="G129" t="str">
        <f>"MGI:102688"</f>
        <v>MGI:102688</v>
      </c>
      <c r="H129" t="str">
        <f>"H2afx"</f>
        <v>H2afx</v>
      </c>
      <c r="I129" t="s">
        <v>13</v>
      </c>
      <c r="J129" t="s">
        <v>50</v>
      </c>
    </row>
    <row r="130" spans="1:10">
      <c r="A130">
        <v>10435514</v>
      </c>
      <c r="B130">
        <v>4.9955452698980602</v>
      </c>
      <c r="C130">
        <v>1.2893499674900699</v>
      </c>
      <c r="E130" t="str">
        <f>"10435514"</f>
        <v>10435514</v>
      </c>
      <c r="F130" t="str">
        <f t="shared" si="8"/>
        <v>Affy 1.0 ST</v>
      </c>
      <c r="G130" t="str">
        <f>"MGI:2146574"</f>
        <v>MGI:2146574</v>
      </c>
      <c r="H130" t="str">
        <f>"Ildr1"</f>
        <v>Ildr1</v>
      </c>
      <c r="I130" t="str">
        <f>"immunoglobulin-like domain containing receptor 1"</f>
        <v>immunoglobulin-like domain containing receptor 1</v>
      </c>
      <c r="J130" t="str">
        <f>"protein coding gene"</f>
        <v>protein coding gene</v>
      </c>
    </row>
    <row r="131" spans="1:10">
      <c r="A131">
        <v>10416800</v>
      </c>
      <c r="B131">
        <v>4.9921054271970604</v>
      </c>
      <c r="C131">
        <v>0.65135129517715595</v>
      </c>
      <c r="E131" t="str">
        <f>"10416800"</f>
        <v>10416800</v>
      </c>
      <c r="F131" t="str">
        <f t="shared" si="8"/>
        <v>Affy 1.0 ST</v>
      </c>
      <c r="G131" t="str">
        <f>"MGI:1353586"</f>
        <v>MGI:1353586</v>
      </c>
      <c r="H131" t="str">
        <f>"Lmo7"</f>
        <v>Lmo7</v>
      </c>
      <c r="I131" t="str">
        <f>"LIM domain only 7"</f>
        <v>LIM domain only 7</v>
      </c>
      <c r="J131" t="str">
        <f>"protein coding gene"</f>
        <v>protein coding gene</v>
      </c>
    </row>
    <row r="132" spans="1:10">
      <c r="A132">
        <v>10526502</v>
      </c>
      <c r="B132">
        <v>4.8809992288639998</v>
      </c>
      <c r="C132">
        <v>1.5444548607573101</v>
      </c>
      <c r="E132" t="str">
        <f>"10526502"</f>
        <v>10526502</v>
      </c>
      <c r="F132" t="str">
        <f t="shared" si="8"/>
        <v>Affy 1.0 ST</v>
      </c>
      <c r="G132" t="str">
        <f>"MGI:1914536"</f>
        <v>MGI:1914536</v>
      </c>
      <c r="H132" t="str">
        <f>"Rabl5"</f>
        <v>Rabl5</v>
      </c>
      <c r="I132" t="s">
        <v>14</v>
      </c>
      <c r="J132" t="s">
        <v>50</v>
      </c>
    </row>
    <row r="133" spans="1:10">
      <c r="A133">
        <v>10482762</v>
      </c>
      <c r="B133">
        <v>4.8620977025312699</v>
      </c>
      <c r="C133">
        <v>3.0006181306360098</v>
      </c>
      <c r="E133" t="str">
        <f>"10482762"</f>
        <v>10482762</v>
      </c>
      <c r="F133" t="str">
        <f t="shared" si="8"/>
        <v>Affy 1.0 ST</v>
      </c>
      <c r="G133" t="str">
        <f>"MGI:2442264"</f>
        <v>MGI:2442264</v>
      </c>
      <c r="H133" t="str">
        <f>"Idi1"</f>
        <v>Idi1</v>
      </c>
      <c r="I133" t="str">
        <f>"isopentenyl-diphosphate delta isomerase"</f>
        <v>isopentenyl-diphosphate delta isomerase</v>
      </c>
      <c r="J133" t="str">
        <f>"protein coding gene"</f>
        <v>protein coding gene</v>
      </c>
    </row>
    <row r="134" spans="1:10">
      <c r="A134">
        <v>10395908</v>
      </c>
      <c r="B134">
        <v>4.8573966369067101</v>
      </c>
      <c r="C134">
        <v>2.95851533670543</v>
      </c>
      <c r="E134" t="str">
        <f>"10395908"</f>
        <v>10395908</v>
      </c>
      <c r="F134" t="str">
        <f>""</f>
        <v/>
      </c>
      <c r="G134" t="str">
        <f>"No associated gene"</f>
        <v>No associated gene</v>
      </c>
    </row>
    <row r="135" spans="1:10">
      <c r="A135">
        <v>10399973</v>
      </c>
      <c r="B135">
        <v>4.8565694905767396</v>
      </c>
      <c r="C135">
        <v>2.3152670938409901</v>
      </c>
      <c r="E135" t="str">
        <f>"10399973"</f>
        <v>10399973</v>
      </c>
      <c r="F135" t="str">
        <f t="shared" ref="F135:F162" si="9">"Affy 1.0 ST"</f>
        <v>Affy 1.0 ST</v>
      </c>
      <c r="G135" t="str">
        <f>"MGI:1931221"</f>
        <v>MGI:1931221</v>
      </c>
      <c r="H135" t="str">
        <f>"Hdac9"</f>
        <v>Hdac9</v>
      </c>
      <c r="I135" t="str">
        <f>"histone deacetylase 9"</f>
        <v>histone deacetylase 9</v>
      </c>
      <c r="J135" t="str">
        <f>"protein coding gene"</f>
        <v>protein coding gene</v>
      </c>
    </row>
    <row r="136" spans="1:10">
      <c r="A136">
        <v>10497503</v>
      </c>
      <c r="B136">
        <v>4.82219882206424</v>
      </c>
      <c r="C136">
        <v>2.2615724265411501</v>
      </c>
      <c r="E136" t="str">
        <f>"10497503"</f>
        <v>10497503</v>
      </c>
      <c r="F136" t="str">
        <f t="shared" si="9"/>
        <v>Affy 1.0 ST</v>
      </c>
      <c r="G136" t="str">
        <f>"MGI:103561"</f>
        <v>MGI:103561</v>
      </c>
      <c r="H136" t="str">
        <f>"Kpna2"</f>
        <v>Kpna2</v>
      </c>
      <c r="I136" t="str">
        <f>"karyopherin (importin) alpha 2"</f>
        <v>karyopherin (importin) alpha 2</v>
      </c>
      <c r="J136" t="str">
        <f>"protein coding gene"</f>
        <v>protein coding gene</v>
      </c>
    </row>
    <row r="137" spans="1:10">
      <c r="A137">
        <v>10395277</v>
      </c>
      <c r="B137">
        <v>4.8221298634265697</v>
      </c>
      <c r="C137">
        <v>1.89491864086394</v>
      </c>
      <c r="E137" t="str">
        <f>"10395277"</f>
        <v>10395277</v>
      </c>
      <c r="F137" t="str">
        <f t="shared" si="9"/>
        <v>Affy 1.0 ST</v>
      </c>
      <c r="G137" t="str">
        <f>"MGI:108081"</f>
        <v>MGI:108081</v>
      </c>
      <c r="H137" t="str">
        <f>"Sypl"</f>
        <v>Sypl</v>
      </c>
      <c r="I137" t="str">
        <f>"synaptophysin-like protein"</f>
        <v>synaptophysin-like protein</v>
      </c>
      <c r="J137" t="str">
        <f>"protein coding gene"</f>
        <v>protein coding gene</v>
      </c>
    </row>
    <row r="138" spans="1:10">
      <c r="A138">
        <v>10468309</v>
      </c>
      <c r="B138">
        <v>4.8057377376650301</v>
      </c>
      <c r="C138">
        <v>2.8995624642547102</v>
      </c>
      <c r="E138" t="str">
        <f>"10468309"</f>
        <v>10468309</v>
      </c>
      <c r="F138" t="str">
        <f t="shared" si="9"/>
        <v>Affy 1.0 ST</v>
      </c>
      <c r="G138" t="str">
        <f>"MGI:1916883"</f>
        <v>MGI:1916883</v>
      </c>
      <c r="H138" t="str">
        <f>"2310014D11Rik"</f>
        <v>2310014D11Rik</v>
      </c>
      <c r="I138" t="str">
        <f>"RIKEN cDNA 2310014D11 gene"</f>
        <v>RIKEN cDNA 2310014D11 gene</v>
      </c>
      <c r="J138" t="str">
        <f>"unclassified gene"</f>
        <v>unclassified gene</v>
      </c>
    </row>
    <row r="139" spans="1:10">
      <c r="A139">
        <v>10503410</v>
      </c>
      <c r="B139">
        <v>4.8038200964839399</v>
      </c>
      <c r="C139">
        <v>1.8333843487571</v>
      </c>
      <c r="E139" t="str">
        <f>"10503410"</f>
        <v>10503410</v>
      </c>
      <c r="F139" t="str">
        <f t="shared" si="9"/>
        <v>Affy 1.0 ST</v>
      </c>
      <c r="G139" t="str">
        <f>"MGI:2140359"</f>
        <v>MGI:2140359</v>
      </c>
      <c r="H139" t="str">
        <f>"Tmem64"</f>
        <v>Tmem64</v>
      </c>
      <c r="I139" t="str">
        <f>"transmembrane protein 64"</f>
        <v>transmembrane protein 64</v>
      </c>
      <c r="J139" t="str">
        <f t="shared" ref="J139:J145" si="10">"protein coding gene"</f>
        <v>protein coding gene</v>
      </c>
    </row>
    <row r="140" spans="1:10">
      <c r="A140">
        <v>10421697</v>
      </c>
      <c r="B140">
        <v>4.7922812353241602</v>
      </c>
      <c r="C140">
        <v>2.1962626554867701</v>
      </c>
      <c r="E140" t="str">
        <f>"10421697"</f>
        <v>10421697</v>
      </c>
      <c r="F140" t="str">
        <f t="shared" si="9"/>
        <v>Affy 1.0 ST</v>
      </c>
      <c r="G140" t="str">
        <f>"MGI:2445077"</f>
        <v>MGI:2445077</v>
      </c>
      <c r="H140" t="str">
        <f>"9030625A04Rik"</f>
        <v>9030625A04Rik</v>
      </c>
      <c r="I140" t="str">
        <f>"RIKEN cDNA 9030625A04 gene"</f>
        <v>RIKEN cDNA 9030625A04 gene</v>
      </c>
      <c r="J140" t="str">
        <f t="shared" si="10"/>
        <v>protein coding gene</v>
      </c>
    </row>
    <row r="141" spans="1:10">
      <c r="A141">
        <v>10474064</v>
      </c>
      <c r="B141">
        <v>4.7734119006354403</v>
      </c>
      <c r="C141">
        <v>2.5657294646597499</v>
      </c>
      <c r="E141" t="str">
        <f>"10474064"</f>
        <v>10474064</v>
      </c>
      <c r="F141" t="str">
        <f t="shared" si="9"/>
        <v>Affy 1.0 ST</v>
      </c>
      <c r="G141" t="str">
        <f>"MGI:2670995"</f>
        <v>MGI:2670995</v>
      </c>
      <c r="H141" t="str">
        <f>"Trp53i11"</f>
        <v>Trp53i11</v>
      </c>
      <c r="I141" t="str">
        <f>"transformation related protein 53 inducible protein 11"</f>
        <v>transformation related protein 53 inducible protein 11</v>
      </c>
      <c r="J141" t="str">
        <f t="shared" si="10"/>
        <v>protein coding gene</v>
      </c>
    </row>
    <row r="142" spans="1:10">
      <c r="A142">
        <v>10530536</v>
      </c>
      <c r="B142">
        <v>4.76915098619628</v>
      </c>
      <c r="C142">
        <v>2.7132226455866002</v>
      </c>
      <c r="E142" t="str">
        <f>"10530536"</f>
        <v>10530536</v>
      </c>
      <c r="F142" t="str">
        <f t="shared" si="9"/>
        <v>Affy 1.0 ST</v>
      </c>
      <c r="G142" t="str">
        <f>"MGI:98662"</f>
        <v>MGI:98662</v>
      </c>
      <c r="H142" t="str">
        <f>"Tec"</f>
        <v>Tec</v>
      </c>
      <c r="I142" t="str">
        <f>"tec protein tyrosine kinase"</f>
        <v>tec protein tyrosine kinase</v>
      </c>
      <c r="J142" t="str">
        <f t="shared" si="10"/>
        <v>protein coding gene</v>
      </c>
    </row>
    <row r="143" spans="1:10">
      <c r="A143">
        <v>10371770</v>
      </c>
      <c r="B143">
        <v>4.7402553787396302</v>
      </c>
      <c r="C143">
        <v>2.0985949353058202</v>
      </c>
      <c r="E143" t="str">
        <f>"10371770"</f>
        <v>10371770</v>
      </c>
      <c r="F143" t="str">
        <f t="shared" si="9"/>
        <v>Affy 1.0 ST</v>
      </c>
      <c r="G143" t="str">
        <f>"MGI:1918780"</f>
        <v>MGI:1918780</v>
      </c>
      <c r="H143" t="str">
        <f>"Gas2l3"</f>
        <v>Gas2l3</v>
      </c>
      <c r="I143" t="str">
        <f>"growth arrest-specific 2 like 3"</f>
        <v>growth arrest-specific 2 like 3</v>
      </c>
      <c r="J143" t="str">
        <f t="shared" si="10"/>
        <v>protein coding gene</v>
      </c>
    </row>
    <row r="144" spans="1:10">
      <c r="A144">
        <v>10601328</v>
      </c>
      <c r="B144">
        <v>4.7320331972827603</v>
      </c>
      <c r="C144">
        <v>0.99686477026317999</v>
      </c>
      <c r="E144" t="str">
        <f>"10601328"</f>
        <v>10601328</v>
      </c>
      <c r="F144" t="str">
        <f t="shared" si="9"/>
        <v>Affy 1.0 ST</v>
      </c>
      <c r="G144" t="str">
        <f>"MGI:2685620"</f>
        <v>MGI:2685620</v>
      </c>
      <c r="H144" t="str">
        <f>"Uprt"</f>
        <v>Uprt</v>
      </c>
      <c r="I144" t="str">
        <f>"uracil phosphoribosyltransferase (FUR1) homolog (S. cerevisiae)"</f>
        <v>uracil phosphoribosyltransferase (FUR1) homolog (S. cerevisiae)</v>
      </c>
      <c r="J144" t="str">
        <f t="shared" si="10"/>
        <v>protein coding gene</v>
      </c>
    </row>
    <row r="145" spans="1:10">
      <c r="A145">
        <v>10354085</v>
      </c>
      <c r="B145">
        <v>4.7022322536208696</v>
      </c>
      <c r="C145">
        <v>2.04557911651932</v>
      </c>
      <c r="E145" t="str">
        <f>"10354085"</f>
        <v>10354085</v>
      </c>
      <c r="F145" t="str">
        <f t="shared" si="9"/>
        <v>Affy 1.0 ST</v>
      </c>
      <c r="G145" t="str">
        <f>"MGI:1929074"</f>
        <v>MGI:1929074</v>
      </c>
      <c r="H145" t="str">
        <f>"Rev1"</f>
        <v>Rev1</v>
      </c>
      <c r="I145" t="str">
        <f>"REV1 homolog (S. cerevisiae)"</f>
        <v>REV1 homolog (S. cerevisiae)</v>
      </c>
      <c r="J145" t="str">
        <f t="shared" si="10"/>
        <v>protein coding gene</v>
      </c>
    </row>
    <row r="146" spans="1:10">
      <c r="A146">
        <v>10500610</v>
      </c>
      <c r="B146">
        <v>4.69703559140215</v>
      </c>
      <c r="C146">
        <v>0.68114334134627197</v>
      </c>
      <c r="E146" t="str">
        <f>"10500610"</f>
        <v>10500610</v>
      </c>
      <c r="F146" t="str">
        <f t="shared" si="9"/>
        <v>Affy 1.0 ST</v>
      </c>
      <c r="G146" t="str">
        <f>"MGI:1921895"</f>
        <v>MGI:1921895</v>
      </c>
      <c r="H146" t="str">
        <f>"Fam46c"</f>
        <v>Fam46c</v>
      </c>
      <c r="I146" t="s">
        <v>15</v>
      </c>
      <c r="J146" t="s">
        <v>50</v>
      </c>
    </row>
    <row r="147" spans="1:10">
      <c r="A147">
        <v>10603567</v>
      </c>
      <c r="B147">
        <v>4.6940207211939597</v>
      </c>
      <c r="C147">
        <v>1.65451710360099</v>
      </c>
      <c r="E147" t="str">
        <f>"10603567"</f>
        <v>10603567</v>
      </c>
      <c r="F147" t="str">
        <f t="shared" si="9"/>
        <v>Affy 1.0 ST</v>
      </c>
      <c r="G147" t="str">
        <f>"MGI:1914367"</f>
        <v>MGI:1914367</v>
      </c>
      <c r="H147" t="str">
        <f>"Dynlt3"</f>
        <v>Dynlt3</v>
      </c>
      <c r="I147" t="str">
        <f>"dynein light chain Tctex-type 3"</f>
        <v>dynein light chain Tctex-type 3</v>
      </c>
      <c r="J147" t="str">
        <f>"protein coding gene"</f>
        <v>protein coding gene</v>
      </c>
    </row>
    <row r="148" spans="1:10">
      <c r="A148">
        <v>10485607</v>
      </c>
      <c r="B148">
        <v>4.6481788760439899</v>
      </c>
      <c r="C148">
        <v>2.9070753667910099</v>
      </c>
      <c r="E148" t="str">
        <f>"10485607"</f>
        <v>10485607</v>
      </c>
      <c r="F148" t="str">
        <f t="shared" si="9"/>
        <v>Affy 1.0 ST</v>
      </c>
      <c r="G148" t="str">
        <f>"MGI:2138986"</f>
        <v>MGI:2138986</v>
      </c>
      <c r="H148" t="str">
        <f>"Qser1"</f>
        <v>Qser1</v>
      </c>
      <c r="I148" t="str">
        <f>"glutamine and serine rich 1"</f>
        <v>glutamine and serine rich 1</v>
      </c>
      <c r="J148" t="str">
        <f>"protein coding gene"</f>
        <v>protein coding gene</v>
      </c>
    </row>
    <row r="149" spans="1:10">
      <c r="A149">
        <v>10461765</v>
      </c>
      <c r="B149">
        <v>4.6320264677174103</v>
      </c>
      <c r="C149">
        <v>4.9268299201268304</v>
      </c>
      <c r="E149" t="str">
        <f>"10461765"</f>
        <v>10461765</v>
      </c>
      <c r="F149" t="str">
        <f t="shared" si="9"/>
        <v>Affy 1.0 ST</v>
      </c>
      <c r="G149" t="str">
        <f>"MGI:2147677"</f>
        <v>MGI:2147677</v>
      </c>
      <c r="H149" t="str">
        <f>"Lpxn"</f>
        <v>Lpxn</v>
      </c>
      <c r="I149" t="str">
        <f>"leupaxin"</f>
        <v>leupaxin</v>
      </c>
      <c r="J149" t="str">
        <f>"protein coding gene"</f>
        <v>protein coding gene</v>
      </c>
    </row>
    <row r="150" spans="1:10">
      <c r="A150">
        <v>10392415</v>
      </c>
      <c r="B150">
        <v>4.62868438673227</v>
      </c>
      <c r="C150">
        <v>0.38055475054674498</v>
      </c>
      <c r="E150" t="str">
        <f>"10392415"</f>
        <v>10392415</v>
      </c>
      <c r="F150" t="str">
        <f t="shared" si="9"/>
        <v>Affy 1.0 ST</v>
      </c>
      <c r="G150" t="str">
        <f>"MGI:1338824"</f>
        <v>MGI:1338824</v>
      </c>
      <c r="H150" t="str">
        <f>"Rgs9"</f>
        <v>Rgs9</v>
      </c>
      <c r="I150" t="str">
        <f>"regulator of G-protein signaling 9"</f>
        <v>regulator of G-protein signaling 9</v>
      </c>
      <c r="J150" t="str">
        <f>"protein coding gene"</f>
        <v>protein coding gene</v>
      </c>
    </row>
    <row r="151" spans="1:10">
      <c r="A151">
        <v>10425207</v>
      </c>
      <c r="B151">
        <v>4.5688939378746998</v>
      </c>
      <c r="C151">
        <v>2.94248448555209</v>
      </c>
      <c r="E151" t="str">
        <f>"10425207"</f>
        <v>10425207</v>
      </c>
      <c r="F151" t="str">
        <f t="shared" si="9"/>
        <v>Affy 1.0 ST</v>
      </c>
      <c r="G151" t="str">
        <f>"MGI:95893"</f>
        <v>MGI:95893</v>
      </c>
      <c r="H151" t="str">
        <f>"H1f0"</f>
        <v>H1f0</v>
      </c>
      <c r="I151" t="s">
        <v>16</v>
      </c>
      <c r="J151" t="s">
        <v>50</v>
      </c>
    </row>
    <row r="152" spans="1:10">
      <c r="A152">
        <v>10474073</v>
      </c>
      <c r="B152">
        <v>4.5682206814504696</v>
      </c>
      <c r="C152">
        <v>2.3922077097203598</v>
      </c>
      <c r="E152" t="str">
        <f>"10474073"</f>
        <v>10474073</v>
      </c>
      <c r="F152" t="str">
        <f t="shared" si="9"/>
        <v>Affy 1.0 ST</v>
      </c>
      <c r="G152" t="str">
        <f>"MGI:3026916"</f>
        <v>MGI:3026916</v>
      </c>
      <c r="H152" t="str">
        <f>"C230071H18Rik"</f>
        <v>C230071H18Rik</v>
      </c>
      <c r="I152" t="str">
        <f>"RIKEN cDNA C230071H18 gene"</f>
        <v>RIKEN cDNA C230071H18 gene</v>
      </c>
      <c r="J152" t="str">
        <f>"unclassified gene"</f>
        <v>unclassified gene</v>
      </c>
    </row>
    <row r="153" spans="1:10">
      <c r="A153">
        <v>10399470</v>
      </c>
      <c r="B153">
        <v>4.5633610818793597</v>
      </c>
      <c r="C153">
        <v>1.7268718145142801</v>
      </c>
      <c r="E153" t="str">
        <f>"10399470"</f>
        <v>10399470</v>
      </c>
      <c r="F153" t="str">
        <f t="shared" si="9"/>
        <v>Affy 1.0 ST</v>
      </c>
      <c r="G153" t="str">
        <f>"MGI:2145021"</f>
        <v>MGI:2145021</v>
      </c>
      <c r="H153" t="str">
        <f>"Trib2"</f>
        <v>Trib2</v>
      </c>
      <c r="I153" t="str">
        <f>"tribbles homolog 2 (Drosophila)"</f>
        <v>tribbles homolog 2 (Drosophila)</v>
      </c>
      <c r="J153" t="str">
        <f>"protein coding gene"</f>
        <v>protein coding gene</v>
      </c>
    </row>
    <row r="154" spans="1:10">
      <c r="A154">
        <v>10555438</v>
      </c>
      <c r="B154">
        <v>4.5532792482237801</v>
      </c>
      <c r="C154">
        <v>2.6955375389802798</v>
      </c>
      <c r="E154" t="str">
        <f>"10555438"</f>
        <v>10555438</v>
      </c>
      <c r="F154" t="str">
        <f t="shared" si="9"/>
        <v>Affy 1.0 ST</v>
      </c>
      <c r="G154" t="str">
        <f>"MGI:2448475"</f>
        <v>MGI:2448475</v>
      </c>
      <c r="H154" t="str">
        <f>"Fchsd2"</f>
        <v>Fchsd2</v>
      </c>
      <c r="I154" t="str">
        <f>"FCH and double SH3 domains 2"</f>
        <v>FCH and double SH3 domains 2</v>
      </c>
      <c r="J154" t="str">
        <f>"protein coding gene"</f>
        <v>protein coding gene</v>
      </c>
    </row>
    <row r="155" spans="1:10">
      <c r="A155">
        <v>10442396</v>
      </c>
      <c r="B155">
        <v>4.5466025772532301</v>
      </c>
      <c r="C155">
        <v>3.1810706207428701</v>
      </c>
      <c r="E155" t="str">
        <f>"10442396"</f>
        <v>10442396</v>
      </c>
      <c r="F155" t="str">
        <f t="shared" si="9"/>
        <v>Affy 1.0 ST</v>
      </c>
      <c r="G155" t="str">
        <f>"MGI:1351617"</f>
        <v>MGI:1351617</v>
      </c>
      <c r="H155" t="str">
        <f>"Abca3"</f>
        <v>Abca3</v>
      </c>
      <c r="I155" t="s">
        <v>17</v>
      </c>
      <c r="J155" t="s">
        <v>50</v>
      </c>
    </row>
    <row r="156" spans="1:10">
      <c r="A156">
        <v>10423333</v>
      </c>
      <c r="B156">
        <v>4.5259573339198997</v>
      </c>
      <c r="C156">
        <v>1.8302010747983299</v>
      </c>
      <c r="E156" t="str">
        <f>"10423333"</f>
        <v>10423333</v>
      </c>
      <c r="F156" t="str">
        <f t="shared" si="9"/>
        <v>Affy 1.0 ST</v>
      </c>
      <c r="G156" t="str">
        <f>"MGI:1913520"</f>
        <v>MGI:1913520</v>
      </c>
      <c r="H156" t="str">
        <f>"Fam134b"</f>
        <v>Fam134b</v>
      </c>
      <c r="I156" t="s">
        <v>18</v>
      </c>
      <c r="J156" t="s">
        <v>50</v>
      </c>
    </row>
    <row r="157" spans="1:10">
      <c r="A157">
        <v>10416655</v>
      </c>
      <c r="B157">
        <v>4.4987873620125196</v>
      </c>
      <c r="C157">
        <v>1.97487478560331</v>
      </c>
      <c r="E157" t="str">
        <f>"10416655"</f>
        <v>10416655</v>
      </c>
      <c r="F157" t="str">
        <f t="shared" si="9"/>
        <v>Affy 1.0 ST</v>
      </c>
      <c r="G157" t="str">
        <f>"MGI:3643058"</f>
        <v>MGI:3643058</v>
      </c>
      <c r="H157" t="str">
        <f>"Gm5465"</f>
        <v>Gm5465</v>
      </c>
      <c r="I157" t="str">
        <f>"predicted gene 5465"</f>
        <v>predicted gene 5465</v>
      </c>
      <c r="J157" t="str">
        <f>"protein coding gene"</f>
        <v>protein coding gene</v>
      </c>
    </row>
    <row r="158" spans="1:10">
      <c r="A158">
        <v>10364950</v>
      </c>
      <c r="B158">
        <v>4.4942823735730997</v>
      </c>
      <c r="C158">
        <v>1.6137702539963501</v>
      </c>
      <c r="E158" t="str">
        <f>"10364950"</f>
        <v>10364950</v>
      </c>
      <c r="F158" t="str">
        <f t="shared" si="9"/>
        <v>Affy 1.0 ST</v>
      </c>
      <c r="G158" t="str">
        <f>"MGI:107776"</f>
        <v>MGI:107776</v>
      </c>
      <c r="H158" t="str">
        <f>"Gadd45b"</f>
        <v>Gadd45b</v>
      </c>
      <c r="I158" t="str">
        <f>"growth arrest and DNA-damage-inducible 45 beta"</f>
        <v>growth arrest and DNA-damage-inducible 45 beta</v>
      </c>
      <c r="J158" t="str">
        <f>"protein coding gene"</f>
        <v>protein coding gene</v>
      </c>
    </row>
    <row r="159" spans="1:10">
      <c r="A159">
        <v>10535780</v>
      </c>
      <c r="B159">
        <v>4.4575162689670202</v>
      </c>
      <c r="C159">
        <v>0.55089337043952802</v>
      </c>
      <c r="E159" t="str">
        <f>"10535780"</f>
        <v>10535780</v>
      </c>
      <c r="F159" t="str">
        <f t="shared" si="9"/>
        <v>Affy 1.0 ST</v>
      </c>
      <c r="G159" t="str">
        <f>"MGI:95559"</f>
        <v>MGI:95559</v>
      </c>
      <c r="H159" t="str">
        <f>"Flt3"</f>
        <v>Flt3</v>
      </c>
      <c r="I159" t="str">
        <f>"FMS-like tyrosine kinase 3"</f>
        <v>FMS-like tyrosine kinase 3</v>
      </c>
      <c r="J159" t="str">
        <f>"protein coding gene"</f>
        <v>protein coding gene</v>
      </c>
    </row>
    <row r="160" spans="1:10">
      <c r="A160">
        <v>10530319</v>
      </c>
      <c r="B160">
        <v>4.4459050788531904</v>
      </c>
      <c r="C160">
        <v>2.8114026949114699</v>
      </c>
      <c r="E160" t="str">
        <f>"10530319"</f>
        <v>10530319</v>
      </c>
      <c r="F160" t="str">
        <f t="shared" si="9"/>
        <v>Affy 1.0 ST</v>
      </c>
      <c r="G160" t="str">
        <f>"MGI:1330848"</f>
        <v>MGI:1330848</v>
      </c>
      <c r="H160" t="str">
        <f>"Atp8a1"</f>
        <v>Atp8a1</v>
      </c>
      <c r="I160" t="s">
        <v>19</v>
      </c>
      <c r="J160" t="s">
        <v>50</v>
      </c>
    </row>
    <row r="161" spans="1:10">
      <c r="A161">
        <v>10392983</v>
      </c>
      <c r="B161">
        <v>4.3980789235036504</v>
      </c>
      <c r="C161">
        <v>1.92869592961095</v>
      </c>
      <c r="E161" t="str">
        <f>"10392983"</f>
        <v>10392983</v>
      </c>
      <c r="F161" t="str">
        <f t="shared" si="9"/>
        <v>Affy 1.0 ST</v>
      </c>
      <c r="G161" t="str">
        <f>"MGI:1914533"</f>
        <v>MGI:1914533</v>
      </c>
      <c r="H161" t="str">
        <f>"Slc25a19"</f>
        <v>Slc25a19</v>
      </c>
      <c r="I161" t="s">
        <v>20</v>
      </c>
      <c r="J161" t="s">
        <v>50</v>
      </c>
    </row>
    <row r="162" spans="1:10">
      <c r="A162">
        <v>10513061</v>
      </c>
      <c r="B162">
        <v>4.3934757657942098</v>
      </c>
      <c r="C162">
        <v>0.54254330140162998</v>
      </c>
      <c r="E162" t="str">
        <f>"10513061"</f>
        <v>10513061</v>
      </c>
      <c r="F162" t="str">
        <f t="shared" si="9"/>
        <v>Affy 1.0 ST</v>
      </c>
      <c r="G162" t="str">
        <f>"MGI:1859649"</f>
        <v>MGI:1859649</v>
      </c>
      <c r="H162" t="str">
        <f>"Ctnnal1"</f>
        <v>Ctnnal1</v>
      </c>
      <c r="I162" t="s">
        <v>21</v>
      </c>
      <c r="J162" t="s">
        <v>50</v>
      </c>
    </row>
    <row r="163" spans="1:10">
      <c r="A163">
        <v>10353989</v>
      </c>
      <c r="B163">
        <v>4.3822611369800999</v>
      </c>
      <c r="C163">
        <v>2.6552827198503399</v>
      </c>
      <c r="E163" t="str">
        <f>"10353989"</f>
        <v>10353989</v>
      </c>
      <c r="F163" t="str">
        <f>""</f>
        <v/>
      </c>
      <c r="G163" t="str">
        <f>"No associated gene"</f>
        <v>No associated gene</v>
      </c>
    </row>
    <row r="164" spans="1:10">
      <c r="A164">
        <v>10451710</v>
      </c>
      <c r="B164">
        <v>4.3533588481916903</v>
      </c>
      <c r="C164">
        <v>3.3160014592109901</v>
      </c>
      <c r="E164" t="str">
        <f>"10451710"</f>
        <v>10451710</v>
      </c>
      <c r="F164" t="str">
        <f>"Affy 1.0 ST"</f>
        <v>Affy 1.0 ST</v>
      </c>
      <c r="G164" t="str">
        <f>"MGI:1923688"</f>
        <v>MGI:1923688</v>
      </c>
      <c r="H164" t="str">
        <f>"Rftn1"</f>
        <v>Rftn1</v>
      </c>
      <c r="I164" t="str">
        <f>"raftlin lipid raft linker 1"</f>
        <v>raftlin lipid raft linker 1</v>
      </c>
      <c r="J164" t="str">
        <f>"protein coding gene"</f>
        <v>protein coding gene</v>
      </c>
    </row>
    <row r="165" spans="1:10">
      <c r="A165">
        <v>10530163</v>
      </c>
      <c r="B165">
        <v>4.2564425479369099</v>
      </c>
      <c r="C165">
        <v>1.3646553724002599</v>
      </c>
      <c r="E165" t="str">
        <f>"10530163"</f>
        <v>10530163</v>
      </c>
      <c r="F165" t="str">
        <f>"Affy 1.0 ST"</f>
        <v>Affy 1.0 ST</v>
      </c>
      <c r="G165" t="str">
        <f>"MGI:97891"</f>
        <v>MGI:97891</v>
      </c>
      <c r="H165" t="str">
        <f>"Rfc1"</f>
        <v>Rfc1</v>
      </c>
      <c r="I165" t="str">
        <f>"replication factor C (activator 1) 1"</f>
        <v>replication factor C (activator 1) 1</v>
      </c>
      <c r="J165" t="str">
        <f>"protein coding gene"</f>
        <v>protein coding gene</v>
      </c>
    </row>
    <row r="166" spans="1:10">
      <c r="A166">
        <v>10579872</v>
      </c>
      <c r="B166">
        <v>4.2050792852347199</v>
      </c>
      <c r="C166">
        <v>2.3352901665670398</v>
      </c>
      <c r="E166" t="str">
        <f>"10579872"</f>
        <v>10579872</v>
      </c>
      <c r="F166" t="str">
        <f>"Affy 1.0 ST"</f>
        <v>Affy 1.0 ST</v>
      </c>
      <c r="G166" t="str">
        <f>"MGI:107749"</f>
        <v>MGI:107749</v>
      </c>
      <c r="H166" t="str">
        <f>"Tpd52"</f>
        <v>Tpd52</v>
      </c>
      <c r="I166" t="str">
        <f>"tumor protein D52"</f>
        <v>tumor protein D52</v>
      </c>
      <c r="J166" t="str">
        <f>"protein coding gene"</f>
        <v>protein coding gene</v>
      </c>
    </row>
    <row r="167" spans="1:10">
      <c r="A167">
        <v>10549532</v>
      </c>
      <c r="B167">
        <v>4.1652824898761098</v>
      </c>
      <c r="C167">
        <v>2.0619606588943</v>
      </c>
      <c r="E167" t="str">
        <f>"10549532"</f>
        <v>10549532</v>
      </c>
      <c r="F167" t="str">
        <f>""</f>
        <v/>
      </c>
      <c r="G167" t="str">
        <f>"No associated gene"</f>
        <v>No associated gene</v>
      </c>
    </row>
    <row r="168" spans="1:10">
      <c r="A168">
        <v>10444312</v>
      </c>
      <c r="B168">
        <v>4.1417180299440304</v>
      </c>
      <c r="C168">
        <v>1.1097126664175601</v>
      </c>
      <c r="E168" t="str">
        <f>"10444312"</f>
        <v>10444312</v>
      </c>
      <c r="F168" t="str">
        <f t="shared" ref="F168:F197" si="11">"Affy 1.0 ST"</f>
        <v>Affy 1.0 ST</v>
      </c>
      <c r="G168" t="str">
        <f>"MGI:1859549"</f>
        <v>MGI:1859549</v>
      </c>
      <c r="H168" t="str">
        <f>"Btnl2"</f>
        <v>Btnl2</v>
      </c>
      <c r="I168" t="str">
        <f>"butyrophilin-like 2"</f>
        <v>butyrophilin-like 2</v>
      </c>
      <c r="J168" t="str">
        <f>"protein coding gene"</f>
        <v>protein coding gene</v>
      </c>
    </row>
    <row r="169" spans="1:10">
      <c r="A169">
        <v>10365833</v>
      </c>
      <c r="B169">
        <v>4.1414249094529296</v>
      </c>
      <c r="C169">
        <v>0.82975139125209896</v>
      </c>
      <c r="E169" t="str">
        <f>"10365833"</f>
        <v>10365833</v>
      </c>
      <c r="F169" t="str">
        <f t="shared" si="11"/>
        <v>Affy 1.0 ST</v>
      </c>
      <c r="G169" t="str">
        <f>"MGI:3045318"</f>
        <v>MGI:3045318</v>
      </c>
      <c r="H169" t="str">
        <f>"Usp44"</f>
        <v>Usp44</v>
      </c>
      <c r="I169" t="str">
        <f>"ubiquitin specific peptidase 44"</f>
        <v>ubiquitin specific peptidase 44</v>
      </c>
      <c r="J169" t="str">
        <f>"protein coding gene"</f>
        <v>protein coding gene</v>
      </c>
    </row>
    <row r="170" spans="1:10">
      <c r="A170">
        <v>10561017</v>
      </c>
      <c r="B170">
        <v>4.1155826889749303</v>
      </c>
      <c r="C170">
        <v>1.0007831807985399</v>
      </c>
      <c r="E170" t="str">
        <f>"10561017"</f>
        <v>10561017</v>
      </c>
      <c r="F170" t="str">
        <f t="shared" si="11"/>
        <v>Affy 1.0 ST</v>
      </c>
      <c r="G170" t="str">
        <f>"MGI:108414"</f>
        <v>MGI:108414</v>
      </c>
      <c r="H170" t="str">
        <f>"Pafah1b3"</f>
        <v>Pafah1b3</v>
      </c>
      <c r="I170" t="s">
        <v>22</v>
      </c>
      <c r="J170" t="s">
        <v>50</v>
      </c>
    </row>
    <row r="171" spans="1:10">
      <c r="A171">
        <v>10594911</v>
      </c>
      <c r="B171">
        <v>4.1126795878655198</v>
      </c>
      <c r="C171">
        <v>1.2364346014204901</v>
      </c>
      <c r="E171" t="str">
        <f>"10594911"</f>
        <v>10594911</v>
      </c>
      <c r="F171" t="str">
        <f t="shared" si="11"/>
        <v>Affy 1.0 ST</v>
      </c>
      <c r="G171" t="str">
        <f>"MGI:1201610"</f>
        <v>MGI:1201610</v>
      </c>
      <c r="H171" t="str">
        <f>"Tex9"</f>
        <v>Tex9</v>
      </c>
      <c r="I171" t="str">
        <f>"testis expressed gene 9"</f>
        <v>testis expressed gene 9</v>
      </c>
      <c r="J171" t="str">
        <f>"protein coding gene"</f>
        <v>protein coding gene</v>
      </c>
    </row>
    <row r="172" spans="1:10">
      <c r="A172">
        <v>10554370</v>
      </c>
      <c r="B172">
        <v>4.1079269939705698</v>
      </c>
      <c r="C172">
        <v>1.58069542927886</v>
      </c>
      <c r="E172" t="str">
        <f>"10554370"</f>
        <v>10554370</v>
      </c>
      <c r="F172" t="str">
        <f t="shared" si="11"/>
        <v>Affy 1.0 ST</v>
      </c>
      <c r="G172" t="str">
        <f>"MGI:1921747"</f>
        <v>MGI:1921747</v>
      </c>
      <c r="H172" t="str">
        <f>"Zfp710"</f>
        <v>Zfp710</v>
      </c>
      <c r="I172" t="str">
        <f>"zinc finger protein 710"</f>
        <v>zinc finger protein 710</v>
      </c>
      <c r="J172" t="str">
        <f>"protein coding gene"</f>
        <v>protein coding gene</v>
      </c>
    </row>
    <row r="173" spans="1:10">
      <c r="A173">
        <v>10498620</v>
      </c>
      <c r="B173">
        <v>4.0892475418766896</v>
      </c>
      <c r="C173">
        <v>1.6592841808107801</v>
      </c>
      <c r="E173" t="str">
        <f>"10498620"</f>
        <v>10498620</v>
      </c>
      <c r="F173" t="str">
        <f t="shared" si="11"/>
        <v>Affy 1.0 ST</v>
      </c>
      <c r="G173" t="str">
        <f>"MGI:1914199"</f>
        <v>MGI:1914199</v>
      </c>
      <c r="H173" t="str">
        <f>"Trim59"</f>
        <v>Trim59</v>
      </c>
      <c r="I173" t="str">
        <f>"tripartite motif-containing 59"</f>
        <v>tripartite motif-containing 59</v>
      </c>
      <c r="J173" t="str">
        <f>"protein coding gene"</f>
        <v>protein coding gene</v>
      </c>
    </row>
    <row r="174" spans="1:10">
      <c r="A174">
        <v>10416037</v>
      </c>
      <c r="B174">
        <v>4.0807472655497801</v>
      </c>
      <c r="C174">
        <v>3.1533643725387699</v>
      </c>
      <c r="E174" t="str">
        <f>"10416037"</f>
        <v>10416037</v>
      </c>
      <c r="F174" t="str">
        <f t="shared" si="11"/>
        <v>Affy 1.0 ST</v>
      </c>
      <c r="G174" t="str">
        <f>"MGI:1289156"</f>
        <v>MGI:1289156</v>
      </c>
      <c r="H174" t="str">
        <f>"Pbk"</f>
        <v>Pbk</v>
      </c>
      <c r="I174" t="str">
        <f>"PDZ binding kinase"</f>
        <v>PDZ binding kinase</v>
      </c>
      <c r="J174" t="str">
        <f>"protein coding gene"</f>
        <v>protein coding gene</v>
      </c>
    </row>
    <row r="175" spans="1:10">
      <c r="A175">
        <v>10566254</v>
      </c>
      <c r="B175">
        <v>4.0702329070802197</v>
      </c>
      <c r="C175">
        <v>1.26329261273152</v>
      </c>
      <c r="E175" t="str">
        <f>"10566254"</f>
        <v>10566254</v>
      </c>
      <c r="F175" t="str">
        <f t="shared" si="11"/>
        <v>Affy 1.0 ST</v>
      </c>
      <c r="G175" t="str">
        <f>"MGI:96021"</f>
        <v>MGI:96021</v>
      </c>
      <c r="H175" t="str">
        <f>"Hbb-b1"</f>
        <v>Hbb-b1</v>
      </c>
      <c r="I175" t="s">
        <v>23</v>
      </c>
      <c r="J175" t="s">
        <v>50</v>
      </c>
    </row>
    <row r="176" spans="1:10">
      <c r="A176">
        <v>10540283</v>
      </c>
      <c r="B176">
        <v>4.0582169124236698</v>
      </c>
      <c r="C176">
        <v>0.634108406736408</v>
      </c>
      <c r="E176" t="str">
        <f>"10540283"</f>
        <v>10540283</v>
      </c>
      <c r="F176" t="str">
        <f t="shared" si="11"/>
        <v>Affy 1.0 ST</v>
      </c>
      <c r="G176" t="str">
        <f>"MGI:3027896"</f>
        <v>MGI:3027896</v>
      </c>
      <c r="H176" t="str">
        <f>"Ppp4r2"</f>
        <v>Ppp4r2</v>
      </c>
      <c r="I176" t="s">
        <v>88</v>
      </c>
      <c r="J176" t="s">
        <v>50</v>
      </c>
    </row>
    <row r="177" spans="1:10">
      <c r="A177">
        <v>10592160</v>
      </c>
      <c r="B177">
        <v>4.0341822128764404</v>
      </c>
      <c r="C177">
        <v>1.0377587691554899</v>
      </c>
      <c r="E177" t="str">
        <f>"10592160"</f>
        <v>10592160</v>
      </c>
      <c r="F177" t="str">
        <f t="shared" si="11"/>
        <v>Affy 1.0 ST</v>
      </c>
      <c r="G177" t="str">
        <f>"MGI:3643568"</f>
        <v>MGI:3643568</v>
      </c>
      <c r="H177" t="str">
        <f>"Gm6762"</f>
        <v>Gm6762</v>
      </c>
      <c r="I177" t="str">
        <f>"predicted pseudogene 6762"</f>
        <v>predicted pseudogene 6762</v>
      </c>
      <c r="J177" t="str">
        <f>"pseudogene"</f>
        <v>pseudogene</v>
      </c>
    </row>
    <row r="178" spans="1:10">
      <c r="A178">
        <v>10353947</v>
      </c>
      <c r="B178">
        <v>4.0338452384584604</v>
      </c>
      <c r="C178">
        <v>1.6549528598057599</v>
      </c>
      <c r="E178" t="str">
        <f>"10353947"</f>
        <v>10353947</v>
      </c>
      <c r="F178" t="str">
        <f t="shared" si="11"/>
        <v>Affy 1.0 ST</v>
      </c>
      <c r="G178" t="str">
        <f>"MGI:1927110"</f>
        <v>MGI:1927110</v>
      </c>
      <c r="H178" t="str">
        <f>"Tmem131"</f>
        <v>Tmem131</v>
      </c>
      <c r="I178" t="str">
        <f>"transmembrane protein 131"</f>
        <v>transmembrane protein 131</v>
      </c>
      <c r="J178" t="str">
        <f>"protein coding gene"</f>
        <v>protein coding gene</v>
      </c>
    </row>
    <row r="179" spans="1:10">
      <c r="A179">
        <v>10425880</v>
      </c>
      <c r="B179">
        <v>4.0298625379282296</v>
      </c>
      <c r="C179">
        <v>1.88242929223483</v>
      </c>
      <c r="E179" t="str">
        <f>"10425880"</f>
        <v>10425880</v>
      </c>
      <c r="F179" t="str">
        <f t="shared" si="11"/>
        <v>Affy 1.0 ST</v>
      </c>
      <c r="G179" t="str">
        <f>"MGI:1924714"</f>
        <v>MGI:1924714</v>
      </c>
      <c r="H179" t="str">
        <f>"Prr5"</f>
        <v>Prr5</v>
      </c>
      <c r="I179" t="str">
        <f>"proline rich 5 (renal)"</f>
        <v>proline rich 5 (renal)</v>
      </c>
      <c r="J179" t="str">
        <f>"protein coding gene"</f>
        <v>protein coding gene</v>
      </c>
    </row>
    <row r="180" spans="1:10">
      <c r="A180">
        <v>10565315</v>
      </c>
      <c r="B180">
        <v>4.0207850864317303</v>
      </c>
      <c r="C180">
        <v>0.766339042367709</v>
      </c>
      <c r="E180" t="str">
        <f>"10565315"</f>
        <v>10565315</v>
      </c>
      <c r="F180" t="str">
        <f t="shared" si="11"/>
        <v>Affy 1.0 ST</v>
      </c>
      <c r="G180" t="str">
        <f>"MGI:95482"</f>
        <v>MGI:95482</v>
      </c>
      <c r="H180" t="str">
        <f>"Fah"</f>
        <v>Fah</v>
      </c>
      <c r="I180" t="str">
        <f>"fumarylacetoacetate hydrolase"</f>
        <v>fumarylacetoacetate hydrolase</v>
      </c>
      <c r="J180" t="str">
        <f>"protein coding gene"</f>
        <v>protein coding gene</v>
      </c>
    </row>
    <row r="181" spans="1:10">
      <c r="A181">
        <v>10363118</v>
      </c>
      <c r="B181">
        <v>4.0015369679072998</v>
      </c>
      <c r="C181">
        <v>1.4338606370520699</v>
      </c>
      <c r="E181" t="str">
        <f>"10363118"</f>
        <v>10363118</v>
      </c>
      <c r="F181" t="str">
        <f t="shared" si="11"/>
        <v>Affy 1.0 ST</v>
      </c>
      <c r="G181" t="str">
        <f>"MGI:1913936"</f>
        <v>MGI:1913936</v>
      </c>
      <c r="H181" t="str">
        <f>"Dcbld1"</f>
        <v>Dcbld1</v>
      </c>
      <c r="I181" t="s">
        <v>89</v>
      </c>
      <c r="J181" t="s">
        <v>50</v>
      </c>
    </row>
    <row r="182" spans="1:10">
      <c r="A182">
        <v>10600476</v>
      </c>
      <c r="B182">
        <v>3.9796465785112201</v>
      </c>
      <c r="C182">
        <v>1.4051226333026401</v>
      </c>
      <c r="E182" t="str">
        <f>"10600476"</f>
        <v>10600476</v>
      </c>
      <c r="F182" t="str">
        <f t="shared" si="11"/>
        <v>Affy 1.0 ST</v>
      </c>
      <c r="G182" t="str">
        <f>"MGI:3643860"</f>
        <v>MGI:3643860</v>
      </c>
      <c r="H182" t="str">
        <f>"Gm4989"</f>
        <v>Gm4989</v>
      </c>
      <c r="I182" t="str">
        <f>"predicted pseudogene 4989"</f>
        <v>predicted pseudogene 4989</v>
      </c>
      <c r="J182" t="str">
        <f>"pseudogene"</f>
        <v>pseudogene</v>
      </c>
    </row>
    <row r="183" spans="1:10">
      <c r="A183">
        <v>10406254</v>
      </c>
      <c r="B183">
        <v>3.9611473445272698</v>
      </c>
      <c r="C183">
        <v>2.0128841341310899</v>
      </c>
      <c r="E183" t="str">
        <f>"10406254"</f>
        <v>10406254</v>
      </c>
      <c r="F183" t="str">
        <f t="shared" si="11"/>
        <v>Affy 1.0 ST</v>
      </c>
      <c r="G183" t="str">
        <f>"MGI:2183438"</f>
        <v>MGI:2183438</v>
      </c>
      <c r="H183" t="str">
        <f>"Ell2"</f>
        <v>Ell2</v>
      </c>
      <c r="I183" t="str">
        <f>"elongation factor RNA polymerase II 2"</f>
        <v>elongation factor RNA polymerase II 2</v>
      </c>
      <c r="J183" t="str">
        <f>"protein coding gene"</f>
        <v>protein coding gene</v>
      </c>
    </row>
    <row r="184" spans="1:10">
      <c r="A184">
        <v>10453512</v>
      </c>
      <c r="B184">
        <v>3.9593389807558199</v>
      </c>
      <c r="C184">
        <v>1.6144178670623801</v>
      </c>
      <c r="E184" t="str">
        <f>"10453512"</f>
        <v>10453512</v>
      </c>
      <c r="F184" t="str">
        <f t="shared" si="11"/>
        <v>Affy 1.0 ST</v>
      </c>
      <c r="G184" t="str">
        <f>"MGI:103561"</f>
        <v>MGI:103561</v>
      </c>
      <c r="H184" t="str">
        <f>"Kpna2"</f>
        <v>Kpna2</v>
      </c>
      <c r="I184" t="str">
        <f>"karyopherin (importin) alpha 2"</f>
        <v>karyopherin (importin) alpha 2</v>
      </c>
      <c r="J184" t="str">
        <f>"protein coding gene"</f>
        <v>protein coding gene</v>
      </c>
    </row>
    <row r="185" spans="1:10">
      <c r="A185">
        <v>10598586</v>
      </c>
      <c r="B185">
        <v>3.95427446648227</v>
      </c>
      <c r="C185">
        <v>0.49619228197304799</v>
      </c>
      <c r="E185" t="str">
        <f>"10598586"</f>
        <v>10598586</v>
      </c>
      <c r="F185" t="str">
        <f t="shared" si="11"/>
        <v>Affy 1.0 ST</v>
      </c>
      <c r="G185" t="str">
        <f>"MGI:103569"</f>
        <v>MGI:103569</v>
      </c>
      <c r="H185" t="str">
        <f>"Xk"</f>
        <v>Xk</v>
      </c>
      <c r="I185" t="str">
        <f>"Kell blood group precursor (McLeod phenotype) homolog"</f>
        <v>Kell blood group precursor (McLeod phenotype) homolog</v>
      </c>
      <c r="J185" t="str">
        <f>"protein coding gene"</f>
        <v>protein coding gene</v>
      </c>
    </row>
    <row r="186" spans="1:10">
      <c r="A186">
        <v>10349637</v>
      </c>
      <c r="B186">
        <v>3.9354921440378399</v>
      </c>
      <c r="C186">
        <v>1.73642342215012</v>
      </c>
      <c r="E186" t="str">
        <f>"10349637"</f>
        <v>10349637</v>
      </c>
      <c r="F186" t="str">
        <f t="shared" si="11"/>
        <v>Affy 1.0 ST</v>
      </c>
      <c r="G186" t="str">
        <f>"MGI:1919669"</f>
        <v>MGI:1919669</v>
      </c>
      <c r="H186" t="str">
        <f>"Fam72a"</f>
        <v>Fam72a</v>
      </c>
      <c r="I186" t="s">
        <v>90</v>
      </c>
      <c r="J186" t="s">
        <v>50</v>
      </c>
    </row>
    <row r="187" spans="1:10">
      <c r="A187">
        <v>10351140</v>
      </c>
      <c r="B187">
        <v>3.9336447034692399</v>
      </c>
      <c r="C187">
        <v>0.78803180995014999</v>
      </c>
      <c r="E187" t="str">
        <f>"10351140"</f>
        <v>10351140</v>
      </c>
      <c r="F187" t="str">
        <f t="shared" si="11"/>
        <v>Affy 1.0 ST</v>
      </c>
      <c r="G187" t="str">
        <f>"MGI:107566"</f>
        <v>MGI:107566</v>
      </c>
      <c r="H187" t="str">
        <f>"Kifap3"</f>
        <v>Kifap3</v>
      </c>
      <c r="I187" t="str">
        <f>"kinesin-associated protein 3"</f>
        <v>kinesin-associated protein 3</v>
      </c>
      <c r="J187" t="str">
        <f>"protein coding gene"</f>
        <v>protein coding gene</v>
      </c>
    </row>
    <row r="188" spans="1:10">
      <c r="A188">
        <v>10376534</v>
      </c>
      <c r="B188">
        <v>3.9159683989646199</v>
      </c>
      <c r="C188">
        <v>0.60599409895851197</v>
      </c>
      <c r="E188" t="str">
        <f>"10376534"</f>
        <v>10376534</v>
      </c>
      <c r="F188" t="str">
        <f t="shared" si="11"/>
        <v>Affy 1.0 ST</v>
      </c>
      <c r="G188" t="str">
        <f>"MGI:1349438"</f>
        <v>MGI:1349438</v>
      </c>
      <c r="H188" t="str">
        <f>"Mprip"</f>
        <v>Mprip</v>
      </c>
      <c r="I188" t="str">
        <f>"myosin phosphatase Rho interacting protein"</f>
        <v>myosin phosphatase Rho interacting protein</v>
      </c>
      <c r="J188" t="str">
        <f>"protein coding gene"</f>
        <v>protein coding gene</v>
      </c>
    </row>
    <row r="189" spans="1:10">
      <c r="A189">
        <v>10522182</v>
      </c>
      <c r="B189">
        <v>3.91527908395026</v>
      </c>
      <c r="C189">
        <v>0.58884055973538296</v>
      </c>
      <c r="E189" t="str">
        <f>"10522182"</f>
        <v>10522182</v>
      </c>
      <c r="F189" t="str">
        <f t="shared" si="11"/>
        <v>Affy 1.0 ST</v>
      </c>
      <c r="G189" t="str">
        <f>"MGI:1921984"</f>
        <v>MGI:1921984</v>
      </c>
      <c r="H189" t="str">
        <f>"Rhoh"</f>
        <v>Rhoh</v>
      </c>
      <c r="I189" t="s">
        <v>91</v>
      </c>
      <c r="J189" t="s">
        <v>50</v>
      </c>
    </row>
    <row r="190" spans="1:10">
      <c r="A190">
        <v>10388718</v>
      </c>
      <c r="B190">
        <v>3.91052610460661</v>
      </c>
      <c r="C190">
        <v>0.240390205576863</v>
      </c>
      <c r="E190" t="str">
        <f>"10388718"</f>
        <v>10388718</v>
      </c>
      <c r="F190" t="str">
        <f t="shared" si="11"/>
        <v>Affy 1.0 ST</v>
      </c>
      <c r="G190" t="str">
        <f>"MGI:1197006"</f>
        <v>MGI:1197006</v>
      </c>
      <c r="H190" t="str">
        <f>"Pipox"</f>
        <v>Pipox</v>
      </c>
      <c r="I190" t="str">
        <f>"pipecolic acid oxidase"</f>
        <v>pipecolic acid oxidase</v>
      </c>
      <c r="J190" t="str">
        <f t="shared" ref="J190:J197" si="12">"protein coding gene"</f>
        <v>protein coding gene</v>
      </c>
    </row>
    <row r="191" spans="1:10">
      <c r="A191">
        <v>10525542</v>
      </c>
      <c r="B191">
        <v>3.9058518348412599</v>
      </c>
      <c r="C191">
        <v>2.0021034613948001</v>
      </c>
      <c r="E191" t="str">
        <f>"10525542"</f>
        <v>10525542</v>
      </c>
      <c r="F191" t="str">
        <f t="shared" si="11"/>
        <v>Affy 1.0 ST</v>
      </c>
      <c r="G191" t="str">
        <f>"MGI:1924295"</f>
        <v>MGI:1924295</v>
      </c>
      <c r="H191" t="str">
        <f>"Bcl7a"</f>
        <v>Bcl7a</v>
      </c>
      <c r="I191" t="str">
        <f>"B-cell CLL/lymphoma 7A"</f>
        <v>B-cell CLL/lymphoma 7A</v>
      </c>
      <c r="J191" t="str">
        <f t="shared" si="12"/>
        <v>protein coding gene</v>
      </c>
    </row>
    <row r="192" spans="1:10">
      <c r="A192">
        <v>10467907</v>
      </c>
      <c r="B192">
        <v>3.9012039140749901</v>
      </c>
      <c r="C192">
        <v>2.1515976106244401</v>
      </c>
      <c r="E192" t="str">
        <f>"10467907"</f>
        <v>10467907</v>
      </c>
      <c r="F192" t="str">
        <f t="shared" si="11"/>
        <v>Affy 1.0 ST</v>
      </c>
      <c r="G192" t="str">
        <f>"MGI:2387613"</f>
        <v>MGI:2387613</v>
      </c>
      <c r="H192" t="str">
        <f>"Erlin1"</f>
        <v>Erlin1</v>
      </c>
      <c r="I192" t="str">
        <f>"ER lipid raft associated 1"</f>
        <v>ER lipid raft associated 1</v>
      </c>
      <c r="J192" t="str">
        <f t="shared" si="12"/>
        <v>protein coding gene</v>
      </c>
    </row>
    <row r="193" spans="1:10">
      <c r="A193">
        <v>10362904</v>
      </c>
      <c r="B193">
        <v>3.8931565934185</v>
      </c>
      <c r="C193">
        <v>1.8728508785597699</v>
      </c>
      <c r="E193" t="str">
        <f>"10362904"</f>
        <v>10362904</v>
      </c>
      <c r="F193" t="str">
        <f t="shared" si="11"/>
        <v>Affy 1.0 ST</v>
      </c>
      <c r="G193" t="str">
        <f>"MGI:2178759"</f>
        <v>MGI:2178759</v>
      </c>
      <c r="H193" t="str">
        <f>"Rtn4ip1"</f>
        <v>Rtn4ip1</v>
      </c>
      <c r="I193" t="str">
        <f>"reticulon 4 interacting protein 1"</f>
        <v>reticulon 4 interacting protein 1</v>
      </c>
      <c r="J193" t="str">
        <f t="shared" si="12"/>
        <v>protein coding gene</v>
      </c>
    </row>
    <row r="194" spans="1:10">
      <c r="A194">
        <v>10599826</v>
      </c>
      <c r="B194">
        <v>3.8687530329037099</v>
      </c>
      <c r="C194">
        <v>0.66835529598856303</v>
      </c>
      <c r="E194" t="str">
        <f>"10599826"</f>
        <v>10599826</v>
      </c>
      <c r="F194" t="str">
        <f t="shared" si="11"/>
        <v>Affy 1.0 ST</v>
      </c>
      <c r="G194" t="str">
        <f>"MGI:88384"</f>
        <v>MGI:88384</v>
      </c>
      <c r="H194" t="str">
        <f>"F9"</f>
        <v>F9</v>
      </c>
      <c r="I194" t="str">
        <f>"coagulation factor IX"</f>
        <v>coagulation factor IX</v>
      </c>
      <c r="J194" t="str">
        <f t="shared" si="12"/>
        <v>protein coding gene</v>
      </c>
    </row>
    <row r="195" spans="1:10">
      <c r="A195">
        <v>10523905</v>
      </c>
      <c r="B195">
        <v>3.8344465088132802</v>
      </c>
      <c r="C195">
        <v>0.68717917554680097</v>
      </c>
      <c r="E195" t="str">
        <f>"10523905"</f>
        <v>10523905</v>
      </c>
      <c r="F195" t="str">
        <f t="shared" si="11"/>
        <v>Affy 1.0 ST</v>
      </c>
      <c r="G195" t="str">
        <f>"MGI:105050"</f>
        <v>MGI:105050</v>
      </c>
      <c r="H195" t="str">
        <f>"Mtf2"</f>
        <v>Mtf2</v>
      </c>
      <c r="I195" t="str">
        <f>"metal response element binding transcription factor 2"</f>
        <v>metal response element binding transcription factor 2</v>
      </c>
      <c r="J195" t="str">
        <f t="shared" si="12"/>
        <v>protein coding gene</v>
      </c>
    </row>
    <row r="196" spans="1:10">
      <c r="A196">
        <v>10578916</v>
      </c>
      <c r="B196">
        <v>3.8302958093897699</v>
      </c>
      <c r="C196">
        <v>0.59625689575164498</v>
      </c>
      <c r="E196" t="str">
        <f>"10578916"</f>
        <v>10578916</v>
      </c>
      <c r="F196" t="str">
        <f t="shared" si="11"/>
        <v>Affy 1.0 ST</v>
      </c>
      <c r="G196" t="str">
        <f>"MGI:1913484"</f>
        <v>MGI:1913484</v>
      </c>
      <c r="H196" t="str">
        <f>"Sc4mol"</f>
        <v>Sc4mol</v>
      </c>
      <c r="I196" t="str">
        <f>"sterol-C4-methyl oxidase-like"</f>
        <v>sterol-C4-methyl oxidase-like</v>
      </c>
      <c r="J196" t="str">
        <f t="shared" si="12"/>
        <v>protein coding gene</v>
      </c>
    </row>
    <row r="197" spans="1:10">
      <c r="A197">
        <v>10557342</v>
      </c>
      <c r="B197">
        <v>3.8208857773440399</v>
      </c>
      <c r="C197">
        <v>3.3729065738653401</v>
      </c>
      <c r="E197" t="str">
        <f>"10557342"</f>
        <v>10557342</v>
      </c>
      <c r="F197" t="str">
        <f t="shared" si="11"/>
        <v>Affy 1.0 ST</v>
      </c>
      <c r="G197" t="str">
        <f>"MGI:1890475"</f>
        <v>MGI:1890475</v>
      </c>
      <c r="H197" t="str">
        <f>"Il21r"</f>
        <v>Il21r</v>
      </c>
      <c r="I197" t="str">
        <f>"interleukin 21 receptor"</f>
        <v>interleukin 21 receptor</v>
      </c>
      <c r="J197" t="str">
        <f t="shared" si="12"/>
        <v>protein coding gene</v>
      </c>
    </row>
    <row r="198" spans="1:10">
      <c r="A198">
        <v>10341707</v>
      </c>
      <c r="B198">
        <v>3.8190554642888501</v>
      </c>
      <c r="C198">
        <v>1.1057938792580599</v>
      </c>
      <c r="E198" t="str">
        <f>"10341707"</f>
        <v>10341707</v>
      </c>
      <c r="F198" t="str">
        <f>""</f>
        <v/>
      </c>
      <c r="G198" t="str">
        <f>"No associated gene"</f>
        <v>No associated gene</v>
      </c>
    </row>
    <row r="199" spans="1:10">
      <c r="A199">
        <v>10510552</v>
      </c>
      <c r="B199">
        <v>3.8082574195574099</v>
      </c>
      <c r="C199">
        <v>2.13089004252494</v>
      </c>
      <c r="E199" t="str">
        <f>"10510552"</f>
        <v>10510552</v>
      </c>
      <c r="F199" t="str">
        <f>"Affy 1.0 ST"</f>
        <v>Affy 1.0 ST</v>
      </c>
      <c r="G199" t="str">
        <f>"MGI:2683486"</f>
        <v>MGI:2683486</v>
      </c>
      <c r="H199" t="str">
        <f>"Rere"</f>
        <v>Rere</v>
      </c>
      <c r="I199" t="str">
        <f>"arginine glutamic acid dipeptide (RE) repeats"</f>
        <v>arginine glutamic acid dipeptide (RE) repeats</v>
      </c>
      <c r="J199" t="str">
        <f>"protein coding gene"</f>
        <v>protein coding gene</v>
      </c>
    </row>
    <row r="200" spans="1:10">
      <c r="A200">
        <v>10412466</v>
      </c>
      <c r="B200">
        <v>3.7907277284262899</v>
      </c>
      <c r="C200">
        <v>1.60675965262507</v>
      </c>
      <c r="E200" t="str">
        <f>"10412466"</f>
        <v>10412466</v>
      </c>
      <c r="F200" t="str">
        <f>"Affy 1.0 ST"</f>
        <v>Affy 1.0 ST</v>
      </c>
      <c r="G200" t="str">
        <f>"MGI:107592"</f>
        <v>MGI:107592</v>
      </c>
      <c r="H200" t="str">
        <f>"Hmgcs1"</f>
        <v>Hmgcs1</v>
      </c>
      <c r="I200" t="str">
        <f>"3-hydroxy-3-methylglutaryl-Coenzyme A synthase 1"</f>
        <v>3-hydroxy-3-methylglutaryl-Coenzyme A synthase 1</v>
      </c>
      <c r="J200" t="str">
        <f>"protein coding gene"</f>
        <v>protein coding gene</v>
      </c>
    </row>
    <row r="201" spans="1:10">
      <c r="A201">
        <v>10482301</v>
      </c>
      <c r="B201">
        <v>3.7711407356711502</v>
      </c>
      <c r="C201">
        <v>1.8926996969202701</v>
      </c>
      <c r="E201" t="str">
        <f>"10482301"</f>
        <v>10482301</v>
      </c>
      <c r="F201" t="str">
        <f>"Affy 1.0 ST"</f>
        <v>Affy 1.0 ST</v>
      </c>
      <c r="G201" t="str">
        <f>"MGI:2443716"</f>
        <v>MGI:2443716</v>
      </c>
      <c r="H201" t="str">
        <f>"Scai"</f>
        <v>Scai</v>
      </c>
      <c r="I201" t="str">
        <f>"suppressor of cancer cell invasion"</f>
        <v>suppressor of cancer cell invasion</v>
      </c>
      <c r="J201" t="str">
        <f>"protein coding gene"</f>
        <v>protein coding gene</v>
      </c>
    </row>
    <row r="202" spans="1:10">
      <c r="A202">
        <v>10467162</v>
      </c>
      <c r="B202">
        <v>3.7625422247279898</v>
      </c>
      <c r="C202">
        <v>1.5572523275218599</v>
      </c>
      <c r="E202" t="str">
        <f>"10467162"</f>
        <v>10467162</v>
      </c>
      <c r="F202" t="str">
        <f>"Affy 1.0 ST"</f>
        <v>Affy 1.0 ST</v>
      </c>
      <c r="G202" t="str">
        <f>"MGI:1922985"</f>
        <v>MGI:1922985</v>
      </c>
      <c r="H202" t="str">
        <f>"Pank1"</f>
        <v>Pank1</v>
      </c>
      <c r="I202" t="str">
        <f>"pantothenate kinase 1"</f>
        <v>pantothenate kinase 1</v>
      </c>
      <c r="J202" t="str">
        <f>"protein coding gene"</f>
        <v>protein coding gene</v>
      </c>
    </row>
    <row r="203" spans="1:10">
      <c r="A203">
        <v>10341813</v>
      </c>
      <c r="B203">
        <v>3.7609435429208</v>
      </c>
      <c r="C203">
        <v>1.06581233614725</v>
      </c>
      <c r="E203" t="str">
        <f>"10341813"</f>
        <v>10341813</v>
      </c>
      <c r="F203" t="str">
        <f>""</f>
        <v/>
      </c>
      <c r="G203" t="str">
        <f>"No associated gene"</f>
        <v>No associated gene</v>
      </c>
    </row>
    <row r="204" spans="1:10">
      <c r="A204">
        <v>10599696</v>
      </c>
      <c r="B204">
        <v>3.7432403964799001</v>
      </c>
      <c r="C204">
        <v>1.5848360316529</v>
      </c>
      <c r="E204" t="str">
        <f>"10599696"</f>
        <v>10599696</v>
      </c>
      <c r="F204" t="str">
        <f t="shared" ref="F204:F248" si="13">"Affy 1.0 ST"</f>
        <v>Affy 1.0 ST</v>
      </c>
      <c r="G204" t="str">
        <f>"MGI:2442593"</f>
        <v>MGI:2442593</v>
      </c>
      <c r="H204" t="str">
        <f>"Ddx26b"</f>
        <v>Ddx26b</v>
      </c>
      <c r="I204" t="str">
        <f>"DEAD/H (Asp-Glu-Ala-Asp/His) box polypeptide 26B"</f>
        <v>DEAD/H (Asp-Glu-Ala-Asp/His) box polypeptide 26B</v>
      </c>
      <c r="J204" t="str">
        <f>"protein coding gene"</f>
        <v>protein coding gene</v>
      </c>
    </row>
    <row r="205" spans="1:10">
      <c r="A205">
        <v>10458940</v>
      </c>
      <c r="B205">
        <v>3.7325642106538202</v>
      </c>
      <c r="C205">
        <v>1.92035188275155</v>
      </c>
      <c r="E205" t="str">
        <f>"10458940"</f>
        <v>10458940</v>
      </c>
      <c r="F205" t="str">
        <f t="shared" si="13"/>
        <v>Affy 1.0 ST</v>
      </c>
      <c r="G205" t="str">
        <f>"MGI:2442338"</f>
        <v>MGI:2442338</v>
      </c>
      <c r="H205" t="str">
        <f>"Zfp608"</f>
        <v>Zfp608</v>
      </c>
      <c r="I205" t="str">
        <f>"zinc finger protein 608"</f>
        <v>zinc finger protein 608</v>
      </c>
      <c r="J205" t="str">
        <f>"protein coding gene"</f>
        <v>protein coding gene</v>
      </c>
    </row>
    <row r="206" spans="1:10">
      <c r="A206">
        <v>10431948</v>
      </c>
      <c r="B206">
        <v>3.72024280762583</v>
      </c>
      <c r="C206">
        <v>0.18689148115617399</v>
      </c>
      <c r="E206" t="str">
        <f>"10431948"</f>
        <v>10431948</v>
      </c>
      <c r="F206" t="str">
        <f t="shared" si="13"/>
        <v>Affy 1.0 ST</v>
      </c>
      <c r="G206" t="str">
        <f>"MGI:1277218"</f>
        <v>MGI:1277218</v>
      </c>
      <c r="H206" t="str">
        <f>"Rpap3"</f>
        <v>Rpap3</v>
      </c>
      <c r="I206" t="str">
        <f>"RNA polymerase II associated protein 3"</f>
        <v>RNA polymerase II associated protein 3</v>
      </c>
      <c r="J206" t="str">
        <f>"protein coding gene"</f>
        <v>protein coding gene</v>
      </c>
    </row>
    <row r="207" spans="1:10">
      <c r="A207">
        <v>10523923</v>
      </c>
      <c r="B207">
        <v>3.7146841938857298</v>
      </c>
      <c r="C207">
        <v>1.3583076802021199</v>
      </c>
      <c r="E207" t="str">
        <f>"10523923"</f>
        <v>10523923</v>
      </c>
      <c r="F207" t="str">
        <f t="shared" si="13"/>
        <v>Affy 1.0 ST</v>
      </c>
      <c r="G207" t="str">
        <f>"MGI:1922974"</f>
        <v>MGI:1922974</v>
      </c>
      <c r="H207" t="str">
        <f>"Ccdc18"</f>
        <v>Ccdc18</v>
      </c>
      <c r="I207" t="str">
        <f>"coiled-coil domain containing 18"</f>
        <v>coiled-coil domain containing 18</v>
      </c>
      <c r="J207" t="str">
        <f>"protein coding gene"</f>
        <v>protein coding gene</v>
      </c>
    </row>
    <row r="208" spans="1:10">
      <c r="A208">
        <v>10522160</v>
      </c>
      <c r="B208">
        <v>3.68687843582105</v>
      </c>
      <c r="C208">
        <v>1.93453274792754</v>
      </c>
      <c r="E208" t="str">
        <f>"10522160"</f>
        <v>10522160</v>
      </c>
      <c r="F208" t="str">
        <f t="shared" si="13"/>
        <v>Affy 1.0 ST</v>
      </c>
      <c r="G208" t="str">
        <f>"MGI:2684414"</f>
        <v>MGI:2684414</v>
      </c>
      <c r="H208" t="str">
        <f>"N4bp2"</f>
        <v>N4bp2</v>
      </c>
      <c r="I208" t="str">
        <f>"NEDD4 binding protein 2"</f>
        <v>NEDD4 binding protein 2</v>
      </c>
      <c r="J208" t="str">
        <f>"protein coding gene"</f>
        <v>protein coding gene</v>
      </c>
    </row>
    <row r="209" spans="1:10">
      <c r="A209">
        <v>10455647</v>
      </c>
      <c r="B209">
        <v>3.6842219294598499</v>
      </c>
      <c r="C209">
        <v>2.63846193646605</v>
      </c>
      <c r="E209" t="str">
        <f>"10455647"</f>
        <v>10455647</v>
      </c>
      <c r="F209" t="str">
        <f t="shared" si="13"/>
        <v>Affy 1.0 ST</v>
      </c>
      <c r="G209" t="str">
        <f>"MGI:2147191"</f>
        <v>MGI:2147191</v>
      </c>
      <c r="H209" t="str">
        <f>"Tnfaip8"</f>
        <v>Tnfaip8</v>
      </c>
      <c r="I209" t="s">
        <v>92</v>
      </c>
      <c r="J209" t="s">
        <v>50</v>
      </c>
    </row>
    <row r="210" spans="1:10">
      <c r="A210">
        <v>10558454</v>
      </c>
      <c r="B210">
        <v>3.6814608332515002</v>
      </c>
      <c r="C210">
        <v>0.82673960281716896</v>
      </c>
      <c r="E210" t="str">
        <f>"10558454"</f>
        <v>10558454</v>
      </c>
      <c r="F210" t="str">
        <f t="shared" si="13"/>
        <v>Affy 1.0 ST</v>
      </c>
      <c r="G210" t="str">
        <f>"MGI:1353653"</f>
        <v>MGI:1353653</v>
      </c>
      <c r="H210" t="str">
        <f>"Glrx3"</f>
        <v>Glrx3</v>
      </c>
      <c r="I210" t="str">
        <f>"glutaredoxin 3"</f>
        <v>glutaredoxin 3</v>
      </c>
      <c r="J210" t="str">
        <f>"protein coding gene"</f>
        <v>protein coding gene</v>
      </c>
    </row>
    <row r="211" spans="1:10">
      <c r="A211">
        <v>10485445</v>
      </c>
      <c r="B211">
        <v>3.66639301994369</v>
      </c>
      <c r="C211">
        <v>0.47355953122038202</v>
      </c>
      <c r="E211" t="str">
        <f>"10485445"</f>
        <v>10485445</v>
      </c>
      <c r="F211" t="str">
        <f t="shared" si="13"/>
        <v>Affy 1.0 ST</v>
      </c>
      <c r="G211" t="str">
        <f>"MGI:1270840"</f>
        <v>MGI:1270840</v>
      </c>
      <c r="H211" t="str">
        <f>"Ehf"</f>
        <v>Ehf</v>
      </c>
      <c r="I211" t="str">
        <f>"ets homologous factor"</f>
        <v>ets homologous factor</v>
      </c>
      <c r="J211" t="str">
        <f>"protein coding gene"</f>
        <v>protein coding gene</v>
      </c>
    </row>
    <row r="212" spans="1:10">
      <c r="A212">
        <v>10414527</v>
      </c>
      <c r="B212">
        <v>3.65602591697886</v>
      </c>
      <c r="C212">
        <v>1.42606820451907</v>
      </c>
      <c r="E212" t="str">
        <f>"10414527"</f>
        <v>10414527</v>
      </c>
      <c r="F212" t="str">
        <f t="shared" si="13"/>
        <v>Affy 1.0 ST</v>
      </c>
      <c r="G212" t="str">
        <f>"MGI:3712328"</f>
        <v>MGI:3712328</v>
      </c>
      <c r="H212" t="str">
        <f>"Pnp2"</f>
        <v>Pnp2</v>
      </c>
      <c r="I212" t="str">
        <f>"purine-nucleoside phosphorylase 2"</f>
        <v>purine-nucleoside phosphorylase 2</v>
      </c>
      <c r="J212" t="str">
        <f>"protein coding gene"</f>
        <v>protein coding gene</v>
      </c>
    </row>
    <row r="213" spans="1:10">
      <c r="A213">
        <v>10416653</v>
      </c>
      <c r="B213">
        <v>3.6481753110533801</v>
      </c>
      <c r="C213">
        <v>0.97552043885454698</v>
      </c>
      <c r="E213" t="str">
        <f>"10416653"</f>
        <v>10416653</v>
      </c>
      <c r="F213" t="str">
        <f t="shared" si="13"/>
        <v>Affy 1.0 ST</v>
      </c>
      <c r="G213" t="str">
        <f>"MGI:2685141"</f>
        <v>MGI:2685141</v>
      </c>
      <c r="H213" t="str">
        <f>"Kbtbd7"</f>
        <v>Kbtbd7</v>
      </c>
      <c r="I213" t="str">
        <f>"kelch repeat and BTB (POZ) domain containing 7"</f>
        <v>kelch repeat and BTB (POZ) domain containing 7</v>
      </c>
      <c r="J213" t="str">
        <f>"protein coding gene"</f>
        <v>protein coding gene</v>
      </c>
    </row>
    <row r="214" spans="1:10">
      <c r="A214">
        <v>10504817</v>
      </c>
      <c r="B214">
        <v>3.6335076478268</v>
      </c>
      <c r="C214">
        <v>1.6467726251952099</v>
      </c>
      <c r="E214" t="str">
        <f>"10504817"</f>
        <v>10504817</v>
      </c>
      <c r="F214" t="str">
        <f t="shared" si="13"/>
        <v>Affy 1.0 ST</v>
      </c>
      <c r="G214" t="str">
        <f>"MGI:98728"</f>
        <v>MGI:98728</v>
      </c>
      <c r="H214" t="str">
        <f>"Tgfbr1"</f>
        <v>Tgfbr1</v>
      </c>
      <c r="I214" t="s">
        <v>93</v>
      </c>
      <c r="J214" t="s">
        <v>50</v>
      </c>
    </row>
    <row r="215" spans="1:10">
      <c r="A215">
        <v>10418702</v>
      </c>
      <c r="B215">
        <v>3.6239321449003401</v>
      </c>
      <c r="C215">
        <v>1.91401616682519</v>
      </c>
      <c r="E215" t="str">
        <f>"10418702"</f>
        <v>10418702</v>
      </c>
      <c r="F215" t="str">
        <f t="shared" si="13"/>
        <v>Affy 1.0 ST</v>
      </c>
      <c r="G215" t="str">
        <f>"MGI:1344391"</f>
        <v>MGI:1344391</v>
      </c>
      <c r="H215" t="str">
        <f>"Sh3bp5"</f>
        <v>Sh3bp5</v>
      </c>
      <c r="I215" t="str">
        <f>"SH3-domain binding protein 5 (BTK-associated)"</f>
        <v>SH3-domain binding protein 5 (BTK-associated)</v>
      </c>
      <c r="J215" t="str">
        <f>"protein coding gene"</f>
        <v>protein coding gene</v>
      </c>
    </row>
    <row r="216" spans="1:10">
      <c r="A216">
        <v>10461558</v>
      </c>
      <c r="B216">
        <v>3.6193350828844899</v>
      </c>
      <c r="C216">
        <v>0.27973028058669402</v>
      </c>
      <c r="E216" t="str">
        <f>"10461558"</f>
        <v>10461558</v>
      </c>
      <c r="F216" t="str">
        <f t="shared" si="13"/>
        <v>Affy 1.0 ST</v>
      </c>
      <c r="G216" t="str">
        <f>"MGI:1929691"</f>
        <v>MGI:1929691</v>
      </c>
      <c r="H216" t="str">
        <f>"Slc15a3"</f>
        <v>Slc15a3</v>
      </c>
      <c r="I216" t="s">
        <v>94</v>
      </c>
      <c r="J216" t="s">
        <v>50</v>
      </c>
    </row>
    <row r="217" spans="1:10">
      <c r="A217">
        <v>10505132</v>
      </c>
      <c r="B217">
        <v>3.61437082935239</v>
      </c>
      <c r="C217">
        <v>1.79774152070313</v>
      </c>
      <c r="E217" t="str">
        <f>"10505132"</f>
        <v>10505132</v>
      </c>
      <c r="F217" t="str">
        <f t="shared" si="13"/>
        <v>Affy 1.0 ST</v>
      </c>
      <c r="G217" t="str">
        <f>"MGI:1306795"</f>
        <v>MGI:1306795</v>
      </c>
      <c r="H217" t="str">
        <f>"Akap2"</f>
        <v>Akap2</v>
      </c>
      <c r="I217" t="str">
        <f>"A kinase (PRKA) anchor protein 2"</f>
        <v>A kinase (PRKA) anchor protein 2</v>
      </c>
      <c r="J217" t="str">
        <f>"protein coding gene"</f>
        <v>protein coding gene</v>
      </c>
    </row>
    <row r="218" spans="1:10">
      <c r="A218">
        <v>10372844</v>
      </c>
      <c r="B218">
        <v>3.5638357761467199</v>
      </c>
      <c r="C218">
        <v>0.89694318221269098</v>
      </c>
      <c r="E218" t="str">
        <f>"10372844"</f>
        <v>10372844</v>
      </c>
      <c r="F218" t="str">
        <f t="shared" si="13"/>
        <v>Affy 1.0 ST</v>
      </c>
      <c r="G218" t="str">
        <f>"MGI:2179722"</f>
        <v>MGI:2179722</v>
      </c>
      <c r="H218" t="str">
        <f>"Rassf3"</f>
        <v>Rassf3</v>
      </c>
      <c r="I218" t="str">
        <f>"Ras association (RalGDS/AF-6) domain family member 3"</f>
        <v>Ras association (RalGDS/AF-6) domain family member 3</v>
      </c>
      <c r="J218" t="str">
        <f>"protein coding gene"</f>
        <v>protein coding gene</v>
      </c>
    </row>
    <row r="219" spans="1:10">
      <c r="A219">
        <v>10418410</v>
      </c>
      <c r="B219">
        <v>3.5581473940341701</v>
      </c>
      <c r="C219">
        <v>1.7599585255990999</v>
      </c>
      <c r="E219" t="str">
        <f>"10418410"</f>
        <v>10418410</v>
      </c>
      <c r="F219" t="str">
        <f t="shared" si="13"/>
        <v>Affy 1.0 ST</v>
      </c>
      <c r="G219" t="str">
        <f>"MGI:97598"</f>
        <v>MGI:97598</v>
      </c>
      <c r="H219" t="str">
        <f>"Prkcd"</f>
        <v>Prkcd</v>
      </c>
      <c r="I219" t="s">
        <v>95</v>
      </c>
      <c r="J219" t="s">
        <v>50</v>
      </c>
    </row>
    <row r="220" spans="1:10">
      <c r="A220">
        <v>10372503</v>
      </c>
      <c r="B220">
        <v>3.55494196510393</v>
      </c>
      <c r="C220">
        <v>0.56057370462690304</v>
      </c>
      <c r="E220" t="str">
        <f>"10372503"</f>
        <v>10372503</v>
      </c>
      <c r="F220" t="str">
        <f t="shared" si="13"/>
        <v>Affy 1.0 ST</v>
      </c>
      <c r="G220" t="str">
        <f>"MGI:1341817"</f>
        <v>MGI:1341817</v>
      </c>
      <c r="H220" t="str">
        <f>"Lgr5"</f>
        <v>Lgr5</v>
      </c>
      <c r="I220" t="str">
        <f>"leucine rich repeat containing G protein coupled receptor 5"</f>
        <v>leucine rich repeat containing G protein coupled receptor 5</v>
      </c>
      <c r="J220" t="str">
        <f>"protein coding gene"</f>
        <v>protein coding gene</v>
      </c>
    </row>
    <row r="221" spans="1:10">
      <c r="A221">
        <v>10358845</v>
      </c>
      <c r="B221">
        <v>3.5517949229621202</v>
      </c>
      <c r="C221">
        <v>1.2183255231683201</v>
      </c>
      <c r="E221" t="str">
        <f>"10358845"</f>
        <v>10358845</v>
      </c>
      <c r="F221" t="str">
        <f t="shared" si="13"/>
        <v>Affy 1.0 ST</v>
      </c>
      <c r="G221" t="str">
        <f>"MGI:3761270"</f>
        <v>MGI:3761270</v>
      </c>
      <c r="H221" t="str">
        <f>"E330020D12Rik"</f>
        <v>E330020D12Rik</v>
      </c>
      <c r="I221" t="str">
        <f>"Riken cDNA E330020D12 gene"</f>
        <v>Riken cDNA E330020D12 gene</v>
      </c>
      <c r="J221" t="str">
        <f>"unclassified gene"</f>
        <v>unclassified gene</v>
      </c>
    </row>
    <row r="222" spans="1:10">
      <c r="A222">
        <v>10506603</v>
      </c>
      <c r="B222">
        <v>3.5493380180744198</v>
      </c>
      <c r="C222">
        <v>1.9020706924883299</v>
      </c>
      <c r="E222" t="str">
        <f>"10506603"</f>
        <v>10506603</v>
      </c>
      <c r="F222" t="str">
        <f t="shared" si="13"/>
        <v>Affy 1.0 ST</v>
      </c>
      <c r="G222" t="str">
        <f>"MGI:1919725"</f>
        <v>MGI:1919725</v>
      </c>
      <c r="H222" t="str">
        <f>"Ssbp3"</f>
        <v>Ssbp3</v>
      </c>
      <c r="I222" t="str">
        <f>"single-stranded DNA binding protein 3"</f>
        <v>single-stranded DNA binding protein 3</v>
      </c>
      <c r="J222" t="str">
        <f>"protein coding gene"</f>
        <v>protein coding gene</v>
      </c>
    </row>
    <row r="223" spans="1:10">
      <c r="A223">
        <v>10375980</v>
      </c>
      <c r="B223">
        <v>3.5289473902120601</v>
      </c>
      <c r="C223">
        <v>1.5142563609195401</v>
      </c>
      <c r="E223" t="str">
        <f>"10375980"</f>
        <v>10375980</v>
      </c>
      <c r="F223" t="str">
        <f t="shared" si="13"/>
        <v>Affy 1.0 ST</v>
      </c>
      <c r="G223" t="str">
        <f>"MGI:2136171"</f>
        <v>MGI:2136171</v>
      </c>
      <c r="H223" t="str">
        <f>"Aff4"</f>
        <v>Aff4</v>
      </c>
      <c r="I223" t="s">
        <v>96</v>
      </c>
      <c r="J223" t="s">
        <v>50</v>
      </c>
    </row>
    <row r="224" spans="1:10">
      <c r="A224">
        <v>10576946</v>
      </c>
      <c r="B224">
        <v>3.52857207073539</v>
      </c>
      <c r="C224">
        <v>0.215282240546466</v>
      </c>
      <c r="E224" t="str">
        <f>"10576946"</f>
        <v>10576946</v>
      </c>
      <c r="F224" t="str">
        <f t="shared" si="13"/>
        <v>Affy 1.0 ST</v>
      </c>
      <c r="G224" t="str">
        <f>"MGI:1335098"</f>
        <v>MGI:1335098</v>
      </c>
      <c r="H224" t="str">
        <f>"Lig4"</f>
        <v>Lig4</v>
      </c>
      <c r="I224" t="s">
        <v>97</v>
      </c>
      <c r="J224" t="s">
        <v>50</v>
      </c>
    </row>
    <row r="225" spans="1:10">
      <c r="A225">
        <v>10382136</v>
      </c>
      <c r="B225">
        <v>3.5063427268035898</v>
      </c>
      <c r="C225">
        <v>0.108012930386077</v>
      </c>
      <c r="E225" t="str">
        <f>"10382136"</f>
        <v>10382136</v>
      </c>
      <c r="F225" t="str">
        <f t="shared" si="13"/>
        <v>Affy 1.0 ST</v>
      </c>
      <c r="G225" t="str">
        <f>"MGI:1916316"</f>
        <v>MGI:1916316</v>
      </c>
      <c r="H225" t="str">
        <f>"1810010H24Rik"</f>
        <v>1810010H24Rik</v>
      </c>
      <c r="I225" t="str">
        <f>"RIKEN cDNA 1810010H24 gene"</f>
        <v>RIKEN cDNA 1810010H24 gene</v>
      </c>
      <c r="J225" t="str">
        <f>"unclassified gene"</f>
        <v>unclassified gene</v>
      </c>
    </row>
    <row r="226" spans="1:10">
      <c r="A226">
        <v>10550935</v>
      </c>
      <c r="B226">
        <v>3.50599930006705</v>
      </c>
      <c r="C226">
        <v>0.72229796745853303</v>
      </c>
      <c r="E226" t="str">
        <f>"10550935"</f>
        <v>10550935</v>
      </c>
      <c r="F226" t="str">
        <f t="shared" si="13"/>
        <v>Affy 1.0 ST</v>
      </c>
      <c r="G226" t="str">
        <f>"MGI:99137"</f>
        <v>MGI:99137</v>
      </c>
      <c r="H226" t="str">
        <f>"Xrcc1"</f>
        <v>Xrcc1</v>
      </c>
      <c r="I226" t="str">
        <f>"X-ray repair complementing defective repair in Chinese hamster cells 1"</f>
        <v>X-ray repair complementing defective repair in Chinese hamster cells 1</v>
      </c>
      <c r="J226" t="str">
        <f>"protein coding gene"</f>
        <v>protein coding gene</v>
      </c>
    </row>
    <row r="227" spans="1:10">
      <c r="A227">
        <v>10481711</v>
      </c>
      <c r="B227">
        <v>3.49858801282272</v>
      </c>
      <c r="C227">
        <v>0.17497674635195101</v>
      </c>
      <c r="E227" t="str">
        <f>"10481711"</f>
        <v>10481711</v>
      </c>
      <c r="F227" t="str">
        <f t="shared" si="13"/>
        <v>Affy 1.0 ST</v>
      </c>
      <c r="G227" t="str">
        <f>"MGI:107363"</f>
        <v>MGI:107363</v>
      </c>
      <c r="H227" t="str">
        <f>"Stxbp1"</f>
        <v>Stxbp1</v>
      </c>
      <c r="I227" t="str">
        <f>"syntaxin binding protein 1"</f>
        <v>syntaxin binding protein 1</v>
      </c>
      <c r="J227" t="str">
        <f>"protein coding gene"</f>
        <v>protein coding gene</v>
      </c>
    </row>
    <row r="228" spans="1:10">
      <c r="A228">
        <v>10534281</v>
      </c>
      <c r="B228">
        <v>3.4900476153393001</v>
      </c>
      <c r="C228">
        <v>1.04711324013514</v>
      </c>
      <c r="E228" t="str">
        <f>"10534281"</f>
        <v>10534281</v>
      </c>
      <c r="F228" t="str">
        <f t="shared" si="13"/>
        <v>Affy 1.0 ST</v>
      </c>
      <c r="G228" t="str">
        <f>"MGI:1313136"</f>
        <v>MGI:1313136</v>
      </c>
      <c r="H228" t="str">
        <f>"Clip2"</f>
        <v>Clip2</v>
      </c>
      <c r="I228" t="str">
        <f>"CAP-GLY domain containing linker protein 2"</f>
        <v>CAP-GLY domain containing linker protein 2</v>
      </c>
      <c r="J228" t="str">
        <f>"protein coding gene"</f>
        <v>protein coding gene</v>
      </c>
    </row>
    <row r="229" spans="1:10">
      <c r="A229">
        <v>10583320</v>
      </c>
      <c r="B229">
        <v>3.4872712321004902</v>
      </c>
      <c r="C229">
        <v>0.68351928649634797</v>
      </c>
      <c r="E229" t="str">
        <f>"10583320"</f>
        <v>10583320</v>
      </c>
      <c r="F229" t="str">
        <f t="shared" si="13"/>
        <v>Affy 1.0 ST</v>
      </c>
      <c r="G229" t="str">
        <f>"MGI:3039636"</f>
        <v>MGI:3039636</v>
      </c>
      <c r="H229" t="str">
        <f>"BC017612"</f>
        <v>BC017612</v>
      </c>
      <c r="I229" t="str">
        <f>"cDNA sequence BC017612"</f>
        <v>cDNA sequence BC017612</v>
      </c>
      <c r="J229" t="str">
        <f>"protein coding gene"</f>
        <v>protein coding gene</v>
      </c>
    </row>
    <row r="230" spans="1:10">
      <c r="A230">
        <v>10352448</v>
      </c>
      <c r="B230">
        <v>3.4698356361835998</v>
      </c>
      <c r="C230">
        <v>2.2089604974242198</v>
      </c>
      <c r="E230" t="str">
        <f>"10352448"</f>
        <v>10352448</v>
      </c>
      <c r="F230" t="str">
        <f t="shared" si="13"/>
        <v>Affy 1.0 ST</v>
      </c>
      <c r="G230" t="str">
        <f>"MGI:1927070"</f>
        <v>MGI:1927070</v>
      </c>
      <c r="H230" t="str">
        <f>"Dusp10"</f>
        <v>Dusp10</v>
      </c>
      <c r="I230" t="str">
        <f>"dual specificity phosphatase 10"</f>
        <v>dual specificity phosphatase 10</v>
      </c>
      <c r="J230" t="str">
        <f>"protein coding gene"</f>
        <v>protein coding gene</v>
      </c>
    </row>
    <row r="231" spans="1:10">
      <c r="A231">
        <v>10454286</v>
      </c>
      <c r="B231">
        <v>3.4626216307737798</v>
      </c>
      <c r="C231">
        <v>1.73146674067298</v>
      </c>
      <c r="E231" t="str">
        <f>"10454286"</f>
        <v>10454286</v>
      </c>
      <c r="F231" t="str">
        <f t="shared" si="13"/>
        <v>Affy 1.0 ST</v>
      </c>
      <c r="G231" t="str">
        <f>"MGI:106271"</f>
        <v>MGI:106271</v>
      </c>
      <c r="H231" t="str">
        <f>"Mapre2"</f>
        <v>Mapre2</v>
      </c>
      <c r="I231" t="s">
        <v>98</v>
      </c>
      <c r="J231" t="s">
        <v>50</v>
      </c>
    </row>
    <row r="232" spans="1:10">
      <c r="A232">
        <v>10345550</v>
      </c>
      <c r="B232">
        <v>3.4602313902761099</v>
      </c>
      <c r="C232">
        <v>0.43999625296795303</v>
      </c>
      <c r="E232" t="str">
        <f>"10345550"</f>
        <v>10345550</v>
      </c>
      <c r="F232" t="str">
        <f t="shared" si="13"/>
        <v>Affy 1.0 ST</v>
      </c>
      <c r="G232" t="str">
        <f>"MGI:1918103"</f>
        <v>MGI:1918103</v>
      </c>
      <c r="H232" t="str">
        <f>"Vwa3b"</f>
        <v>Vwa3b</v>
      </c>
      <c r="I232" t="str">
        <f>"von Willebrand factor A domain containing 3B"</f>
        <v>von Willebrand factor A domain containing 3B</v>
      </c>
      <c r="J232" t="str">
        <f t="shared" ref="J232:J238" si="14">"protein coding gene"</f>
        <v>protein coding gene</v>
      </c>
    </row>
    <row r="233" spans="1:10">
      <c r="A233">
        <v>10499035</v>
      </c>
      <c r="B233">
        <v>3.4598703246683198</v>
      </c>
      <c r="C233">
        <v>0.90132752728285304</v>
      </c>
      <c r="E233" t="str">
        <f>"10499035"</f>
        <v>10499035</v>
      </c>
      <c r="F233" t="str">
        <f t="shared" si="13"/>
        <v>Affy 1.0 ST</v>
      </c>
      <c r="G233" t="str">
        <f>"MGI:1924165"</f>
        <v>MGI:1924165</v>
      </c>
      <c r="H233" t="str">
        <f>"Mnd1"</f>
        <v>Mnd1</v>
      </c>
      <c r="I233" t="str">
        <f>"meiotic nuclear divisions 1 homolog (S. cerevisiae)"</f>
        <v>meiotic nuclear divisions 1 homolog (S. cerevisiae)</v>
      </c>
      <c r="J233" t="str">
        <f t="shared" si="14"/>
        <v>protein coding gene</v>
      </c>
    </row>
    <row r="234" spans="1:10">
      <c r="A234">
        <v>10362245</v>
      </c>
      <c r="B234">
        <v>3.4470824177331001</v>
      </c>
      <c r="C234">
        <v>0.68518171117712001</v>
      </c>
      <c r="E234" t="str">
        <f>"10362245"</f>
        <v>10362245</v>
      </c>
      <c r="F234" t="str">
        <f t="shared" si="13"/>
        <v>Affy 1.0 ST</v>
      </c>
      <c r="G234" t="str">
        <f>"MGI:103009"</f>
        <v>MGI:103009</v>
      </c>
      <c r="H234" t="str">
        <f>"Epb4.1l2"</f>
        <v>Epb4.1l2</v>
      </c>
      <c r="I234" t="str">
        <f>"erythrocyte protein band 4.1-like 2"</f>
        <v>erythrocyte protein band 4.1-like 2</v>
      </c>
      <c r="J234" t="str">
        <f t="shared" si="14"/>
        <v>protein coding gene</v>
      </c>
    </row>
    <row r="235" spans="1:10">
      <c r="A235">
        <v>10362171</v>
      </c>
      <c r="B235">
        <v>3.4255722192123099</v>
      </c>
      <c r="C235">
        <v>2.7580420370877499</v>
      </c>
      <c r="E235" t="str">
        <f>"10362171"</f>
        <v>10362171</v>
      </c>
      <c r="F235" t="str">
        <f t="shared" si="13"/>
        <v>Affy 1.0 ST</v>
      </c>
      <c r="G235" t="str">
        <f>"MGI:1858210"</f>
        <v>MGI:1858210</v>
      </c>
      <c r="H235" t="str">
        <f>"Stx7"</f>
        <v>Stx7</v>
      </c>
      <c r="I235" t="str">
        <f>"syntaxin 7"</f>
        <v>syntaxin 7</v>
      </c>
      <c r="J235" t="str">
        <f t="shared" si="14"/>
        <v>protein coding gene</v>
      </c>
    </row>
    <row r="236" spans="1:10">
      <c r="A236">
        <v>10414514</v>
      </c>
      <c r="B236">
        <v>3.4061275431639699</v>
      </c>
      <c r="C236">
        <v>1.0876319431800401</v>
      </c>
      <c r="E236" t="str">
        <f>"10414514"</f>
        <v>10414514</v>
      </c>
      <c r="F236" t="str">
        <f t="shared" si="13"/>
        <v>Affy 1.0 ST</v>
      </c>
      <c r="G236" t="str">
        <f>"MGI:97365"</f>
        <v>MGI:97365</v>
      </c>
      <c r="H236" t="str">
        <f>"Pnp"</f>
        <v>Pnp</v>
      </c>
      <c r="I236" t="str">
        <f>"purine-nucleoside phosphorylase"</f>
        <v>purine-nucleoside phosphorylase</v>
      </c>
      <c r="J236" t="str">
        <f t="shared" si="14"/>
        <v>protein coding gene</v>
      </c>
    </row>
    <row r="237" spans="1:10">
      <c r="A237">
        <v>10408741</v>
      </c>
      <c r="B237">
        <v>3.3999555164974899</v>
      </c>
      <c r="C237">
        <v>1.31842296024682</v>
      </c>
      <c r="E237" t="str">
        <f>"10408741"</f>
        <v>10408741</v>
      </c>
      <c r="F237" t="str">
        <f t="shared" si="13"/>
        <v>Affy 1.0 ST</v>
      </c>
      <c r="G237" t="str">
        <f>"MGI:2145316"</f>
        <v>MGI:2145316</v>
      </c>
      <c r="H237" t="str">
        <f>"Txndc5"</f>
        <v>Txndc5</v>
      </c>
      <c r="I237" t="str">
        <f>"thioredoxin domain containing 5"</f>
        <v>thioredoxin domain containing 5</v>
      </c>
      <c r="J237" t="str">
        <f t="shared" si="14"/>
        <v>protein coding gene</v>
      </c>
    </row>
    <row r="238" spans="1:10">
      <c r="A238">
        <v>10385455</v>
      </c>
      <c r="B238">
        <v>3.3822607072245399</v>
      </c>
      <c r="C238">
        <v>0.68684299579411301</v>
      </c>
      <c r="E238" t="str">
        <f>"10385455"</f>
        <v>10385455</v>
      </c>
      <c r="F238" t="str">
        <f t="shared" si="13"/>
        <v>Affy 1.0 ST</v>
      </c>
      <c r="G238" t="str">
        <f>"MGI:2159681"</f>
        <v>MGI:2159681</v>
      </c>
      <c r="H238" t="str">
        <f>"Timd2"</f>
        <v>Timd2</v>
      </c>
      <c r="I238" t="str">
        <f>"T-cell immunoglobulin and mucin domain containing 2"</f>
        <v>T-cell immunoglobulin and mucin domain containing 2</v>
      </c>
      <c r="J238" t="str">
        <f t="shared" si="14"/>
        <v>protein coding gene</v>
      </c>
    </row>
    <row r="239" spans="1:10">
      <c r="A239">
        <v>10471904</v>
      </c>
      <c r="B239">
        <v>3.35437631297961</v>
      </c>
      <c r="C239">
        <v>1.2272935247093599</v>
      </c>
      <c r="E239" t="str">
        <f>"10471904"</f>
        <v>10471904</v>
      </c>
      <c r="F239" t="str">
        <f t="shared" si="13"/>
        <v>Affy 1.0 ST</v>
      </c>
      <c r="G239" t="str">
        <f>"MGI:1921442"</f>
        <v>MGI:1921442</v>
      </c>
      <c r="H239" t="str">
        <f>"Arpc5l"</f>
        <v>Arpc5l</v>
      </c>
      <c r="I239" t="s">
        <v>99</v>
      </c>
      <c r="J239" t="s">
        <v>50</v>
      </c>
    </row>
    <row r="240" spans="1:10">
      <c r="A240">
        <v>10482181</v>
      </c>
      <c r="B240">
        <v>3.3360791068209901</v>
      </c>
      <c r="C240">
        <v>1.55815034739979</v>
      </c>
      <c r="E240" t="str">
        <f>"10482181"</f>
        <v>10482181</v>
      </c>
      <c r="F240" t="str">
        <f t="shared" si="13"/>
        <v>Affy 1.0 ST</v>
      </c>
      <c r="G240" t="str">
        <f>"MGI:104626"</f>
        <v>MGI:104626</v>
      </c>
      <c r="H240" t="str">
        <f>"Strbp"</f>
        <v>Strbp</v>
      </c>
      <c r="I240" t="str">
        <f>"spermatid perinuclear RNA binding protein"</f>
        <v>spermatid perinuclear RNA binding protein</v>
      </c>
      <c r="J240" t="str">
        <f>"protein coding gene"</f>
        <v>protein coding gene</v>
      </c>
    </row>
    <row r="241" spans="1:10">
      <c r="A241">
        <v>10441620</v>
      </c>
      <c r="B241">
        <v>3.3283762978770701</v>
      </c>
      <c r="C241">
        <v>1.2467411001992801</v>
      </c>
      <c r="E241" t="str">
        <f>"10441620"</f>
        <v>10441620</v>
      </c>
      <c r="F241" t="str">
        <f t="shared" si="13"/>
        <v>Affy 1.0 ST</v>
      </c>
      <c r="G241" t="str">
        <f>"MGI:1922546"</f>
        <v>MGI:1922546</v>
      </c>
      <c r="H241" t="str">
        <f>"Fgfr1op"</f>
        <v>Fgfr1op</v>
      </c>
      <c r="I241" t="str">
        <f>"Fgfr1 oncogene partner"</f>
        <v>Fgfr1 oncogene partner</v>
      </c>
      <c r="J241" t="str">
        <f>"protein coding gene"</f>
        <v>protein coding gene</v>
      </c>
    </row>
    <row r="242" spans="1:10">
      <c r="A242">
        <v>10422598</v>
      </c>
      <c r="B242">
        <v>3.31209118797493</v>
      </c>
      <c r="C242">
        <v>0.38908377360089802</v>
      </c>
      <c r="E242" t="str">
        <f>"10422598"</f>
        <v>10422598</v>
      </c>
      <c r="F242" t="str">
        <f t="shared" si="13"/>
        <v>Affy 1.0 ST</v>
      </c>
      <c r="G242" t="str">
        <f>"MGI:894288"</f>
        <v>MGI:894288</v>
      </c>
      <c r="H242" t="str">
        <f>"Sepp1"</f>
        <v>Sepp1</v>
      </c>
      <c r="I242" t="s">
        <v>100</v>
      </c>
      <c r="J242" t="s">
        <v>50</v>
      </c>
    </row>
    <row r="243" spans="1:10">
      <c r="A243">
        <v>10523190</v>
      </c>
      <c r="B243">
        <v>3.2998885758957899</v>
      </c>
      <c r="C243">
        <v>0.440050796064829</v>
      </c>
      <c r="E243" t="str">
        <f>"10523190"</f>
        <v>10523190</v>
      </c>
      <c r="F243" t="str">
        <f t="shared" si="13"/>
        <v>Affy 1.0 ST</v>
      </c>
      <c r="G243" t="str">
        <f>"MGI:2443349"</f>
        <v>MGI:2443349</v>
      </c>
      <c r="H243" t="str">
        <f>"Parm1"</f>
        <v>Parm1</v>
      </c>
      <c r="I243" t="str">
        <f>"prostate androgen-regulated mucin-like protein 1"</f>
        <v>prostate androgen-regulated mucin-like protein 1</v>
      </c>
      <c r="J243" t="str">
        <f>"protein coding gene"</f>
        <v>protein coding gene</v>
      </c>
    </row>
    <row r="244" spans="1:10">
      <c r="A244">
        <v>10520965</v>
      </c>
      <c r="B244">
        <v>3.2939454632252398</v>
      </c>
      <c r="C244">
        <v>0.252125396358023</v>
      </c>
      <c r="E244" t="str">
        <f>"10520965"</f>
        <v>10520965</v>
      </c>
      <c r="F244" t="str">
        <f t="shared" si="13"/>
        <v>Affy 1.0 ST</v>
      </c>
      <c r="G244" t="str">
        <f>"MGI:99147"</f>
        <v>MGI:99147</v>
      </c>
      <c r="H244" t="str">
        <f>"Yes1"</f>
        <v>Yes1</v>
      </c>
      <c r="I244" t="str">
        <f>"Yamaguchi sarcoma viral (v-yes) oncogene homolog 1"</f>
        <v>Yamaguchi sarcoma viral (v-yes) oncogene homolog 1</v>
      </c>
      <c r="J244" t="str">
        <f>"protein coding gene"</f>
        <v>protein coding gene</v>
      </c>
    </row>
    <row r="245" spans="1:10">
      <c r="A245">
        <v>10599612</v>
      </c>
      <c r="B245">
        <v>3.2873074268989102</v>
      </c>
      <c r="C245">
        <v>0.47607761124295001</v>
      </c>
      <c r="E245" t="str">
        <f>"10599612"</f>
        <v>10599612</v>
      </c>
      <c r="F245" t="str">
        <f t="shared" si="13"/>
        <v>Affy 1.0 ST</v>
      </c>
      <c r="G245" t="str">
        <f>"MGI:1918248"</f>
        <v>MGI:1918248</v>
      </c>
      <c r="H245" t="str">
        <f>"Phf6"</f>
        <v>Phf6</v>
      </c>
      <c r="I245" t="str">
        <f>"PHD finger protein 6"</f>
        <v>PHD finger protein 6</v>
      </c>
      <c r="J245" t="str">
        <f>"protein coding gene"</f>
        <v>protein coding gene</v>
      </c>
    </row>
    <row r="246" spans="1:10">
      <c r="A246">
        <v>10396030</v>
      </c>
      <c r="B246">
        <v>3.2799824993064499</v>
      </c>
      <c r="C246">
        <v>1.05121612839851</v>
      </c>
      <c r="E246" t="str">
        <f>"10396030"</f>
        <v>10396030</v>
      </c>
      <c r="F246" t="str">
        <f t="shared" si="13"/>
        <v>Affy 1.0 ST</v>
      </c>
      <c r="G246" t="str">
        <f>"MGI:2442306"</f>
        <v>MGI:2442306</v>
      </c>
      <c r="H246" t="str">
        <f>"Fancm"</f>
        <v>Fancm</v>
      </c>
      <c r="I246" t="s">
        <v>101</v>
      </c>
      <c r="J246" t="s">
        <v>50</v>
      </c>
    </row>
    <row r="247" spans="1:10">
      <c r="A247">
        <v>10515090</v>
      </c>
      <c r="B247">
        <v>3.2495242057839699</v>
      </c>
      <c r="C247">
        <v>1.58409595504135</v>
      </c>
      <c r="E247" t="str">
        <f>"10515090"</f>
        <v>10515090</v>
      </c>
      <c r="F247" t="str">
        <f t="shared" si="13"/>
        <v>Affy 1.0 ST</v>
      </c>
      <c r="G247" t="str">
        <f>"MGI:105388"</f>
        <v>MGI:105388</v>
      </c>
      <c r="H247" t="str">
        <f>"Cdkn2c"</f>
        <v>Cdkn2c</v>
      </c>
      <c r="I247" t="s">
        <v>102</v>
      </c>
      <c r="J247" t="s">
        <v>50</v>
      </c>
    </row>
    <row r="248" spans="1:10">
      <c r="A248">
        <v>10595831</v>
      </c>
      <c r="B248">
        <v>3.2399082932794401</v>
      </c>
      <c r="C248">
        <v>1.11320285096172</v>
      </c>
      <c r="E248" t="str">
        <f>"10595831"</f>
        <v>10595831</v>
      </c>
      <c r="F248" t="str">
        <f t="shared" si="13"/>
        <v>Affy 1.0 ST</v>
      </c>
      <c r="G248" t="str">
        <f>"MGI:2442866"</f>
        <v>MGI:2442866</v>
      </c>
      <c r="H248" t="str">
        <f>"Zbtb38"</f>
        <v>Zbtb38</v>
      </c>
      <c r="I248" t="str">
        <f>"zinc finger and BTB domain containing 38"</f>
        <v>zinc finger and BTB domain containing 38</v>
      </c>
      <c r="J248" t="str">
        <f>"protein coding gene"</f>
        <v>protein coding gene</v>
      </c>
    </row>
    <row r="249" spans="1:10">
      <c r="A249">
        <v>10608685</v>
      </c>
      <c r="B249">
        <v>3.2378895965786101</v>
      </c>
      <c r="C249">
        <v>0.81808393561064696</v>
      </c>
      <c r="E249" t="str">
        <f>"10608685"</f>
        <v>10608685</v>
      </c>
      <c r="F249" t="str">
        <f>""</f>
        <v/>
      </c>
      <c r="G249" t="str">
        <f>"No associated gene"</f>
        <v>No associated gene</v>
      </c>
    </row>
    <row r="250" spans="1:10">
      <c r="A250">
        <v>10465804</v>
      </c>
      <c r="B250">
        <v>3.2308508844191701</v>
      </c>
      <c r="C250">
        <v>0.77315630562209503</v>
      </c>
      <c r="E250" t="str">
        <f>"10465804"</f>
        <v>10465804</v>
      </c>
      <c r="F250" t="str">
        <f t="shared" ref="F250:F282" si="15">"Affy 1.0 ST"</f>
        <v>Affy 1.0 ST</v>
      </c>
      <c r="G250" t="str">
        <f>"MGI:1914960"</f>
        <v>MGI:1914960</v>
      </c>
      <c r="H250" t="str">
        <f>"Polr2g"</f>
        <v>Polr2g</v>
      </c>
      <c r="I250" t="str">
        <f>"polymerase (RNA) II (DNA directed) polypeptide G"</f>
        <v>polymerase (RNA) II (DNA directed) polypeptide G</v>
      </c>
      <c r="J250" t="str">
        <f>"protein coding gene"</f>
        <v>protein coding gene</v>
      </c>
    </row>
    <row r="251" spans="1:10">
      <c r="A251">
        <v>10428232</v>
      </c>
      <c r="B251">
        <v>3.2206279808521101</v>
      </c>
      <c r="C251">
        <v>0.558804520518701</v>
      </c>
      <c r="E251" t="str">
        <f>"10428232"</f>
        <v>10428232</v>
      </c>
      <c r="F251" t="str">
        <f t="shared" si="15"/>
        <v>Affy 1.0 ST</v>
      </c>
      <c r="G251" t="str">
        <f>"MGI:2155865"</f>
        <v>MGI:2155865</v>
      </c>
      <c r="H251" t="str">
        <f>"Rrm2b"</f>
        <v>Rrm2b</v>
      </c>
      <c r="I251" t="str">
        <f>"ribonucleotide reductase M2 B (TP53 inducible)"</f>
        <v>ribonucleotide reductase M2 B (TP53 inducible)</v>
      </c>
      <c r="J251" t="str">
        <f>"protein coding gene"</f>
        <v>protein coding gene</v>
      </c>
    </row>
    <row r="252" spans="1:10">
      <c r="A252">
        <v>10447417</v>
      </c>
      <c r="B252">
        <v>3.2192692356411401</v>
      </c>
      <c r="C252">
        <v>1.2752255413443001</v>
      </c>
      <c r="E252" t="str">
        <f>"10447417"</f>
        <v>10447417</v>
      </c>
      <c r="F252" t="str">
        <f t="shared" si="15"/>
        <v>Affy 1.0 ST</v>
      </c>
      <c r="G252" t="str">
        <f>"MGI:1343961"</f>
        <v>MGI:1343961</v>
      </c>
      <c r="H252" t="str">
        <f>"Msh6"</f>
        <v>Msh6</v>
      </c>
      <c r="I252" t="str">
        <f>"mutS homolog 6 (E. coli)"</f>
        <v>mutS homolog 6 (E. coli)</v>
      </c>
      <c r="J252" t="str">
        <f>"protein coding gene"</f>
        <v>protein coding gene</v>
      </c>
    </row>
    <row r="253" spans="1:10">
      <c r="A253">
        <v>10551347</v>
      </c>
      <c r="B253">
        <v>3.21890295004073</v>
      </c>
      <c r="C253">
        <v>0.57105253348584994</v>
      </c>
      <c r="E253" t="str">
        <f>"10551347"</f>
        <v>10551347</v>
      </c>
      <c r="F253" t="str">
        <f t="shared" si="15"/>
        <v>Affy 1.0 ST</v>
      </c>
      <c r="G253" t="str">
        <f>"MGI:2385271"</f>
        <v>MGI:2385271</v>
      </c>
      <c r="H253" t="str">
        <f>"Blvrb"</f>
        <v>Blvrb</v>
      </c>
      <c r="I253" t="str">
        <f>"biliverdin reductase B (flavin reductase (NADPH))"</f>
        <v>biliverdin reductase B (flavin reductase (NADPH))</v>
      </c>
      <c r="J253" t="str">
        <f>"protein coding gene"</f>
        <v>protein coding gene</v>
      </c>
    </row>
    <row r="254" spans="1:10">
      <c r="A254">
        <v>10522976</v>
      </c>
      <c r="B254">
        <v>3.2079625284436601</v>
      </c>
      <c r="C254">
        <v>1.5931940350515199</v>
      </c>
      <c r="E254" t="str">
        <f>"10522976"</f>
        <v>10522976</v>
      </c>
      <c r="F254" t="str">
        <f t="shared" si="15"/>
        <v>Affy 1.0 ST</v>
      </c>
      <c r="G254" t="str">
        <f>"MGI:106484"</f>
        <v>MGI:106484</v>
      </c>
      <c r="H254" t="str">
        <f>"Rufy3"</f>
        <v>Rufy3</v>
      </c>
      <c r="I254" t="str">
        <f>"RUN and FYVE domain containing 3"</f>
        <v>RUN and FYVE domain containing 3</v>
      </c>
      <c r="J254" t="str">
        <f>"protein coding gene"</f>
        <v>protein coding gene</v>
      </c>
    </row>
    <row r="255" spans="1:10">
      <c r="A255">
        <v>10518561</v>
      </c>
      <c r="B255">
        <v>3.2026086212965601</v>
      </c>
      <c r="C255">
        <v>1.33184413814678</v>
      </c>
      <c r="E255" t="str">
        <f>"10518561"</f>
        <v>10518561</v>
      </c>
      <c r="F255" t="str">
        <f t="shared" si="15"/>
        <v>Affy 1.0 ST</v>
      </c>
      <c r="G255" t="str">
        <f>"MGI:1917178"</f>
        <v>MGI:1917178</v>
      </c>
      <c r="H255" t="str">
        <f>"Apitd1"</f>
        <v>Apitd1</v>
      </c>
      <c r="I255" t="s">
        <v>103</v>
      </c>
      <c r="J255" t="s">
        <v>50</v>
      </c>
    </row>
    <row r="256" spans="1:10">
      <c r="A256">
        <v>10351047</v>
      </c>
      <c r="B256">
        <v>3.1920947331892</v>
      </c>
      <c r="C256">
        <v>1.41404600971449</v>
      </c>
      <c r="E256" t="str">
        <f>"10351047"</f>
        <v>10351047</v>
      </c>
      <c r="F256" t="str">
        <f t="shared" si="15"/>
        <v>Affy 1.0 ST</v>
      </c>
      <c r="G256" t="str">
        <f>"MGI:1917704"</f>
        <v>MGI:1917704</v>
      </c>
      <c r="H256" t="str">
        <f>"Cenpl"</f>
        <v>Cenpl</v>
      </c>
      <c r="I256" t="str">
        <f>"centromere protein L"</f>
        <v>centromere protein L</v>
      </c>
      <c r="J256" t="str">
        <f>"protein coding gene"</f>
        <v>protein coding gene</v>
      </c>
    </row>
    <row r="257" spans="1:10">
      <c r="A257">
        <v>10422608</v>
      </c>
      <c r="B257">
        <v>3.1913362533127101</v>
      </c>
      <c r="C257">
        <v>1.3800982667608801</v>
      </c>
      <c r="E257" t="str">
        <f>"10422608"</f>
        <v>10422608</v>
      </c>
      <c r="F257" t="str">
        <f t="shared" si="15"/>
        <v>Affy 1.0 ST</v>
      </c>
      <c r="G257" t="str">
        <f>"MGI:1914291"</f>
        <v>MGI:1914291</v>
      </c>
      <c r="H257" t="str">
        <f>"Oxct1"</f>
        <v>Oxct1</v>
      </c>
      <c r="I257" t="str">
        <f>"3-oxoacid CoA transferase 1"</f>
        <v>3-oxoacid CoA transferase 1</v>
      </c>
      <c r="J257" t="str">
        <f>"protein coding gene"</f>
        <v>protein coding gene</v>
      </c>
    </row>
    <row r="258" spans="1:10">
      <c r="A258">
        <v>10392135</v>
      </c>
      <c r="B258">
        <v>3.1828682844276499</v>
      </c>
      <c r="C258">
        <v>0.34893008198368197</v>
      </c>
      <c r="E258" t="str">
        <f>"10392135"</f>
        <v>10392135</v>
      </c>
      <c r="F258" t="str">
        <f t="shared" si="15"/>
        <v>Affy 1.0 ST</v>
      </c>
      <c r="G258" t="str">
        <f>"MGI:95707"</f>
        <v>MGI:95707</v>
      </c>
      <c r="H258" t="str">
        <f>"Gh"</f>
        <v>Gh</v>
      </c>
      <c r="I258" t="str">
        <f>"growth hormone"</f>
        <v>growth hormone</v>
      </c>
      <c r="J258" t="str">
        <f>"protein coding gene"</f>
        <v>protein coding gene</v>
      </c>
    </row>
    <row r="259" spans="1:10">
      <c r="A259">
        <v>10402073</v>
      </c>
      <c r="B259">
        <v>3.1814890720451698</v>
      </c>
      <c r="C259">
        <v>1.06687599313645</v>
      </c>
      <c r="E259" t="str">
        <f>"10402073"</f>
        <v>10402073</v>
      </c>
      <c r="F259" t="str">
        <f t="shared" si="15"/>
        <v>Affy 1.0 ST</v>
      </c>
      <c r="G259" t="str">
        <f>"MGI:1926017"</f>
        <v>MGI:1926017</v>
      </c>
      <c r="H259" t="str">
        <f>"2610021K21Rik"</f>
        <v>2610021K21Rik</v>
      </c>
      <c r="I259" t="str">
        <f>"RIKEN cDNA 2610021K21 gene"</f>
        <v>RIKEN cDNA 2610021K21 gene</v>
      </c>
      <c r="J259" t="str">
        <f>"protein coding gene"</f>
        <v>protein coding gene</v>
      </c>
    </row>
    <row r="260" spans="1:10">
      <c r="A260">
        <v>10402262</v>
      </c>
      <c r="B260">
        <v>3.1782400739843499</v>
      </c>
      <c r="C260">
        <v>0.84232928647740202</v>
      </c>
      <c r="E260" t="str">
        <f>"10402262"</f>
        <v>10402262</v>
      </c>
      <c r="F260" t="str">
        <f t="shared" si="15"/>
        <v>Affy 1.0 ST</v>
      </c>
      <c r="G260" t="str">
        <f>"MGI:3780871"</f>
        <v>MGI:3780871</v>
      </c>
      <c r="H260" t="str">
        <f>"Gm2701"</f>
        <v>Gm2701</v>
      </c>
      <c r="I260" t="str">
        <f>"predicted gene 2701"</f>
        <v>predicted gene 2701</v>
      </c>
      <c r="J260" t="str">
        <f>"unclassified gene"</f>
        <v>unclassified gene</v>
      </c>
    </row>
    <row r="261" spans="1:10">
      <c r="A261">
        <v>10589464</v>
      </c>
      <c r="B261">
        <v>3.1673054636191198</v>
      </c>
      <c r="C261">
        <v>1.2930866763131901</v>
      </c>
      <c r="E261" t="str">
        <f>"10589464"</f>
        <v>10589464</v>
      </c>
      <c r="F261" t="str">
        <f t="shared" si="15"/>
        <v>Affy 1.0 ST</v>
      </c>
      <c r="G261" t="str">
        <f>"MGI:3642102"</f>
        <v>MGI:3642102</v>
      </c>
      <c r="H261" t="str">
        <f>"Gm10615"</f>
        <v>Gm10615</v>
      </c>
      <c r="I261" t="str">
        <f>"predicted gene 10615"</f>
        <v>predicted gene 10615</v>
      </c>
      <c r="J261" t="str">
        <f>"protein coding gene"</f>
        <v>protein coding gene</v>
      </c>
    </row>
    <row r="262" spans="1:10">
      <c r="A262">
        <v>10500720</v>
      </c>
      <c r="B262">
        <v>3.1556851149964702</v>
      </c>
      <c r="C262">
        <v>0.73994630238199099</v>
      </c>
      <c r="E262" t="str">
        <f>"10500720"</f>
        <v>10500720</v>
      </c>
      <c r="F262" t="str">
        <f t="shared" si="15"/>
        <v>Affy 1.0 ST</v>
      </c>
      <c r="G262" t="str">
        <f>"MGI:3607704"</f>
        <v>MGI:3607704</v>
      </c>
      <c r="H262" t="str">
        <f>"Slc22a15"</f>
        <v>Slc22a15</v>
      </c>
      <c r="I262" t="s">
        <v>104</v>
      </c>
      <c r="J262" t="s">
        <v>50</v>
      </c>
    </row>
    <row r="263" spans="1:10">
      <c r="A263">
        <v>10469581</v>
      </c>
      <c r="B263">
        <v>3.1535820318994201</v>
      </c>
      <c r="C263">
        <v>0.32783755132678599</v>
      </c>
      <c r="E263" t="str">
        <f>"10469581"</f>
        <v>10469581</v>
      </c>
      <c r="F263" t="str">
        <f t="shared" si="15"/>
        <v>Affy 1.0 ST</v>
      </c>
      <c r="G263" t="str">
        <f>"MGI:95454"</f>
        <v>MGI:95454</v>
      </c>
      <c r="H263" t="str">
        <f>"Etl4"</f>
        <v>Etl4</v>
      </c>
      <c r="I263" t="str">
        <f>"enhancer trap locus 4"</f>
        <v>enhancer trap locus 4</v>
      </c>
      <c r="J263" t="str">
        <f>"protein coding gene"</f>
        <v>protein coding gene</v>
      </c>
    </row>
    <row r="264" spans="1:10">
      <c r="A264">
        <v>10352242</v>
      </c>
      <c r="B264">
        <v>3.1483789651789702</v>
      </c>
      <c r="C264">
        <v>1.20836613273739</v>
      </c>
      <c r="E264" t="str">
        <f>"10352242"</f>
        <v>10352242</v>
      </c>
      <c r="F264" t="str">
        <f t="shared" si="15"/>
        <v>Affy 1.0 ST</v>
      </c>
      <c r="G264" t="str">
        <f>"MGI:1340806"</f>
        <v>MGI:1340806</v>
      </c>
      <c r="H264" t="str">
        <f>"Parp1"</f>
        <v>Parp1</v>
      </c>
      <c r="I264" t="s">
        <v>105</v>
      </c>
      <c r="J264" t="s">
        <v>50</v>
      </c>
    </row>
    <row r="265" spans="1:10">
      <c r="A265">
        <v>10508392</v>
      </c>
      <c r="B265">
        <v>3.1456700276851102</v>
      </c>
      <c r="C265">
        <v>0.40663946684723201</v>
      </c>
      <c r="E265" t="str">
        <f>"10508392"</f>
        <v>10508392</v>
      </c>
      <c r="F265" t="str">
        <f t="shared" si="15"/>
        <v>Affy 1.0 ST</v>
      </c>
      <c r="G265" t="str">
        <f>"MGI:1922484"</f>
        <v>MGI:1922484</v>
      </c>
      <c r="H265" t="str">
        <f>"Rnf19b"</f>
        <v>Rnf19b</v>
      </c>
      <c r="I265" t="str">
        <f>"ring finger protein 19B"</f>
        <v>ring finger protein 19B</v>
      </c>
      <c r="J265" t="str">
        <f>"protein coding gene"</f>
        <v>protein coding gene</v>
      </c>
    </row>
    <row r="266" spans="1:10">
      <c r="A266">
        <v>10353524</v>
      </c>
      <c r="B266">
        <v>3.1430951452421199</v>
      </c>
      <c r="C266">
        <v>0.78845431792846599</v>
      </c>
      <c r="E266" t="str">
        <f>"10353524"</f>
        <v>10353524</v>
      </c>
      <c r="F266" t="str">
        <f t="shared" si="15"/>
        <v>Affy 1.0 ST</v>
      </c>
      <c r="G266" t="str">
        <f>"MGI:1917405"</f>
        <v>MGI:1917405</v>
      </c>
      <c r="H266" t="str">
        <f>"Ogfrl1"</f>
        <v>Ogfrl1</v>
      </c>
      <c r="I266" t="str">
        <f>"opioid growth factor receptor-like 1"</f>
        <v>opioid growth factor receptor-like 1</v>
      </c>
      <c r="J266" t="str">
        <f>"protein coding gene"</f>
        <v>protein coding gene</v>
      </c>
    </row>
    <row r="267" spans="1:10">
      <c r="A267">
        <v>10556266</v>
      </c>
      <c r="B267">
        <v>3.12388669128261</v>
      </c>
      <c r="C267">
        <v>1.6474111834426799</v>
      </c>
      <c r="E267" t="str">
        <f>"10556266"</f>
        <v>10556266</v>
      </c>
      <c r="F267" t="str">
        <f t="shared" si="15"/>
        <v>Affy 1.0 ST</v>
      </c>
      <c r="G267" t="str">
        <f>"MGI:103075"</f>
        <v>MGI:103075</v>
      </c>
      <c r="H267" t="str">
        <f>"Wee1"</f>
        <v>Wee1</v>
      </c>
      <c r="I267" t="str">
        <f>"WEE 1 homolog 1 (S. pombe)"</f>
        <v>WEE 1 homolog 1 (S. pombe)</v>
      </c>
      <c r="J267" t="str">
        <f>"protein coding gene"</f>
        <v>protein coding gene</v>
      </c>
    </row>
    <row r="268" spans="1:10">
      <c r="A268">
        <v>10594301</v>
      </c>
      <c r="B268">
        <v>3.12056258974915</v>
      </c>
      <c r="C268">
        <v>0.38047168508106799</v>
      </c>
      <c r="E268" t="str">
        <f>"10594301"</f>
        <v>10594301</v>
      </c>
      <c r="F268" t="str">
        <f t="shared" si="15"/>
        <v>Affy 1.0 ST</v>
      </c>
      <c r="G268" t="str">
        <f>"MGI:2444283"</f>
        <v>MGI:2444283</v>
      </c>
      <c r="H268" t="str">
        <f>"Coro2b"</f>
        <v>Coro2b</v>
      </c>
      <c r="I268" t="s">
        <v>24</v>
      </c>
      <c r="J268" t="s">
        <v>50</v>
      </c>
    </row>
    <row r="269" spans="1:10">
      <c r="A269">
        <v>10560190</v>
      </c>
      <c r="B269">
        <v>3.11524537938902</v>
      </c>
      <c r="C269">
        <v>0.63911960497136999</v>
      </c>
      <c r="E269" t="str">
        <f>"10560190"</f>
        <v>10560190</v>
      </c>
      <c r="F269" t="str">
        <f t="shared" si="15"/>
        <v>Affy 1.0 ST</v>
      </c>
      <c r="G269" t="str">
        <f>"MGI:2154274"</f>
        <v>MGI:2154274</v>
      </c>
      <c r="H269" t="str">
        <f>"Ehd2"</f>
        <v>Ehd2</v>
      </c>
      <c r="I269" t="str">
        <f>"EH-domain containing 2"</f>
        <v>EH-domain containing 2</v>
      </c>
      <c r="J269" t="str">
        <f>"protein coding gene"</f>
        <v>protein coding gene</v>
      </c>
    </row>
    <row r="270" spans="1:10">
      <c r="A270">
        <v>10464448</v>
      </c>
      <c r="B270">
        <v>3.1097180760032299</v>
      </c>
      <c r="C270">
        <v>0.41753603751101798</v>
      </c>
      <c r="E270" t="str">
        <f>"10464448"</f>
        <v>10464448</v>
      </c>
      <c r="F270" t="str">
        <f t="shared" si="15"/>
        <v>Affy 1.0 ST</v>
      </c>
      <c r="G270" t="str">
        <f>"MGI:3643428"</f>
        <v>MGI:3643428</v>
      </c>
      <c r="H270" t="str">
        <f>"Gm6020"</f>
        <v>Gm6020</v>
      </c>
      <c r="I270" t="str">
        <f>"predicted gene 6020"</f>
        <v>predicted gene 6020</v>
      </c>
      <c r="J270" t="str">
        <f>"pseudogene"</f>
        <v>pseudogene</v>
      </c>
    </row>
    <row r="271" spans="1:10">
      <c r="A271">
        <v>10505276</v>
      </c>
      <c r="B271">
        <v>3.0976677695624</v>
      </c>
      <c r="C271">
        <v>1.8414941745187201</v>
      </c>
      <c r="E271" t="str">
        <f>"10505276"</f>
        <v>10505276</v>
      </c>
      <c r="F271" t="str">
        <f t="shared" si="15"/>
        <v>Affy 1.0 ST</v>
      </c>
      <c r="G271" t="str">
        <f>"MGI:1333843"</f>
        <v>MGI:1333843</v>
      </c>
      <c r="H271" t="str">
        <f>"Slc31a1"</f>
        <v>Slc31a1</v>
      </c>
      <c r="I271" t="s">
        <v>25</v>
      </c>
      <c r="J271" t="s">
        <v>50</v>
      </c>
    </row>
    <row r="272" spans="1:10">
      <c r="A272">
        <v>10480087</v>
      </c>
      <c r="B272">
        <v>3.0961397242371</v>
      </c>
      <c r="C272">
        <v>0.95561633996808104</v>
      </c>
      <c r="E272" t="str">
        <f>"10480087"</f>
        <v>10480087</v>
      </c>
      <c r="F272" t="str">
        <f t="shared" si="15"/>
        <v>Affy 1.0 ST</v>
      </c>
      <c r="G272" t="str">
        <f>"MGI:3650665"</f>
        <v>MGI:3650665</v>
      </c>
      <c r="H272" t="str">
        <f>"Gm13310"</f>
        <v>Gm13310</v>
      </c>
      <c r="I272" t="str">
        <f>"predicted gene 13310"</f>
        <v>predicted gene 13310</v>
      </c>
      <c r="J272" t="str">
        <f>"pseudogene"</f>
        <v>pseudogene</v>
      </c>
    </row>
    <row r="273" spans="1:10">
      <c r="A273">
        <v>10505643</v>
      </c>
      <c r="B273">
        <v>3.0933167854490402</v>
      </c>
      <c r="C273">
        <v>1.06705131905379</v>
      </c>
      <c r="E273" t="str">
        <f>"10505643"</f>
        <v>10505643</v>
      </c>
      <c r="F273" t="str">
        <f t="shared" si="15"/>
        <v>Affy 1.0 ST</v>
      </c>
      <c r="G273" t="str">
        <f>"MGI:1922152"</f>
        <v>MGI:1922152</v>
      </c>
      <c r="H273" t="str">
        <f>"4930473A06Rik"</f>
        <v>4930473A06Rik</v>
      </c>
      <c r="I273" t="str">
        <f>"RIKEN cDNA 4930473A06 gene"</f>
        <v>RIKEN cDNA 4930473A06 gene</v>
      </c>
      <c r="J273" t="str">
        <f>"protein coding gene"</f>
        <v>protein coding gene</v>
      </c>
    </row>
    <row r="274" spans="1:10">
      <c r="A274">
        <v>10505163</v>
      </c>
      <c r="B274">
        <v>3.0931971743689699</v>
      </c>
      <c r="C274">
        <v>0.23797809006083501</v>
      </c>
      <c r="E274" t="str">
        <f>"10505163"</f>
        <v>10505163</v>
      </c>
      <c r="F274" t="str">
        <f t="shared" si="15"/>
        <v>Affy 1.0 ST</v>
      </c>
      <c r="G274" t="str">
        <f>"MGI:3510405"</f>
        <v>MGI:3510405</v>
      </c>
      <c r="H274" t="str">
        <f>"Zkscan16"</f>
        <v>Zkscan16</v>
      </c>
      <c r="I274" t="str">
        <f>"zinc finger with KRAB and SCAN domains 16"</f>
        <v>zinc finger with KRAB and SCAN domains 16</v>
      </c>
      <c r="J274" t="str">
        <f>"protein coding gene"</f>
        <v>protein coding gene</v>
      </c>
    </row>
    <row r="275" spans="1:10">
      <c r="A275">
        <v>10520362</v>
      </c>
      <c r="B275">
        <v>3.0862593275243499</v>
      </c>
      <c r="C275">
        <v>0.53988136506751505</v>
      </c>
      <c r="E275" t="str">
        <f>"10520362"</f>
        <v>10520362</v>
      </c>
      <c r="F275" t="str">
        <f t="shared" si="15"/>
        <v>Affy 1.0 ST</v>
      </c>
      <c r="G275" t="str">
        <f>"MGI:1916289"</f>
        <v>MGI:1916289</v>
      </c>
      <c r="H275" t="str">
        <f>"Insig1"</f>
        <v>Insig1</v>
      </c>
      <c r="I275" t="str">
        <f>"insulin induced gene 1"</f>
        <v>insulin induced gene 1</v>
      </c>
      <c r="J275" t="str">
        <f>"protein coding gene"</f>
        <v>protein coding gene</v>
      </c>
    </row>
    <row r="276" spans="1:10">
      <c r="A276">
        <v>10411751</v>
      </c>
      <c r="B276">
        <v>3.0833213912876301</v>
      </c>
      <c r="C276">
        <v>1.17688243827753</v>
      </c>
      <c r="E276" t="str">
        <f>"10411751"</f>
        <v>10411751</v>
      </c>
      <c r="F276" t="str">
        <f t="shared" si="15"/>
        <v>Affy 1.0 ST</v>
      </c>
      <c r="G276" t="str">
        <f>"MGI:1916298"</f>
        <v>MGI:1916298</v>
      </c>
      <c r="H276" t="str">
        <f>"Slc30a5"</f>
        <v>Slc30a5</v>
      </c>
      <c r="I276" t="s">
        <v>26</v>
      </c>
      <c r="J276" t="s">
        <v>50</v>
      </c>
    </row>
    <row r="277" spans="1:10">
      <c r="A277">
        <v>10356461</v>
      </c>
      <c r="B277">
        <v>3.0825780551211102</v>
      </c>
      <c r="C277">
        <v>1.3863326110277701</v>
      </c>
      <c r="E277" t="str">
        <f>"10356461"</f>
        <v>10356461</v>
      </c>
      <c r="F277" t="str">
        <f t="shared" si="15"/>
        <v>Affy 1.0 ST</v>
      </c>
      <c r="G277" t="str">
        <f>"MGI:2685821"</f>
        <v>MGI:2685821</v>
      </c>
      <c r="H277" t="str">
        <f>"Hjurp"</f>
        <v>Hjurp</v>
      </c>
      <c r="I277" t="str">
        <f>"Holliday junction recognition protein"</f>
        <v>Holliday junction recognition protein</v>
      </c>
      <c r="J277" t="str">
        <f t="shared" ref="J277:J282" si="16">"protein coding gene"</f>
        <v>protein coding gene</v>
      </c>
    </row>
    <row r="278" spans="1:10">
      <c r="A278">
        <v>10359948</v>
      </c>
      <c r="B278">
        <v>3.0774031158648398</v>
      </c>
      <c r="C278">
        <v>0.57577863842504395</v>
      </c>
      <c r="E278" t="str">
        <f>"10359948"</f>
        <v>10359948</v>
      </c>
      <c r="F278" t="str">
        <f t="shared" si="15"/>
        <v>Affy 1.0 ST</v>
      </c>
      <c r="G278" t="str">
        <f>"MGI:1334459"</f>
        <v>MGI:1334459</v>
      </c>
      <c r="H278" t="str">
        <f>"Uap1"</f>
        <v>Uap1</v>
      </c>
      <c r="I278" t="str">
        <f>"UDP-N-acetylglucosamine pyrophosphorylase 1"</f>
        <v>UDP-N-acetylglucosamine pyrophosphorylase 1</v>
      </c>
      <c r="J278" t="str">
        <f t="shared" si="16"/>
        <v>protein coding gene</v>
      </c>
    </row>
    <row r="279" spans="1:10">
      <c r="A279">
        <v>10502510</v>
      </c>
      <c r="B279">
        <v>3.0496191229019902</v>
      </c>
      <c r="C279">
        <v>0.36141433706304898</v>
      </c>
      <c r="E279" t="str">
        <f>"10502510"</f>
        <v>10502510</v>
      </c>
      <c r="F279" t="str">
        <f t="shared" si="15"/>
        <v>Affy 1.0 ST</v>
      </c>
      <c r="G279" t="str">
        <f>"MGI:109360"</f>
        <v>MGI:109360</v>
      </c>
      <c r="H279" t="str">
        <f>"Lmo4"</f>
        <v>Lmo4</v>
      </c>
      <c r="I279" t="str">
        <f>"LIM domain only 4"</f>
        <v>LIM domain only 4</v>
      </c>
      <c r="J279" t="str">
        <f t="shared" si="16"/>
        <v>protein coding gene</v>
      </c>
    </row>
    <row r="280" spans="1:10">
      <c r="A280">
        <v>10397818</v>
      </c>
      <c r="B280">
        <v>3.0432275768317498</v>
      </c>
      <c r="C280">
        <v>1.05379618564049</v>
      </c>
      <c r="E280" t="str">
        <f>"10397818"</f>
        <v>10397818</v>
      </c>
      <c r="F280" t="str">
        <f t="shared" si="15"/>
        <v>Affy 1.0 ST</v>
      </c>
      <c r="G280" t="str">
        <f>"MGI:1861601"</f>
        <v>MGI:1861601</v>
      </c>
      <c r="H280" t="str">
        <f>"Cpsf2"</f>
        <v>Cpsf2</v>
      </c>
      <c r="I280" t="str">
        <f>"cleavage and polyadenylation specific factor 2"</f>
        <v>cleavage and polyadenylation specific factor 2</v>
      </c>
      <c r="J280" t="str">
        <f t="shared" si="16"/>
        <v>protein coding gene</v>
      </c>
    </row>
    <row r="281" spans="1:10">
      <c r="A281">
        <v>10535979</v>
      </c>
      <c r="B281">
        <v>3.0225010719114902</v>
      </c>
      <c r="C281">
        <v>1.58649678292676</v>
      </c>
      <c r="E281" t="str">
        <f>"10535979"</f>
        <v>10535979</v>
      </c>
      <c r="F281" t="str">
        <f t="shared" si="15"/>
        <v>Affy 1.0 ST</v>
      </c>
      <c r="G281" t="str">
        <f>"MGI:1916513"</f>
        <v>MGI:1916513</v>
      </c>
      <c r="H281" t="str">
        <f>"Rfc3"</f>
        <v>Rfc3</v>
      </c>
      <c r="I281" t="str">
        <f>"replication factor C (activator 1) 3"</f>
        <v>replication factor C (activator 1) 3</v>
      </c>
      <c r="J281" t="str">
        <f t="shared" si="16"/>
        <v>protein coding gene</v>
      </c>
    </row>
    <row r="282" spans="1:10">
      <c r="A282">
        <v>10450501</v>
      </c>
      <c r="B282">
        <v>2.99455542919373</v>
      </c>
      <c r="C282">
        <v>1.0522318402297099</v>
      </c>
      <c r="E282" t="str">
        <f>"10450501"</f>
        <v>10450501</v>
      </c>
      <c r="F282" t="str">
        <f t="shared" si="15"/>
        <v>Affy 1.0 ST</v>
      </c>
      <c r="G282" t="str">
        <f>"MGI:104798"</f>
        <v>MGI:104798</v>
      </c>
      <c r="H282" t="str">
        <f>"Tnf"</f>
        <v>Tnf</v>
      </c>
      <c r="I282" t="str">
        <f>"tumor necrosis factor"</f>
        <v>tumor necrosis factor</v>
      </c>
      <c r="J282" t="str">
        <f t="shared" si="16"/>
        <v>protein coding gene</v>
      </c>
    </row>
    <row r="283" spans="1:10">
      <c r="A283">
        <v>10340514</v>
      </c>
      <c r="B283">
        <v>2.9938430284240898</v>
      </c>
      <c r="C283">
        <v>0.81239303481174296</v>
      </c>
      <c r="E283" t="str">
        <f>"10340514"</f>
        <v>10340514</v>
      </c>
      <c r="F283" t="str">
        <f>""</f>
        <v/>
      </c>
      <c r="G283" t="str">
        <f>"No associated gene"</f>
        <v>No associated gene</v>
      </c>
    </row>
    <row r="284" spans="1:10">
      <c r="A284">
        <v>10367634</v>
      </c>
      <c r="B284">
        <v>2.9926353110578199</v>
      </c>
      <c r="C284">
        <v>0.82313253799199304</v>
      </c>
      <c r="E284" t="str">
        <f>"10367634"</f>
        <v>10367634</v>
      </c>
      <c r="F284" t="str">
        <f t="shared" ref="F284:F301" si="17">"Affy 1.0 ST"</f>
        <v>Affy 1.0 ST</v>
      </c>
      <c r="G284" t="str">
        <f>"MGI:1932576"</f>
        <v>MGI:1932576</v>
      </c>
      <c r="H284" t="str">
        <f>"Akap12"</f>
        <v>Akap12</v>
      </c>
      <c r="I284" t="str">
        <f>"A kinase (PRKA) anchor protein (gravin) 12"</f>
        <v>A kinase (PRKA) anchor protein (gravin) 12</v>
      </c>
      <c r="J284" t="str">
        <f>"protein coding gene"</f>
        <v>protein coding gene</v>
      </c>
    </row>
    <row r="285" spans="1:10">
      <c r="A285">
        <v>10437698</v>
      </c>
      <c r="B285">
        <v>2.98144235936936</v>
      </c>
      <c r="C285">
        <v>2.8769782449319398E-2</v>
      </c>
      <c r="E285" t="str">
        <f>"10437698"</f>
        <v>10437698</v>
      </c>
      <c r="F285" t="str">
        <f t="shared" si="17"/>
        <v>Affy 1.0 ST</v>
      </c>
      <c r="G285" t="str">
        <f>"MGI:1923620"</f>
        <v>MGI:1923620</v>
      </c>
      <c r="H285" t="str">
        <f>"Txndc11"</f>
        <v>Txndc11</v>
      </c>
      <c r="I285" t="str">
        <f>"thioredoxin domain containing 11"</f>
        <v>thioredoxin domain containing 11</v>
      </c>
      <c r="J285" t="str">
        <f>"protein coding gene"</f>
        <v>protein coding gene</v>
      </c>
    </row>
    <row r="286" spans="1:10">
      <c r="A286">
        <v>10592802</v>
      </c>
      <c r="B286">
        <v>2.97848977712929</v>
      </c>
      <c r="C286">
        <v>0.405923953523668</v>
      </c>
      <c r="E286" t="str">
        <f>"10592802"</f>
        <v>10592802</v>
      </c>
      <c r="F286" t="str">
        <f t="shared" si="17"/>
        <v>Affy 1.0 ST</v>
      </c>
      <c r="G286" t="str">
        <f>"MGI:1919014"</f>
        <v>MGI:1919014</v>
      </c>
      <c r="H286" t="str">
        <f>"C2cd2l"</f>
        <v>C2cd2l</v>
      </c>
      <c r="I286" t="str">
        <f>"C2 calcium-dependent domain containing 2-like"</f>
        <v>C2 calcium-dependent domain containing 2-like</v>
      </c>
      <c r="J286" t="str">
        <f>"protein coding gene"</f>
        <v>protein coding gene</v>
      </c>
    </row>
    <row r="287" spans="1:10">
      <c r="A287">
        <v>10369252</v>
      </c>
      <c r="B287">
        <v>2.9753381433069701</v>
      </c>
      <c r="C287">
        <v>0.68066277878438297</v>
      </c>
      <c r="E287" t="str">
        <f>"10369252"</f>
        <v>10369252</v>
      </c>
      <c r="F287" t="str">
        <f t="shared" si="17"/>
        <v>Affy 1.0 ST</v>
      </c>
      <c r="G287" t="str">
        <f>"MGI:1918110"</f>
        <v>MGI:1918110</v>
      </c>
      <c r="H287" t="str">
        <f>"Sept10"</f>
        <v>Sept10</v>
      </c>
      <c r="I287" t="str">
        <f>"septin 10"</f>
        <v>septin 10</v>
      </c>
      <c r="J287" t="str">
        <f>"protein coding gene"</f>
        <v>protein coding gene</v>
      </c>
    </row>
    <row r="288" spans="1:10">
      <c r="A288">
        <v>10511881</v>
      </c>
      <c r="B288">
        <v>2.9651642076250702</v>
      </c>
      <c r="C288">
        <v>1.1399257578605899</v>
      </c>
      <c r="E288" t="str">
        <f>"10511881"</f>
        <v>10511881</v>
      </c>
      <c r="F288" t="str">
        <f t="shared" si="17"/>
        <v>Affy 1.0 ST</v>
      </c>
      <c r="G288" t="str">
        <f>"MGI:2444484"</f>
        <v>MGI:2444484</v>
      </c>
      <c r="H288" t="str">
        <f>"Manea"</f>
        <v>Manea</v>
      </c>
      <c r="I288" t="s">
        <v>27</v>
      </c>
      <c r="J288" t="s">
        <v>50</v>
      </c>
    </row>
    <row r="289" spans="1:10">
      <c r="A289">
        <v>10478196</v>
      </c>
      <c r="B289">
        <v>2.9562160435970299</v>
      </c>
      <c r="C289">
        <v>0.86379372756742601</v>
      </c>
      <c r="E289" t="str">
        <f>"10478196"</f>
        <v>10478196</v>
      </c>
      <c r="F289" t="str">
        <f t="shared" si="17"/>
        <v>Affy 1.0 ST</v>
      </c>
      <c r="G289" t="str">
        <f>"MGI:98788"</f>
        <v>MGI:98788</v>
      </c>
      <c r="H289" t="str">
        <f>"Top1"</f>
        <v>Top1</v>
      </c>
      <c r="I289" t="str">
        <f>"topoisomerase (DNA) I"</f>
        <v>topoisomerase (DNA) I</v>
      </c>
      <c r="J289" t="str">
        <f t="shared" ref="J289:J295" si="18">"protein coding gene"</f>
        <v>protein coding gene</v>
      </c>
    </row>
    <row r="290" spans="1:10">
      <c r="A290">
        <v>10438445</v>
      </c>
      <c r="B290">
        <v>2.94881648954805</v>
      </c>
      <c r="C290">
        <v>1.0044978256569399</v>
      </c>
      <c r="E290" t="str">
        <f>"10438445"</f>
        <v>10438445</v>
      </c>
      <c r="F290" t="str">
        <f t="shared" si="17"/>
        <v>Affy 1.0 ST</v>
      </c>
      <c r="G290" t="str">
        <f>"MGI:2686922"</f>
        <v>MGI:2686922</v>
      </c>
      <c r="H290" t="str">
        <f>"Klhl6"</f>
        <v>Klhl6</v>
      </c>
      <c r="I290" t="str">
        <f>"kelch-like 6 (Drosophila)"</f>
        <v>kelch-like 6 (Drosophila)</v>
      </c>
      <c r="J290" t="str">
        <f t="shared" si="18"/>
        <v>protein coding gene</v>
      </c>
    </row>
    <row r="291" spans="1:10">
      <c r="A291">
        <v>10452508</v>
      </c>
      <c r="B291">
        <v>2.94645557830742</v>
      </c>
      <c r="C291">
        <v>0.60190398116948296</v>
      </c>
      <c r="E291" t="str">
        <f>"10452508"</f>
        <v>10452508</v>
      </c>
      <c r="F291" t="str">
        <f t="shared" si="17"/>
        <v>Affy 1.0 ST</v>
      </c>
      <c r="G291" t="str">
        <f>"MGI:2137520"</f>
        <v>MGI:2137520</v>
      </c>
      <c r="H291" t="str">
        <f>"Twsg1"</f>
        <v>Twsg1</v>
      </c>
      <c r="I291" t="str">
        <f>"twisted gastrulation homolog 1 (Drosophila)"</f>
        <v>twisted gastrulation homolog 1 (Drosophila)</v>
      </c>
      <c r="J291" t="str">
        <f t="shared" si="18"/>
        <v>protein coding gene</v>
      </c>
    </row>
    <row r="292" spans="1:10">
      <c r="A292">
        <v>10381809</v>
      </c>
      <c r="B292">
        <v>2.9375402745264401</v>
      </c>
      <c r="C292">
        <v>0.60659658278975104</v>
      </c>
      <c r="E292" t="str">
        <f>"10381809"</f>
        <v>10381809</v>
      </c>
      <c r="F292" t="str">
        <f t="shared" si="17"/>
        <v>Affy 1.0 ST</v>
      </c>
      <c r="G292" t="str">
        <f>"MGI:96612"</f>
        <v>MGI:96612</v>
      </c>
      <c r="H292" t="str">
        <f>"Itgb3"</f>
        <v>Itgb3</v>
      </c>
      <c r="I292" t="str">
        <f>"integrin beta 3"</f>
        <v>integrin beta 3</v>
      </c>
      <c r="J292" t="str">
        <f t="shared" si="18"/>
        <v>protein coding gene</v>
      </c>
    </row>
    <row r="293" spans="1:10">
      <c r="A293">
        <v>10412909</v>
      </c>
      <c r="B293">
        <v>2.9342730576799401</v>
      </c>
      <c r="C293">
        <v>1.2431746508858801</v>
      </c>
      <c r="E293" t="str">
        <f>"10412909"</f>
        <v>10412909</v>
      </c>
      <c r="F293" t="str">
        <f t="shared" si="17"/>
        <v>Affy 1.0 ST</v>
      </c>
      <c r="G293" t="str">
        <f>"MGI:102706"</f>
        <v>MGI:102706</v>
      </c>
      <c r="H293" t="str">
        <f>"Fdft1"</f>
        <v>Fdft1</v>
      </c>
      <c r="I293" t="str">
        <f>"farnesyl diphosphate farnesyl transferase 1"</f>
        <v>farnesyl diphosphate farnesyl transferase 1</v>
      </c>
      <c r="J293" t="str">
        <f t="shared" si="18"/>
        <v>protein coding gene</v>
      </c>
    </row>
    <row r="294" spans="1:10">
      <c r="A294">
        <v>10396652</v>
      </c>
      <c r="B294">
        <v>2.9270341136606</v>
      </c>
      <c r="C294">
        <v>0.53524990342750001</v>
      </c>
      <c r="E294" t="str">
        <f>"10396652"</f>
        <v>10396652</v>
      </c>
      <c r="F294" t="str">
        <f t="shared" si="17"/>
        <v>Affy 1.0 ST</v>
      </c>
      <c r="G294" t="str">
        <f>"MGI:96243"</f>
        <v>MGI:96243</v>
      </c>
      <c r="H294" t="str">
        <f>"Hspa2"</f>
        <v>Hspa2</v>
      </c>
      <c r="I294" t="str">
        <f>"heat shock protein 2"</f>
        <v>heat shock protein 2</v>
      </c>
      <c r="J294" t="str">
        <f t="shared" si="18"/>
        <v>protein coding gene</v>
      </c>
    </row>
    <row r="295" spans="1:10">
      <c r="A295">
        <v>10505747</v>
      </c>
      <c r="B295">
        <v>2.9242984279017801</v>
      </c>
      <c r="C295">
        <v>1.5998255533230401</v>
      </c>
      <c r="E295" t="str">
        <f>"10505747"</f>
        <v>10505747</v>
      </c>
      <c r="F295" t="str">
        <f t="shared" si="17"/>
        <v>Affy 1.0 ST</v>
      </c>
      <c r="G295" t="str">
        <f>"MGI:1915691"</f>
        <v>MGI:1915691</v>
      </c>
      <c r="H295" t="str">
        <f>"Rraga"</f>
        <v>Rraga</v>
      </c>
      <c r="I295" t="str">
        <f>"Ras-related GTP binding A"</f>
        <v>Ras-related GTP binding A</v>
      </c>
      <c r="J295" t="str">
        <f t="shared" si="18"/>
        <v>protein coding gene</v>
      </c>
    </row>
    <row r="296" spans="1:10">
      <c r="A296">
        <v>10428998</v>
      </c>
      <c r="B296">
        <v>2.91199587784855</v>
      </c>
      <c r="C296">
        <v>0.96378315811401705</v>
      </c>
      <c r="E296" t="str">
        <f>"10428998"</f>
        <v>10428998</v>
      </c>
      <c r="F296" t="str">
        <f t="shared" si="17"/>
        <v>Affy 1.0 ST</v>
      </c>
      <c r="G296" t="str">
        <f>"MGI:1342335"</f>
        <v>MGI:1342335</v>
      </c>
      <c r="H296" t="str">
        <f>"Asap1"</f>
        <v>Asap1</v>
      </c>
      <c r="I296" t="s">
        <v>28</v>
      </c>
      <c r="J296" t="s">
        <v>50</v>
      </c>
    </row>
    <row r="297" spans="1:10">
      <c r="A297">
        <v>10363379</v>
      </c>
      <c r="B297">
        <v>2.9110053334884198</v>
      </c>
      <c r="C297">
        <v>0.97225698576747199</v>
      </c>
      <c r="E297" t="str">
        <f>"10363379"</f>
        <v>10363379</v>
      </c>
      <c r="F297" t="str">
        <f t="shared" si="17"/>
        <v>Affy 1.0 ST</v>
      </c>
      <c r="G297" t="str">
        <f>"MGI:2384909"</f>
        <v>MGI:2384909</v>
      </c>
      <c r="H297" t="str">
        <f>"Cbara1"</f>
        <v>Cbara1</v>
      </c>
      <c r="I297" t="str">
        <f>"calcium binding atopy-related autoantigen 1"</f>
        <v>calcium binding atopy-related autoantigen 1</v>
      </c>
      <c r="J297" t="str">
        <f>"protein coding gene"</f>
        <v>protein coding gene</v>
      </c>
    </row>
    <row r="298" spans="1:10">
      <c r="A298">
        <v>10592106</v>
      </c>
      <c r="B298">
        <v>2.9052921434802599</v>
      </c>
      <c r="C298">
        <v>0.66905034022265997</v>
      </c>
      <c r="E298" t="str">
        <f>"10592106"</f>
        <v>10592106</v>
      </c>
      <c r="F298" t="str">
        <f t="shared" si="17"/>
        <v>Affy 1.0 ST</v>
      </c>
      <c r="G298" t="str">
        <f>"MGI:2152213"</f>
        <v>MGI:2152213</v>
      </c>
      <c r="H298" t="str">
        <f>"Tirap"</f>
        <v>Tirap</v>
      </c>
      <c r="I298" t="str">
        <f>"toll-interleukin 1 receptor (TIR) domain-containing adaptor protein"</f>
        <v>toll-interleukin 1 receptor (TIR) domain-containing adaptor protein</v>
      </c>
      <c r="J298" t="str">
        <f>"protein coding gene"</f>
        <v>protein coding gene</v>
      </c>
    </row>
    <row r="299" spans="1:10">
      <c r="A299">
        <v>10472893</v>
      </c>
      <c r="B299">
        <v>2.90204377400672</v>
      </c>
      <c r="C299">
        <v>0.562225626536481</v>
      </c>
      <c r="E299" t="str">
        <f>"10472893"</f>
        <v>10472893</v>
      </c>
      <c r="F299" t="str">
        <f t="shared" si="17"/>
        <v>Affy 1.0 ST</v>
      </c>
      <c r="G299" t="str">
        <f>"MGI:2443258"</f>
        <v>MGI:2443258</v>
      </c>
      <c r="H299" t="str">
        <f>"B230120H23Rik"</f>
        <v>B230120H23Rik</v>
      </c>
      <c r="I299" t="str">
        <f>"RIKEN cDNA B230120H23 gene"</f>
        <v>RIKEN cDNA B230120H23 gene</v>
      </c>
      <c r="J299" t="str">
        <f>"protein coding gene"</f>
        <v>protein coding gene</v>
      </c>
    </row>
    <row r="300" spans="1:10">
      <c r="A300">
        <v>10429341</v>
      </c>
      <c r="B300">
        <v>2.9019281197807798</v>
      </c>
      <c r="C300">
        <v>1.12885096010735</v>
      </c>
      <c r="E300" t="str">
        <f>"10429341"</f>
        <v>10429341</v>
      </c>
      <c r="F300" t="str">
        <f t="shared" si="17"/>
        <v>Affy 1.0 ST</v>
      </c>
      <c r="G300" t="str">
        <f>"MGI:95481"</f>
        <v>MGI:95481</v>
      </c>
      <c r="H300" t="str">
        <f>"Ptk2"</f>
        <v>Ptk2</v>
      </c>
      <c r="I300" t="str">
        <f>"PTK2 protein tyrosine kinase 2"</f>
        <v>PTK2 protein tyrosine kinase 2</v>
      </c>
      <c r="J300" t="str">
        <f>"protein coding gene"</f>
        <v>protein coding gene</v>
      </c>
    </row>
    <row r="301" spans="1:10">
      <c r="A301">
        <v>10392347</v>
      </c>
      <c r="B301">
        <v>2.9004074174666501</v>
      </c>
      <c r="C301">
        <v>2.1039268001142402</v>
      </c>
      <c r="E301" t="str">
        <f>"10392347"</f>
        <v>10392347</v>
      </c>
      <c r="F301" t="str">
        <f t="shared" si="17"/>
        <v>Affy 1.0 ST</v>
      </c>
      <c r="G301" t="str">
        <f>"MGI:1919045"</f>
        <v>MGI:1919045</v>
      </c>
      <c r="H301" t="str">
        <f>"Pitpnc1"</f>
        <v>Pitpnc1</v>
      </c>
      <c r="I301" t="s">
        <v>29</v>
      </c>
      <c r="J301" t="s">
        <v>50</v>
      </c>
    </row>
    <row r="302" spans="1:10">
      <c r="A302">
        <v>10338835</v>
      </c>
      <c r="B302">
        <v>2.8971054004426802</v>
      </c>
      <c r="C302">
        <v>0.81851474394841495</v>
      </c>
      <c r="E302" t="str">
        <f>"10338835"</f>
        <v>10338835</v>
      </c>
      <c r="F302" t="str">
        <f>""</f>
        <v/>
      </c>
      <c r="G302" t="str">
        <f>"No associated gene"</f>
        <v>No associated gene</v>
      </c>
    </row>
    <row r="303" spans="1:10">
      <c r="A303">
        <v>10352166</v>
      </c>
      <c r="B303">
        <v>2.88655603539886</v>
      </c>
      <c r="C303">
        <v>0.42396759884391999</v>
      </c>
      <c r="E303" t="str">
        <f>"10352166"</f>
        <v>10352166</v>
      </c>
      <c r="F303" t="str">
        <f t="shared" ref="F303:F308" si="19">"Affy 1.0 ST"</f>
        <v>Affy 1.0 ST</v>
      </c>
      <c r="G303" t="str">
        <f>"MGI:2445141"</f>
        <v>MGI:2445141</v>
      </c>
      <c r="H303" t="str">
        <f>"Cnst"</f>
        <v>Cnst</v>
      </c>
      <c r="I303" t="s">
        <v>30</v>
      </c>
      <c r="J303" t="s">
        <v>50</v>
      </c>
    </row>
    <row r="304" spans="1:10">
      <c r="A304">
        <v>10544610</v>
      </c>
      <c r="B304">
        <v>2.8850466680447902</v>
      </c>
      <c r="C304">
        <v>1.20319916984191</v>
      </c>
      <c r="E304" t="str">
        <f>"10544610"</f>
        <v>10544610</v>
      </c>
      <c r="F304" t="str">
        <f t="shared" si="19"/>
        <v>Affy 1.0 ST</v>
      </c>
      <c r="G304" t="str">
        <f>"MGI:1890359"</f>
        <v>MGI:1890359</v>
      </c>
      <c r="H304" t="str">
        <f>"Igf2bp3"</f>
        <v>Igf2bp3</v>
      </c>
      <c r="I304" t="str">
        <f>"insulin-like growth factor 2 mRNA binding protein 3"</f>
        <v>insulin-like growth factor 2 mRNA binding protein 3</v>
      </c>
      <c r="J304" t="str">
        <f>"protein coding gene"</f>
        <v>protein coding gene</v>
      </c>
    </row>
    <row r="305" spans="1:10">
      <c r="A305">
        <v>10396640</v>
      </c>
      <c r="B305">
        <v>2.8694960612686198</v>
      </c>
      <c r="C305">
        <v>1.1010546165841999</v>
      </c>
      <c r="E305" t="str">
        <f>"10396640"</f>
        <v>10396640</v>
      </c>
      <c r="F305" t="str">
        <f t="shared" si="19"/>
        <v>Affy 1.0 ST</v>
      </c>
      <c r="G305" t="str">
        <f>"MGI:2685104"</f>
        <v>MGI:2685104</v>
      </c>
      <c r="H305" t="str">
        <f>"Akap5"</f>
        <v>Akap5</v>
      </c>
      <c r="I305" t="str">
        <f>"A kinase (PRKA) anchor protein 5"</f>
        <v>A kinase (PRKA) anchor protein 5</v>
      </c>
      <c r="J305" t="str">
        <f>"protein coding gene"</f>
        <v>protein coding gene</v>
      </c>
    </row>
    <row r="306" spans="1:10">
      <c r="A306">
        <v>10446656</v>
      </c>
      <c r="B306">
        <v>2.8611220025956099</v>
      </c>
      <c r="C306">
        <v>0.33546990660866499</v>
      </c>
      <c r="E306" t="str">
        <f>"10446656"</f>
        <v>10446656</v>
      </c>
      <c r="F306" t="str">
        <f t="shared" si="19"/>
        <v>Affy 1.0 ST</v>
      </c>
      <c r="G306" t="str">
        <f>"MGI:1891341"</f>
        <v>MGI:1891341</v>
      </c>
      <c r="H306" t="str">
        <f>"Lpin2"</f>
        <v>Lpin2</v>
      </c>
      <c r="I306" t="str">
        <f>"lipin 2"</f>
        <v>lipin 2</v>
      </c>
      <c r="J306" t="str">
        <f>"protein coding gene"</f>
        <v>protein coding gene</v>
      </c>
    </row>
    <row r="307" spans="1:10">
      <c r="A307">
        <v>10536593</v>
      </c>
      <c r="B307">
        <v>2.8520560136011999</v>
      </c>
      <c r="C307">
        <v>0.140192092994676</v>
      </c>
      <c r="E307" t="str">
        <f>"10536593"</f>
        <v>10536593</v>
      </c>
      <c r="F307" t="str">
        <f t="shared" si="19"/>
        <v>Affy 1.0 ST</v>
      </c>
      <c r="G307" t="str">
        <f>"MGI:1913887"</f>
        <v>MGI:1913887</v>
      </c>
      <c r="H307" t="str">
        <f>"Tsen15"</f>
        <v>Tsen15</v>
      </c>
      <c r="I307" t="str">
        <f>"tRNA splicing endonuclease 15 homolog (S. cerevisiae)"</f>
        <v>tRNA splicing endonuclease 15 homolog (S. cerevisiae)</v>
      </c>
      <c r="J307" t="str">
        <f>"protein coding gene"</f>
        <v>protein coding gene</v>
      </c>
    </row>
    <row r="308" spans="1:10">
      <c r="A308">
        <v>10540952</v>
      </c>
      <c r="B308">
        <v>2.8439911144791599</v>
      </c>
      <c r="C308">
        <v>0.42688070329209898</v>
      </c>
      <c r="E308" t="str">
        <f>"10540952"</f>
        <v>10540952</v>
      </c>
      <c r="F308" t="str">
        <f t="shared" si="19"/>
        <v>Affy 1.0 ST</v>
      </c>
      <c r="G308" t="str">
        <f>"MGI:1932386"</f>
        <v>MGI:1932386</v>
      </c>
      <c r="H308" t="str">
        <f>"Ift122"</f>
        <v>Ift122</v>
      </c>
      <c r="I308" t="str">
        <f>"intraflagellar transport 122 homolog (Chlamydomonas)"</f>
        <v>intraflagellar transport 122 homolog (Chlamydomonas)</v>
      </c>
      <c r="J308" t="str">
        <f>"protein coding gene"</f>
        <v>protein coding gene</v>
      </c>
    </row>
    <row r="309" spans="1:10">
      <c r="A309">
        <v>10504054</v>
      </c>
      <c r="B309">
        <v>2.8426953563462098</v>
      </c>
      <c r="C309">
        <v>0.46737498871871602</v>
      </c>
      <c r="E309" t="str">
        <f>"10504054"</f>
        <v>10504054</v>
      </c>
      <c r="F309" t="str">
        <f>""</f>
        <v/>
      </c>
      <c r="G309" t="str">
        <f>"No associated gene"</f>
        <v>No associated gene</v>
      </c>
    </row>
    <row r="310" spans="1:10">
      <c r="A310">
        <v>10416533</v>
      </c>
      <c r="B310">
        <v>2.8386289808043701</v>
      </c>
      <c r="C310">
        <v>0.73577467794727403</v>
      </c>
      <c r="E310" t="str">
        <f>"10416533"</f>
        <v>10416533</v>
      </c>
      <c r="F310" t="str">
        <f>"Affy 1.0 ST"</f>
        <v>Affy 1.0 ST</v>
      </c>
      <c r="G310" t="str">
        <f>"MGI:1918358"</f>
        <v>MGI:1918358</v>
      </c>
      <c r="H310" t="str">
        <f>"Ccdc122"</f>
        <v>Ccdc122</v>
      </c>
      <c r="I310" t="str">
        <f>"coiled-coil domain containing 122"</f>
        <v>coiled-coil domain containing 122</v>
      </c>
      <c r="J310" t="str">
        <f>"protein coding gene"</f>
        <v>protein coding gene</v>
      </c>
    </row>
    <row r="311" spans="1:10">
      <c r="A311">
        <v>10598018</v>
      </c>
      <c r="B311">
        <v>2.83858960168457</v>
      </c>
      <c r="C311">
        <v>0.64316555535442899</v>
      </c>
      <c r="E311" t="str">
        <f>"10598018"</f>
        <v>10598018</v>
      </c>
      <c r="F311" t="str">
        <f>""</f>
        <v/>
      </c>
      <c r="G311" t="str">
        <f>"No associated gene"</f>
        <v>No associated gene</v>
      </c>
    </row>
    <row r="312" spans="1:10">
      <c r="A312">
        <v>10608671</v>
      </c>
      <c r="B312">
        <v>2.8364101150451599</v>
      </c>
      <c r="C312">
        <v>1.1773427216593699</v>
      </c>
      <c r="E312" t="str">
        <f>"10608671"</f>
        <v>10608671</v>
      </c>
      <c r="F312" t="str">
        <f>""</f>
        <v/>
      </c>
      <c r="G312" t="str">
        <f>"No associated gene"</f>
        <v>No associated gene</v>
      </c>
    </row>
    <row r="313" spans="1:10">
      <c r="A313">
        <v>10533446</v>
      </c>
      <c r="B313">
        <v>2.8355814355711999</v>
      </c>
      <c r="C313">
        <v>4.7350434744041901E-2</v>
      </c>
      <c r="E313" t="str">
        <f>"10533446"</f>
        <v>10533446</v>
      </c>
      <c r="F313" t="str">
        <f>"Affy 1.0 ST"</f>
        <v>Affy 1.0 ST</v>
      </c>
      <c r="G313" t="str">
        <f>"MGI:3603820"</f>
        <v>MGI:3603820</v>
      </c>
      <c r="H313" t="str">
        <f>"Tctn1"</f>
        <v>Tctn1</v>
      </c>
      <c r="I313" t="str">
        <f>"tectonic family member 1"</f>
        <v>tectonic family member 1</v>
      </c>
      <c r="J313" t="str">
        <f>"protein coding gene"</f>
        <v>protein coding gene</v>
      </c>
    </row>
    <row r="314" spans="1:10">
      <c r="A314">
        <v>10553859</v>
      </c>
      <c r="B314">
        <v>2.8337923646849901</v>
      </c>
      <c r="C314">
        <v>1.3638369216764401</v>
      </c>
      <c r="E314" t="str">
        <f>"10553859"</f>
        <v>10553859</v>
      </c>
      <c r="F314" t="str">
        <f>""</f>
        <v/>
      </c>
      <c r="G314" t="str">
        <f>"No associated gene"</f>
        <v>No associated gene</v>
      </c>
    </row>
    <row r="315" spans="1:10">
      <c r="A315">
        <v>10555174</v>
      </c>
      <c r="B315">
        <v>2.8311434224101899</v>
      </c>
      <c r="C315">
        <v>0.31934716443101502</v>
      </c>
      <c r="E315" t="str">
        <f>"10555174"</f>
        <v>10555174</v>
      </c>
      <c r="F315" t="str">
        <f t="shared" ref="F315:F354" si="20">"Affy 1.0 ST"</f>
        <v>Affy 1.0 ST</v>
      </c>
      <c r="G315" t="str">
        <f>"MGI:93882"</f>
        <v>MGI:93882</v>
      </c>
      <c r="H315" t="str">
        <f>"Lrrc32"</f>
        <v>Lrrc32</v>
      </c>
      <c r="I315" t="str">
        <f>"leucine rich repeat containing 32"</f>
        <v>leucine rich repeat containing 32</v>
      </c>
      <c r="J315" t="str">
        <f t="shared" ref="J315:J327" si="21">"protein coding gene"</f>
        <v>protein coding gene</v>
      </c>
    </row>
    <row r="316" spans="1:10">
      <c r="A316">
        <v>10407420</v>
      </c>
      <c r="B316">
        <v>2.8165674836597501</v>
      </c>
      <c r="C316">
        <v>0.95727897711371401</v>
      </c>
      <c r="E316" t="str">
        <f>"10407420"</f>
        <v>10407420</v>
      </c>
      <c r="F316" t="str">
        <f t="shared" si="20"/>
        <v>Affy 1.0 ST</v>
      </c>
      <c r="G316" t="str">
        <f>"MGI:1927138"</f>
        <v>MGI:1927138</v>
      </c>
      <c r="H316" t="str">
        <f>"Net1"</f>
        <v>Net1</v>
      </c>
      <c r="I316" t="str">
        <f>"neuroepithelial cell transforming gene 1"</f>
        <v>neuroepithelial cell transforming gene 1</v>
      </c>
      <c r="J316" t="str">
        <f t="shared" si="21"/>
        <v>protein coding gene</v>
      </c>
    </row>
    <row r="317" spans="1:10">
      <c r="A317">
        <v>10514158</v>
      </c>
      <c r="B317">
        <v>2.8092100181914099</v>
      </c>
      <c r="C317">
        <v>1.2479115210526399</v>
      </c>
      <c r="E317" t="str">
        <f>"10514158"</f>
        <v>10514158</v>
      </c>
      <c r="F317" t="str">
        <f t="shared" si="20"/>
        <v>Affy 1.0 ST</v>
      </c>
      <c r="G317" t="str">
        <f>"MGI:2142116"</f>
        <v>MGI:2142116</v>
      </c>
      <c r="H317" t="str">
        <f>"Psip1"</f>
        <v>Psip1</v>
      </c>
      <c r="I317" t="str">
        <f>"PC4 and SFRS1 interacting protein 1"</f>
        <v>PC4 and SFRS1 interacting protein 1</v>
      </c>
      <c r="J317" t="str">
        <f t="shared" si="21"/>
        <v>protein coding gene</v>
      </c>
    </row>
    <row r="318" spans="1:10">
      <c r="A318">
        <v>10493660</v>
      </c>
      <c r="B318">
        <v>2.8085824666877799</v>
      </c>
      <c r="C318">
        <v>0.643958632995003</v>
      </c>
      <c r="E318" t="str">
        <f>"10493660"</f>
        <v>10493660</v>
      </c>
      <c r="F318" t="str">
        <f t="shared" si="20"/>
        <v>Affy 1.0 ST</v>
      </c>
      <c r="G318" t="str">
        <f>"MGI:1924845"</f>
        <v>MGI:1924845</v>
      </c>
      <c r="H318" t="str">
        <f>"Nup210l"</f>
        <v>Nup210l</v>
      </c>
      <c r="I318" t="str">
        <f>"nucleoporin 210-like"</f>
        <v>nucleoporin 210-like</v>
      </c>
      <c r="J318" t="str">
        <f t="shared" si="21"/>
        <v>protein coding gene</v>
      </c>
    </row>
    <row r="319" spans="1:10">
      <c r="A319">
        <v>10467041</v>
      </c>
      <c r="B319">
        <v>2.7952332137704401</v>
      </c>
      <c r="C319">
        <v>1.03313446806376</v>
      </c>
      <c r="E319" t="str">
        <f>"10467041"</f>
        <v>10467041</v>
      </c>
      <c r="F319" t="str">
        <f t="shared" si="20"/>
        <v>Affy 1.0 ST</v>
      </c>
      <c r="G319" t="str">
        <f>"MGI:1859310"</f>
        <v>MGI:1859310</v>
      </c>
      <c r="H319" t="str">
        <f>"Asah2"</f>
        <v>Asah2</v>
      </c>
      <c r="I319" t="str">
        <f>"N-acylsphingosine amidohydrolase 2"</f>
        <v>N-acylsphingosine amidohydrolase 2</v>
      </c>
      <c r="J319" t="str">
        <f t="shared" si="21"/>
        <v>protein coding gene</v>
      </c>
    </row>
    <row r="320" spans="1:10">
      <c r="A320">
        <v>10571312</v>
      </c>
      <c r="B320">
        <v>2.7916112555146402</v>
      </c>
      <c r="C320">
        <v>0.75138175808246599</v>
      </c>
      <c r="E320" t="str">
        <f>"10571312"</f>
        <v>10571312</v>
      </c>
      <c r="F320" t="str">
        <f t="shared" si="20"/>
        <v>Affy 1.0 ST</v>
      </c>
      <c r="G320" t="str">
        <f>"MGI:2442191"</f>
        <v>MGI:2442191</v>
      </c>
      <c r="H320" t="str">
        <f>"Dusp4"</f>
        <v>Dusp4</v>
      </c>
      <c r="I320" t="str">
        <f>"dual specificity phosphatase 4"</f>
        <v>dual specificity phosphatase 4</v>
      </c>
      <c r="J320" t="str">
        <f t="shared" si="21"/>
        <v>protein coding gene</v>
      </c>
    </row>
    <row r="321" spans="1:10">
      <c r="A321">
        <v>10386909</v>
      </c>
      <c r="B321">
        <v>2.7875418613757499</v>
      </c>
      <c r="C321">
        <v>1.1712959656563799</v>
      </c>
      <c r="E321" t="str">
        <f>"10386909"</f>
        <v>10386909</v>
      </c>
      <c r="F321" t="str">
        <f t="shared" si="20"/>
        <v>Affy 1.0 ST</v>
      </c>
      <c r="G321" t="str">
        <f>"MGI:1920389"</f>
        <v>MGI:1920389</v>
      </c>
      <c r="H321" t="str">
        <f>"Cenpv"</f>
        <v>Cenpv</v>
      </c>
      <c r="I321" t="str">
        <f>"centromere protein V"</f>
        <v>centromere protein V</v>
      </c>
      <c r="J321" t="str">
        <f t="shared" si="21"/>
        <v>protein coding gene</v>
      </c>
    </row>
    <row r="322" spans="1:10">
      <c r="A322">
        <v>10485562</v>
      </c>
      <c r="B322">
        <v>2.78340750458741</v>
      </c>
      <c r="C322">
        <v>0.42967439586084499</v>
      </c>
      <c r="E322" t="str">
        <f>"10485562"</f>
        <v>10485562</v>
      </c>
      <c r="F322" t="str">
        <f t="shared" si="20"/>
        <v>Affy 1.0 ST</v>
      </c>
      <c r="G322" t="str">
        <f>"MGI:1314882"</f>
        <v>MGI:1314882</v>
      </c>
      <c r="H322" t="str">
        <f>"Hipk3"</f>
        <v>Hipk3</v>
      </c>
      <c r="I322" t="str">
        <f>"homeodomain interacting protein kinase 3"</f>
        <v>homeodomain interacting protein kinase 3</v>
      </c>
      <c r="J322" t="str">
        <f t="shared" si="21"/>
        <v>protein coding gene</v>
      </c>
    </row>
    <row r="323" spans="1:10">
      <c r="A323">
        <v>10435149</v>
      </c>
      <c r="B323">
        <v>2.7803971042104898</v>
      </c>
      <c r="C323">
        <v>0.76863381353577698</v>
      </c>
      <c r="E323" t="str">
        <f>"10435149"</f>
        <v>10435149</v>
      </c>
      <c r="F323" t="str">
        <f t="shared" si="20"/>
        <v>Affy 1.0 ST</v>
      </c>
      <c r="G323" t="str">
        <f>"MGI:1917955"</f>
        <v>MGI:1917955</v>
      </c>
      <c r="H323" t="str">
        <f>"Fyttd1"</f>
        <v>Fyttd1</v>
      </c>
      <c r="I323" t="str">
        <f>"forty-two-three domain containing 1"</f>
        <v>forty-two-three domain containing 1</v>
      </c>
      <c r="J323" t="str">
        <f t="shared" si="21"/>
        <v>protein coding gene</v>
      </c>
    </row>
    <row r="324" spans="1:10">
      <c r="A324">
        <v>10490894</v>
      </c>
      <c r="B324">
        <v>2.7789578677698099</v>
      </c>
      <c r="C324">
        <v>0.55302513801918396</v>
      </c>
      <c r="E324" t="str">
        <f>"10490894"</f>
        <v>10490894</v>
      </c>
      <c r="F324" t="str">
        <f t="shared" si="20"/>
        <v>Affy 1.0 ST</v>
      </c>
      <c r="G324" t="str">
        <f>"MGI:105091"</f>
        <v>MGI:105091</v>
      </c>
      <c r="H324" t="str">
        <f>"E2f5"</f>
        <v>E2f5</v>
      </c>
      <c r="I324" t="str">
        <f>"E2F transcription factor 5"</f>
        <v>E2F transcription factor 5</v>
      </c>
      <c r="J324" t="str">
        <f t="shared" si="21"/>
        <v>protein coding gene</v>
      </c>
    </row>
    <row r="325" spans="1:10">
      <c r="A325">
        <v>10584634</v>
      </c>
      <c r="B325">
        <v>2.7722145050340101</v>
      </c>
      <c r="C325">
        <v>0.65625257662511205</v>
      </c>
      <c r="E325" t="str">
        <f>"10584634"</f>
        <v>10584634</v>
      </c>
      <c r="F325" t="str">
        <f t="shared" si="20"/>
        <v>Affy 1.0 ST</v>
      </c>
      <c r="G325" t="str">
        <f>"MGI:1858178"</f>
        <v>MGI:1858178</v>
      </c>
      <c r="H325" t="str">
        <f>"Usp2"</f>
        <v>Usp2</v>
      </c>
      <c r="I325" t="str">
        <f>"ubiquitin specific peptidase 2"</f>
        <v>ubiquitin specific peptidase 2</v>
      </c>
      <c r="J325" t="str">
        <f t="shared" si="21"/>
        <v>protein coding gene</v>
      </c>
    </row>
    <row r="326" spans="1:10">
      <c r="A326">
        <v>10512236</v>
      </c>
      <c r="B326">
        <v>2.7715844387469302</v>
      </c>
      <c r="C326">
        <v>0.84120222487080998</v>
      </c>
      <c r="E326" t="str">
        <f>"10512236"</f>
        <v>10512236</v>
      </c>
      <c r="F326" t="str">
        <f t="shared" si="20"/>
        <v>Affy 1.0 ST</v>
      </c>
      <c r="G326" t="str">
        <f>"MGI:1918345"</f>
        <v>MGI:1918345</v>
      </c>
      <c r="H326" t="str">
        <f>"Kif24"</f>
        <v>Kif24</v>
      </c>
      <c r="I326" t="str">
        <f>"kinesin family member 24"</f>
        <v>kinesin family member 24</v>
      </c>
      <c r="J326" t="str">
        <f t="shared" si="21"/>
        <v>protein coding gene</v>
      </c>
    </row>
    <row r="327" spans="1:10">
      <c r="A327">
        <v>10578763</v>
      </c>
      <c r="B327">
        <v>2.76880760585935</v>
      </c>
      <c r="C327">
        <v>0.66600560359158001</v>
      </c>
      <c r="E327" t="str">
        <f>"10578763"</f>
        <v>10578763</v>
      </c>
      <c r="F327" t="str">
        <f t="shared" si="20"/>
        <v>Affy 1.0 ST</v>
      </c>
      <c r="G327" t="str">
        <f>"MGI:1929129"</f>
        <v>MGI:1929129</v>
      </c>
      <c r="H327" t="str">
        <f>"Sap30"</f>
        <v>Sap30</v>
      </c>
      <c r="I327" t="str">
        <f>"sin3 associated polypeptide"</f>
        <v>sin3 associated polypeptide</v>
      </c>
      <c r="J327" t="str">
        <f t="shared" si="21"/>
        <v>protein coding gene</v>
      </c>
    </row>
    <row r="328" spans="1:10">
      <c r="A328">
        <v>10605766</v>
      </c>
      <c r="B328">
        <v>2.7649316736888698</v>
      </c>
      <c r="C328">
        <v>0.44504054678925498</v>
      </c>
      <c r="E328" t="str">
        <f>"10605766"</f>
        <v>10605766</v>
      </c>
      <c r="F328" t="str">
        <f t="shared" si="20"/>
        <v>Affy 1.0 ST</v>
      </c>
      <c r="G328" t="str">
        <f>"MGI:1930187"</f>
        <v>MGI:1930187</v>
      </c>
      <c r="H328" t="str">
        <f>"Maged1"</f>
        <v>Maged1</v>
      </c>
      <c r="I328" t="s">
        <v>31</v>
      </c>
      <c r="J328" t="s">
        <v>50</v>
      </c>
    </row>
    <row r="329" spans="1:10">
      <c r="A329">
        <v>10485466</v>
      </c>
      <c r="B329">
        <v>2.76450933532736</v>
      </c>
      <c r="C329">
        <v>1.4094920855555</v>
      </c>
      <c r="E329" t="str">
        <f>"10485466"</f>
        <v>10485466</v>
      </c>
      <c r="F329" t="str">
        <f t="shared" si="20"/>
        <v>Affy 1.0 ST</v>
      </c>
      <c r="G329" t="str">
        <f>"MGI:88271"</f>
        <v>MGI:88271</v>
      </c>
      <c r="H329" t="str">
        <f>"Cat"</f>
        <v>Cat</v>
      </c>
      <c r="I329" t="str">
        <f>"catalase"</f>
        <v>catalase</v>
      </c>
      <c r="J329" t="str">
        <f>"protein coding gene"</f>
        <v>protein coding gene</v>
      </c>
    </row>
    <row r="330" spans="1:10">
      <c r="A330">
        <v>10367337</v>
      </c>
      <c r="B330">
        <v>2.7639497341814399</v>
      </c>
      <c r="C330">
        <v>1.06616661935184</v>
      </c>
      <c r="E330" t="str">
        <f>"10367337"</f>
        <v>10367337</v>
      </c>
      <c r="F330" t="str">
        <f t="shared" si="20"/>
        <v>Affy 1.0 ST</v>
      </c>
      <c r="G330" t="str">
        <f>"MGI:1914838"</f>
        <v>MGI:1914838</v>
      </c>
      <c r="H330" t="str">
        <f>"Rnf41"</f>
        <v>Rnf41</v>
      </c>
      <c r="I330" t="str">
        <f>"ring finger protein 41"</f>
        <v>ring finger protein 41</v>
      </c>
      <c r="J330" t="str">
        <f>"protein coding gene"</f>
        <v>protein coding gene</v>
      </c>
    </row>
    <row r="331" spans="1:10">
      <c r="A331">
        <v>10363163</v>
      </c>
      <c r="B331">
        <v>2.7597961473352099</v>
      </c>
      <c r="C331">
        <v>0.35686995558903001</v>
      </c>
      <c r="E331" t="str">
        <f>"10363163"</f>
        <v>10363163</v>
      </c>
      <c r="F331" t="str">
        <f t="shared" si="20"/>
        <v>Affy 1.0 ST</v>
      </c>
      <c r="G331" t="str">
        <f>"MGI:1913653"</f>
        <v>MGI:1913653</v>
      </c>
      <c r="H331" t="str">
        <f>"Asf1a"</f>
        <v>Asf1a</v>
      </c>
      <c r="I331" t="str">
        <f>"ASF1 anti-silencing function 1 homolog A (S. cerevisiae)"</f>
        <v>ASF1 anti-silencing function 1 homolog A (S. cerevisiae)</v>
      </c>
      <c r="J331" t="str">
        <f>"protein coding gene"</f>
        <v>protein coding gene</v>
      </c>
    </row>
    <row r="332" spans="1:10">
      <c r="A332">
        <v>10382243</v>
      </c>
      <c r="B332">
        <v>2.75786633551323</v>
      </c>
      <c r="C332">
        <v>0.83372653913262795</v>
      </c>
      <c r="E332" t="str">
        <f>"10382243"</f>
        <v>10382243</v>
      </c>
      <c r="F332" t="str">
        <f t="shared" si="20"/>
        <v>Affy 1.0 ST</v>
      </c>
      <c r="G332" t="str">
        <f>"MGI:95768"</f>
        <v>MGI:95768</v>
      </c>
      <c r="H332" t="str">
        <f>"Gna13"</f>
        <v>Gna13</v>
      </c>
      <c r="I332" t="s">
        <v>32</v>
      </c>
      <c r="J332" t="s">
        <v>50</v>
      </c>
    </row>
    <row r="333" spans="1:10">
      <c r="A333">
        <v>10514366</v>
      </c>
      <c r="B333">
        <v>2.75561580300303</v>
      </c>
      <c r="C333">
        <v>0.53520745942349002</v>
      </c>
      <c r="E333" t="str">
        <f>"10514366"</f>
        <v>10514366</v>
      </c>
      <c r="F333" t="str">
        <f t="shared" si="20"/>
        <v>Affy 1.0 ST</v>
      </c>
      <c r="G333" t="str">
        <f>"MGI:1353653"</f>
        <v>MGI:1353653</v>
      </c>
      <c r="H333" t="str">
        <f>"Glrx3"</f>
        <v>Glrx3</v>
      </c>
      <c r="I333" t="str">
        <f>"glutaredoxin 3"</f>
        <v>glutaredoxin 3</v>
      </c>
      <c r="J333" t="str">
        <f>"protein coding gene"</f>
        <v>protein coding gene</v>
      </c>
    </row>
    <row r="334" spans="1:10">
      <c r="A334">
        <v>10396278</v>
      </c>
      <c r="B334">
        <v>2.7497168353619501</v>
      </c>
      <c r="C334">
        <v>0.59415773051965703</v>
      </c>
      <c r="E334" t="str">
        <f>"10396278"</f>
        <v>10396278</v>
      </c>
      <c r="F334" t="str">
        <f t="shared" si="20"/>
        <v>Affy 1.0 ST</v>
      </c>
      <c r="G334" t="str">
        <f>"MGI:1914596"</f>
        <v>MGI:1914596</v>
      </c>
      <c r="H334" t="str">
        <f>"Daam1"</f>
        <v>Daam1</v>
      </c>
      <c r="I334" t="str">
        <f>"dishevelled associated activator of morphogenesis 1"</f>
        <v>dishevelled associated activator of morphogenesis 1</v>
      </c>
      <c r="J334" t="str">
        <f>"protein coding gene"</f>
        <v>protein coding gene</v>
      </c>
    </row>
    <row r="335" spans="1:10">
      <c r="A335">
        <v>10497105</v>
      </c>
      <c r="B335">
        <v>2.7441930226811801</v>
      </c>
      <c r="C335">
        <v>1.26793945479419</v>
      </c>
      <c r="E335" t="str">
        <f>"10497105"</f>
        <v>10497105</v>
      </c>
      <c r="F335" t="str">
        <f t="shared" si="20"/>
        <v>Affy 1.0 ST</v>
      </c>
      <c r="G335" t="str">
        <f>"MGI:1914394"</f>
        <v>MGI:1914394</v>
      </c>
      <c r="H335" t="str">
        <f>"Lrrc40"</f>
        <v>Lrrc40</v>
      </c>
      <c r="I335" t="str">
        <f>"leucine rich repeat containing 40"</f>
        <v>leucine rich repeat containing 40</v>
      </c>
      <c r="J335" t="str">
        <f>"protein coding gene"</f>
        <v>protein coding gene</v>
      </c>
    </row>
    <row r="336" spans="1:10">
      <c r="A336">
        <v>10573865</v>
      </c>
      <c r="B336">
        <v>2.7436826615993799</v>
      </c>
      <c r="C336">
        <v>0.84963800378209697</v>
      </c>
      <c r="E336" t="str">
        <f>"10573865"</f>
        <v>10573865</v>
      </c>
      <c r="F336" t="str">
        <f t="shared" si="20"/>
        <v>Affy 1.0 ST</v>
      </c>
      <c r="G336" t="str">
        <f>"MGI:3781756"</f>
        <v>MGI:3781756</v>
      </c>
      <c r="H336" t="str">
        <f>"Gm3579"</f>
        <v>Gm3579</v>
      </c>
      <c r="I336" t="str">
        <f>"predicted gene 3579"</f>
        <v>predicted gene 3579</v>
      </c>
      <c r="J336" t="str">
        <f>"unclassified gene"</f>
        <v>unclassified gene</v>
      </c>
    </row>
    <row r="337" spans="1:10">
      <c r="A337">
        <v>10512061</v>
      </c>
      <c r="B337">
        <v>2.7421371711842801</v>
      </c>
      <c r="C337">
        <v>0.74468466825717405</v>
      </c>
      <c r="E337" t="str">
        <f>"10512061"</f>
        <v>10512061</v>
      </c>
      <c r="F337" t="str">
        <f t="shared" si="20"/>
        <v>Affy 1.0 ST</v>
      </c>
      <c r="G337" t="str">
        <f>"MGI:3650289"</f>
        <v>MGI:3650289</v>
      </c>
      <c r="H337" t="str">
        <f>"Gm12372"</f>
        <v>Gm12372</v>
      </c>
      <c r="I337" t="str">
        <f>"predicted gene 12372"</f>
        <v>predicted gene 12372</v>
      </c>
      <c r="J337" t="str">
        <f>"pseudogene"</f>
        <v>pseudogene</v>
      </c>
    </row>
    <row r="338" spans="1:10">
      <c r="A338">
        <v>10437432</v>
      </c>
      <c r="B338">
        <v>2.7401830533378</v>
      </c>
      <c r="C338">
        <v>0.59004742301789703</v>
      </c>
      <c r="E338" t="str">
        <f>"10437432"</f>
        <v>10437432</v>
      </c>
      <c r="F338" t="str">
        <f t="shared" si="20"/>
        <v>Affy 1.0 ST</v>
      </c>
      <c r="G338" t="str">
        <f>"MGI:1915074"</f>
        <v>MGI:1915074</v>
      </c>
      <c r="H338" t="str">
        <f>"Nmral1"</f>
        <v>Nmral1</v>
      </c>
      <c r="I338" t="str">
        <f>"NmrA-like family domain containing 1"</f>
        <v>NmrA-like family domain containing 1</v>
      </c>
      <c r="J338" t="str">
        <f>"protein coding gene"</f>
        <v>protein coding gene</v>
      </c>
    </row>
    <row r="339" spans="1:10">
      <c r="A339">
        <v>10455873</v>
      </c>
      <c r="B339">
        <v>2.7387068103563599</v>
      </c>
      <c r="C339">
        <v>0.79060957445808</v>
      </c>
      <c r="E339" t="str">
        <f>"10455873"</f>
        <v>10455873</v>
      </c>
      <c r="F339" t="str">
        <f t="shared" si="20"/>
        <v>Affy 1.0 ST</v>
      </c>
      <c r="G339" t="str">
        <f>"MGI:101924"</f>
        <v>MGI:101924</v>
      </c>
      <c r="H339" t="str">
        <f>"Slc12a2"</f>
        <v>Slc12a2</v>
      </c>
      <c r="I339" t="s">
        <v>33</v>
      </c>
      <c r="J339" t="s">
        <v>50</v>
      </c>
    </row>
    <row r="340" spans="1:10">
      <c r="A340">
        <v>10402981</v>
      </c>
      <c r="B340">
        <v>2.73229334284192</v>
      </c>
      <c r="C340">
        <v>0.19420658321217099</v>
      </c>
      <c r="E340" t="str">
        <f>"10402981"</f>
        <v>10402981</v>
      </c>
      <c r="F340" t="str">
        <f t="shared" si="20"/>
        <v>Affy 1.0 ST</v>
      </c>
      <c r="G340" t="str">
        <f>"MGI:2685746"</f>
        <v>MGI:2685746</v>
      </c>
      <c r="H340" t="str">
        <f>"Gm900"</f>
        <v>Gm900</v>
      </c>
      <c r="I340" t="str">
        <f>"predicted gene 900"</f>
        <v>predicted gene 900</v>
      </c>
      <c r="J340" t="str">
        <f>"protein coding gene"</f>
        <v>protein coding gene</v>
      </c>
    </row>
    <row r="341" spans="1:10">
      <c r="A341">
        <v>10395287</v>
      </c>
      <c r="B341">
        <v>2.73049547607055</v>
      </c>
      <c r="C341">
        <v>0.87851743409629501</v>
      </c>
      <c r="E341" t="str">
        <f>"10395287"</f>
        <v>10395287</v>
      </c>
      <c r="F341" t="str">
        <f t="shared" si="20"/>
        <v>Affy 1.0 ST</v>
      </c>
      <c r="G341" t="str">
        <f>"MGI:3584458"</f>
        <v>MGI:3584458</v>
      </c>
      <c r="H341" t="str">
        <f>"Atxn7l1"</f>
        <v>Atxn7l1</v>
      </c>
      <c r="I341" t="str">
        <f>"ataxin 7-like 1"</f>
        <v>ataxin 7-like 1</v>
      </c>
      <c r="J341" t="str">
        <f>"protein coding gene"</f>
        <v>protein coding gene</v>
      </c>
    </row>
    <row r="342" spans="1:10">
      <c r="A342">
        <v>10443201</v>
      </c>
      <c r="B342">
        <v>2.7288599700398599</v>
      </c>
      <c r="C342">
        <v>1.0111154666598401</v>
      </c>
      <c r="E342" t="str">
        <f>"10443201"</f>
        <v>10443201</v>
      </c>
      <c r="F342" t="str">
        <f t="shared" si="20"/>
        <v>Affy 1.0 ST</v>
      </c>
      <c r="G342" t="str">
        <f>"MGI:1345181"</f>
        <v>MGI:1345181</v>
      </c>
      <c r="H342" t="str">
        <f>"Pacsin1"</f>
        <v>Pacsin1</v>
      </c>
      <c r="I342" t="str">
        <f>"protein kinase C and casein kinase substrate in neurons 1"</f>
        <v>protein kinase C and casein kinase substrate in neurons 1</v>
      </c>
      <c r="J342" t="str">
        <f>"protein coding gene"</f>
        <v>protein coding gene</v>
      </c>
    </row>
    <row r="343" spans="1:10">
      <c r="A343">
        <v>10592790</v>
      </c>
      <c r="B343">
        <v>2.7283761285147898</v>
      </c>
      <c r="C343">
        <v>0.756919137287693</v>
      </c>
      <c r="E343" t="str">
        <f>"10592790"</f>
        <v>10592790</v>
      </c>
      <c r="F343" t="str">
        <f t="shared" si="20"/>
        <v>Affy 1.0 ST</v>
      </c>
      <c r="G343" t="str">
        <f>"MGI:2429620"</f>
        <v>MGI:2429620</v>
      </c>
      <c r="H343" t="str">
        <f>"Hinfp"</f>
        <v>Hinfp</v>
      </c>
      <c r="I343" t="str">
        <f>"histone H4 transcription factor"</f>
        <v>histone H4 transcription factor</v>
      </c>
      <c r="J343" t="str">
        <f>"protein coding gene"</f>
        <v>protein coding gene</v>
      </c>
    </row>
    <row r="344" spans="1:10">
      <c r="A344">
        <v>10494402</v>
      </c>
      <c r="B344">
        <v>2.7246589303877702</v>
      </c>
      <c r="C344">
        <v>0.47501617777541699</v>
      </c>
      <c r="E344" t="str">
        <f>"10494402"</f>
        <v>10494402</v>
      </c>
      <c r="F344" t="str">
        <f t="shared" si="20"/>
        <v>Affy 1.0 ST</v>
      </c>
      <c r="G344" t="str">
        <f>"MGI:2448355"</f>
        <v>MGI:2448355</v>
      </c>
      <c r="H344" t="str">
        <f>"Hist2h3c1"</f>
        <v>Hist2h3c1</v>
      </c>
      <c r="I344" t="s">
        <v>34</v>
      </c>
      <c r="J344" t="s">
        <v>50</v>
      </c>
    </row>
    <row r="345" spans="1:10">
      <c r="A345">
        <v>10360443</v>
      </c>
      <c r="B345">
        <v>2.7225809179069298</v>
      </c>
      <c r="C345">
        <v>1.25174024087636</v>
      </c>
      <c r="E345" t="str">
        <f>"10360443"</f>
        <v>10360443</v>
      </c>
      <c r="F345" t="str">
        <f t="shared" si="20"/>
        <v>Affy 1.0 ST</v>
      </c>
      <c r="G345" t="str">
        <f>"MGI:95530"</f>
        <v>MGI:95530</v>
      </c>
      <c r="H345" t="str">
        <f>"Fh1"</f>
        <v>Fh1</v>
      </c>
      <c r="I345" t="str">
        <f>"fumarate hydratase 1"</f>
        <v>fumarate hydratase 1</v>
      </c>
      <c r="J345" t="str">
        <f>"protein coding gene"</f>
        <v>protein coding gene</v>
      </c>
    </row>
    <row r="346" spans="1:10">
      <c r="A346">
        <v>10412378</v>
      </c>
      <c r="B346">
        <v>2.7173331297333201</v>
      </c>
      <c r="C346">
        <v>0.96324977991876504</v>
      </c>
      <c r="E346" t="str">
        <f>"10412378"</f>
        <v>10412378</v>
      </c>
      <c r="F346" t="str">
        <f t="shared" si="20"/>
        <v>Affy 1.0 ST</v>
      </c>
      <c r="G346" t="str">
        <f>"MGI:1097686"</f>
        <v>MGI:1097686</v>
      </c>
      <c r="H346" t="str">
        <f>"H3f3a"</f>
        <v>H3f3a</v>
      </c>
      <c r="I346" t="s">
        <v>35</v>
      </c>
      <c r="J346" t="s">
        <v>50</v>
      </c>
    </row>
    <row r="347" spans="1:10">
      <c r="A347">
        <v>10593060</v>
      </c>
      <c r="B347">
        <v>2.71249373384213</v>
      </c>
      <c r="C347">
        <v>0.68443877075918602</v>
      </c>
      <c r="E347" t="str">
        <f>"10593060"</f>
        <v>10593060</v>
      </c>
      <c r="F347" t="str">
        <f t="shared" si="20"/>
        <v>Affy 1.0 ST</v>
      </c>
      <c r="G347" t="str">
        <f>"MGI:2384878"</f>
        <v>MGI:2384878</v>
      </c>
      <c r="H347" t="str">
        <f>"Cep164"</f>
        <v>Cep164</v>
      </c>
      <c r="I347" t="str">
        <f>"centrosomal protein 164"</f>
        <v>centrosomal protein 164</v>
      </c>
      <c r="J347" t="str">
        <f>"protein coding gene"</f>
        <v>protein coding gene</v>
      </c>
    </row>
    <row r="348" spans="1:10">
      <c r="A348">
        <v>10405263</v>
      </c>
      <c r="B348">
        <v>2.6988612639286802</v>
      </c>
      <c r="C348">
        <v>0.80400306210144501</v>
      </c>
      <c r="E348" t="str">
        <f>"10405263"</f>
        <v>10405263</v>
      </c>
      <c r="F348" t="str">
        <f t="shared" si="20"/>
        <v>Affy 1.0 ST</v>
      </c>
      <c r="G348" t="str">
        <f>"MGI:2442599"</f>
        <v>MGI:2442599</v>
      </c>
      <c r="H348" t="str">
        <f>"4732471D19Rik"</f>
        <v>4732471D19Rik</v>
      </c>
      <c r="I348" t="str">
        <f>"RIKEN cDNA 4732471D19 gene"</f>
        <v>RIKEN cDNA 4732471D19 gene</v>
      </c>
      <c r="J348" t="str">
        <f>"protein coding gene"</f>
        <v>protein coding gene</v>
      </c>
    </row>
    <row r="349" spans="1:10">
      <c r="A349">
        <v>10366337</v>
      </c>
      <c r="B349">
        <v>2.69795521672697</v>
      </c>
      <c r="C349">
        <v>0.41649781949347398</v>
      </c>
      <c r="E349" t="str">
        <f>"10366337"</f>
        <v>10366337</v>
      </c>
      <c r="F349" t="str">
        <f t="shared" si="20"/>
        <v>Affy 1.0 ST</v>
      </c>
      <c r="G349" t="str">
        <f>"MGI:1855693"</f>
        <v>MGI:1855693</v>
      </c>
      <c r="H349" t="str">
        <f>"Nap1l1"</f>
        <v>Nap1l1</v>
      </c>
      <c r="I349" t="str">
        <f>"nucleosome assembly protein 1-like 1"</f>
        <v>nucleosome assembly protein 1-like 1</v>
      </c>
      <c r="J349" t="str">
        <f>"protein coding gene"</f>
        <v>protein coding gene</v>
      </c>
    </row>
    <row r="350" spans="1:10">
      <c r="A350">
        <v>10564857</v>
      </c>
      <c r="B350">
        <v>2.68767923688032</v>
      </c>
      <c r="C350">
        <v>0.83218432577738999</v>
      </c>
      <c r="E350" t="str">
        <f>"10564857"</f>
        <v>10564857</v>
      </c>
      <c r="F350" t="str">
        <f t="shared" si="20"/>
        <v>Affy 1.0 ST</v>
      </c>
      <c r="G350" t="str">
        <f>"MGI:96414"</f>
        <v>MGI:96414</v>
      </c>
      <c r="H350" t="str">
        <f>"Idh2"</f>
        <v>Idh2</v>
      </c>
      <c r="I350" t="s">
        <v>36</v>
      </c>
      <c r="J350" t="s">
        <v>50</v>
      </c>
    </row>
    <row r="351" spans="1:10">
      <c r="A351">
        <v>10350090</v>
      </c>
      <c r="B351">
        <v>2.6855883056371899</v>
      </c>
      <c r="C351">
        <v>0.85305060539252597</v>
      </c>
      <c r="E351" t="str">
        <f>"10350090"</f>
        <v>10350090</v>
      </c>
      <c r="F351" t="str">
        <f t="shared" si="20"/>
        <v>Affy 1.0 ST</v>
      </c>
      <c r="G351" t="str">
        <f>"MGI:1914446"</f>
        <v>MGI:1914446</v>
      </c>
      <c r="H351" t="str">
        <f>"Ube2t"</f>
        <v>Ube2t</v>
      </c>
      <c r="I351" t="str">
        <f>"ubiquitin-conjugating enzyme E2T (putative)"</f>
        <v>ubiquitin-conjugating enzyme E2T (putative)</v>
      </c>
      <c r="J351" t="str">
        <f>"protein coding gene"</f>
        <v>protein coding gene</v>
      </c>
    </row>
    <row r="352" spans="1:10">
      <c r="A352">
        <v>10577757</v>
      </c>
      <c r="B352">
        <v>2.68408979659963</v>
      </c>
      <c r="C352">
        <v>0.82800466120300797</v>
      </c>
      <c r="E352" t="str">
        <f>"10577757"</f>
        <v>10577757</v>
      </c>
      <c r="F352" t="str">
        <f t="shared" si="20"/>
        <v>Affy 1.0 ST</v>
      </c>
      <c r="G352" t="str">
        <f>"MGI:105376"</f>
        <v>MGI:105376</v>
      </c>
      <c r="H352" t="str">
        <f>"Adam9"</f>
        <v>Adam9</v>
      </c>
      <c r="I352" t="str">
        <f>"a disintegrin and metallopeptidase domain 9 (meltrin gamma)"</f>
        <v>a disintegrin and metallopeptidase domain 9 (meltrin gamma)</v>
      </c>
      <c r="J352" t="str">
        <f>"protein coding gene"</f>
        <v>protein coding gene</v>
      </c>
    </row>
    <row r="353" spans="1:10">
      <c r="A353">
        <v>10535894</v>
      </c>
      <c r="B353">
        <v>2.6817251381470002</v>
      </c>
      <c r="C353">
        <v>0.82446061576753604</v>
      </c>
      <c r="E353" t="str">
        <f>"10535894"</f>
        <v>10535894</v>
      </c>
      <c r="F353" t="str">
        <f t="shared" si="20"/>
        <v>Affy 1.0 ST</v>
      </c>
      <c r="G353" t="str">
        <f>"MGI:96113"</f>
        <v>MGI:96113</v>
      </c>
      <c r="H353" t="str">
        <f>"Hmgb1"</f>
        <v>Hmgb1</v>
      </c>
      <c r="I353" t="str">
        <f>"high mobility group box 1"</f>
        <v>high mobility group box 1</v>
      </c>
      <c r="J353" t="str">
        <f>"protein coding gene"</f>
        <v>protein coding gene</v>
      </c>
    </row>
    <row r="354" spans="1:10">
      <c r="A354">
        <v>10577792</v>
      </c>
      <c r="B354">
        <v>2.6791386219597801</v>
      </c>
      <c r="C354">
        <v>1.2189688230769999</v>
      </c>
      <c r="E354" t="str">
        <f>"10577792"</f>
        <v>10577792</v>
      </c>
      <c r="F354" t="str">
        <f t="shared" si="20"/>
        <v>Affy 1.0 ST</v>
      </c>
      <c r="G354" t="str">
        <f>"MGI:1928144"</f>
        <v>MGI:1928144</v>
      </c>
      <c r="H354" t="str">
        <f>"Plekha2"</f>
        <v>Plekha2</v>
      </c>
      <c r="I354" t="s">
        <v>37</v>
      </c>
      <c r="J354" t="s">
        <v>50</v>
      </c>
    </row>
    <row r="355" spans="1:10">
      <c r="A355">
        <v>10426301</v>
      </c>
      <c r="B355">
        <v>2.6744389292225801</v>
      </c>
      <c r="C355">
        <v>0.848861845208701</v>
      </c>
      <c r="E355" t="str">
        <f>"10426301"</f>
        <v>10426301</v>
      </c>
      <c r="F355" t="str">
        <f>""</f>
        <v/>
      </c>
      <c r="G355" t="str">
        <f>"No associated gene"</f>
        <v>No associated gene</v>
      </c>
    </row>
    <row r="356" spans="1:10">
      <c r="A356">
        <v>10514658</v>
      </c>
      <c r="B356">
        <v>2.6667104605371201</v>
      </c>
      <c r="C356">
        <v>0.77710332643646596</v>
      </c>
      <c r="E356" t="str">
        <f>"10514658"</f>
        <v>10514658</v>
      </c>
      <c r="F356" t="str">
        <f>""</f>
        <v/>
      </c>
      <c r="G356" t="str">
        <f>"No associated gene"</f>
        <v>No associated gene</v>
      </c>
    </row>
    <row r="357" spans="1:10">
      <c r="A357">
        <v>10375975</v>
      </c>
      <c r="B357">
        <v>2.6611955952241901</v>
      </c>
      <c r="C357">
        <v>0.38579460436332702</v>
      </c>
      <c r="E357" t="str">
        <f>"10375975"</f>
        <v>10375975</v>
      </c>
      <c r="F357" t="str">
        <f t="shared" ref="F357:F372" si="22">"Affy 1.0 ST"</f>
        <v>Affy 1.0 ST</v>
      </c>
      <c r="G357" t="str">
        <f>"MGI:1196228"</f>
        <v>MGI:1196228</v>
      </c>
      <c r="H357" t="str">
        <f>"Zcchc10"</f>
        <v>Zcchc10</v>
      </c>
      <c r="I357" t="s">
        <v>38</v>
      </c>
      <c r="J357" t="s">
        <v>50</v>
      </c>
    </row>
    <row r="358" spans="1:10">
      <c r="A358">
        <v>10515164</v>
      </c>
      <c r="B358">
        <v>2.6594866973518698</v>
      </c>
      <c r="C358">
        <v>0.589003459721539</v>
      </c>
      <c r="E358" t="str">
        <f>"10515164"</f>
        <v>10515164</v>
      </c>
      <c r="F358" t="str">
        <f t="shared" si="22"/>
        <v>Affy 1.0 ST</v>
      </c>
      <c r="G358" t="str">
        <f>"MGI:1913838"</f>
        <v>MGI:1913838</v>
      </c>
      <c r="H358" t="str">
        <f>"Cmpk1"</f>
        <v>Cmpk1</v>
      </c>
      <c r="I358" t="str">
        <f>"cytidine monophosphate (UMP-CMP) kinase 1"</f>
        <v>cytidine monophosphate (UMP-CMP) kinase 1</v>
      </c>
      <c r="J358" t="str">
        <f>"protein coding gene"</f>
        <v>protein coding gene</v>
      </c>
    </row>
    <row r="359" spans="1:10">
      <c r="A359">
        <v>10438575</v>
      </c>
      <c r="B359">
        <v>2.6438324789880299</v>
      </c>
      <c r="C359">
        <v>0.88905828749298499</v>
      </c>
      <c r="E359" t="str">
        <f>"10438575"</f>
        <v>10438575</v>
      </c>
      <c r="F359" t="str">
        <f t="shared" si="22"/>
        <v>Affy 1.0 ST</v>
      </c>
      <c r="G359" t="str">
        <f>"MGI:1277964"</f>
        <v>MGI:1277964</v>
      </c>
      <c r="H359" t="str">
        <f>"Ehhadh"</f>
        <v>Ehhadh</v>
      </c>
      <c r="I359" t="s">
        <v>39</v>
      </c>
      <c r="J359" t="s">
        <v>50</v>
      </c>
    </row>
    <row r="360" spans="1:10">
      <c r="A360">
        <v>10411019</v>
      </c>
      <c r="B360">
        <v>2.6426534067893002</v>
      </c>
      <c r="C360">
        <v>0.70316747729199103</v>
      </c>
      <c r="E360" t="str">
        <f>"10411019"</f>
        <v>10411019</v>
      </c>
      <c r="F360" t="str">
        <f t="shared" si="22"/>
        <v>Affy 1.0 ST</v>
      </c>
      <c r="G360" t="str">
        <f>"MGI:109519"</f>
        <v>MGI:109519</v>
      </c>
      <c r="H360" t="str">
        <f>"Msh3"</f>
        <v>Msh3</v>
      </c>
      <c r="I360" t="str">
        <f>"mutS homolog 3 (E. coli)"</f>
        <v>mutS homolog 3 (E. coli)</v>
      </c>
      <c r="J360" t="str">
        <f>"protein coding gene"</f>
        <v>protein coding gene</v>
      </c>
    </row>
    <row r="361" spans="1:10">
      <c r="A361">
        <v>10603785</v>
      </c>
      <c r="B361">
        <v>2.6389101673655699</v>
      </c>
      <c r="C361">
        <v>0.711388680859808</v>
      </c>
      <c r="E361" t="str">
        <f>"10603785"</f>
        <v>10603785</v>
      </c>
      <c r="F361" t="str">
        <f t="shared" si="22"/>
        <v>Affy 1.0 ST</v>
      </c>
      <c r="G361" t="str">
        <f>"MGI:1919268"</f>
        <v>MGI:1919268</v>
      </c>
      <c r="H361" t="str">
        <f>"Fundc1"</f>
        <v>Fundc1</v>
      </c>
      <c r="I361" t="str">
        <f>"FUN14 domain containing 1"</f>
        <v>FUN14 domain containing 1</v>
      </c>
      <c r="J361" t="str">
        <f>"protein coding gene"</f>
        <v>protein coding gene</v>
      </c>
    </row>
    <row r="362" spans="1:10">
      <c r="A362">
        <v>10431856</v>
      </c>
      <c r="B362">
        <v>2.6250237079498802</v>
      </c>
      <c r="C362">
        <v>9.5380827312970803E-2</v>
      </c>
      <c r="E362" t="str">
        <f>"10431856"</f>
        <v>10431856</v>
      </c>
      <c r="F362" t="str">
        <f t="shared" si="22"/>
        <v>Affy 1.0 ST</v>
      </c>
      <c r="G362" t="str">
        <f>"MGI:1919443"</f>
        <v>MGI:1919443</v>
      </c>
      <c r="H362" t="str">
        <f>"Scaf11"</f>
        <v>Scaf11</v>
      </c>
      <c r="I362" t="str">
        <f>"SR-related CTD-associated factor 11"</f>
        <v>SR-related CTD-associated factor 11</v>
      </c>
      <c r="J362" t="str">
        <f>"protein coding gene"</f>
        <v>protein coding gene</v>
      </c>
    </row>
    <row r="363" spans="1:10">
      <c r="A363">
        <v>10498309</v>
      </c>
      <c r="B363">
        <v>2.62145043678892</v>
      </c>
      <c r="C363">
        <v>0.34417213813787501</v>
      </c>
      <c r="E363" t="str">
        <f>"10498309"</f>
        <v>10498309</v>
      </c>
      <c r="F363" t="str">
        <f t="shared" si="22"/>
        <v>Affy 1.0 ST</v>
      </c>
      <c r="G363" t="str">
        <f>"MGI:97550"</f>
        <v>MGI:97550</v>
      </c>
      <c r="H363" t="str">
        <f>"Pfn2"</f>
        <v>Pfn2</v>
      </c>
      <c r="I363" t="str">
        <f>"profilin 2"</f>
        <v>profilin 2</v>
      </c>
      <c r="J363" t="str">
        <f>"protein coding gene"</f>
        <v>protein coding gene</v>
      </c>
    </row>
    <row r="364" spans="1:10">
      <c r="A364">
        <v>10566067</v>
      </c>
      <c r="B364">
        <v>2.6189183994148499</v>
      </c>
      <c r="C364">
        <v>0.20827683143538001</v>
      </c>
      <c r="E364" t="str">
        <f>"10566067"</f>
        <v>10566067</v>
      </c>
      <c r="F364" t="str">
        <f t="shared" si="22"/>
        <v>Affy 1.0 ST</v>
      </c>
      <c r="G364" t="str">
        <f>"MGI:1922462"</f>
        <v>MGI:1922462</v>
      </c>
      <c r="H364" t="str">
        <f>"Rnf121"</f>
        <v>Rnf121</v>
      </c>
      <c r="I364" t="str">
        <f>"ring finger protein 121"</f>
        <v>ring finger protein 121</v>
      </c>
      <c r="J364" t="str">
        <f>"protein coding gene"</f>
        <v>protein coding gene</v>
      </c>
    </row>
    <row r="365" spans="1:10">
      <c r="A365">
        <v>10425923</v>
      </c>
      <c r="B365">
        <v>2.6108951034497201</v>
      </c>
      <c r="C365">
        <v>0.77244659393134696</v>
      </c>
      <c r="E365" t="str">
        <f>"10425923"</f>
        <v>10425923</v>
      </c>
      <c r="F365" t="str">
        <f t="shared" si="22"/>
        <v>Affy 1.0 ST</v>
      </c>
      <c r="G365" t="str">
        <f>"MGI:1920475"</f>
        <v>MGI:1920475</v>
      </c>
      <c r="H365" t="str">
        <f>"Fam118a"</f>
        <v>Fam118a</v>
      </c>
      <c r="I365" t="s">
        <v>40</v>
      </c>
      <c r="J365" t="s">
        <v>50</v>
      </c>
    </row>
    <row r="366" spans="1:10">
      <c r="A366">
        <v>10503845</v>
      </c>
      <c r="B366">
        <v>2.6100749226094702</v>
      </c>
      <c r="C366">
        <v>0.47080793344751298</v>
      </c>
      <c r="E366" t="str">
        <f>"10503845"</f>
        <v>10503845</v>
      </c>
      <c r="F366" t="str">
        <f t="shared" si="22"/>
        <v>Affy 1.0 ST</v>
      </c>
      <c r="G366" t="str">
        <f>"MGI:1926245"</f>
        <v>MGI:1926245</v>
      </c>
      <c r="H366" t="str">
        <f>"Ube2j1"</f>
        <v>Ube2j1</v>
      </c>
      <c r="I366" t="s">
        <v>41</v>
      </c>
      <c r="J366" t="s">
        <v>50</v>
      </c>
    </row>
    <row r="367" spans="1:10">
      <c r="A367">
        <v>10540507</v>
      </c>
      <c r="B367">
        <v>2.6067967417854101</v>
      </c>
      <c r="C367">
        <v>0.87580847835216902</v>
      </c>
      <c r="E367" t="str">
        <f>"10540507"</f>
        <v>10540507</v>
      </c>
      <c r="F367" t="str">
        <f t="shared" si="22"/>
        <v>Affy 1.0 ST</v>
      </c>
      <c r="G367" t="str">
        <f>"MGI:1097686"</f>
        <v>MGI:1097686</v>
      </c>
      <c r="H367" t="str">
        <f>"H3f3a"</f>
        <v>H3f3a</v>
      </c>
      <c r="I367" t="s">
        <v>35</v>
      </c>
      <c r="J367" t="s">
        <v>50</v>
      </c>
    </row>
    <row r="368" spans="1:10">
      <c r="A368">
        <v>10363962</v>
      </c>
      <c r="B368">
        <v>2.6047250931662198</v>
      </c>
      <c r="C368">
        <v>0.54406605366312699</v>
      </c>
      <c r="E368" t="str">
        <f>"10363962"</f>
        <v>10363962</v>
      </c>
      <c r="F368" t="str">
        <f t="shared" si="22"/>
        <v>Affy 1.0 ST</v>
      </c>
      <c r="G368" t="str">
        <f>"MGI:95780"</f>
        <v>MGI:95780</v>
      </c>
      <c r="H368" t="str">
        <f>"Gnaz"</f>
        <v>Gnaz</v>
      </c>
      <c r="I368" t="s">
        <v>42</v>
      </c>
      <c r="J368" t="s">
        <v>50</v>
      </c>
    </row>
    <row r="369" spans="1:10">
      <c r="A369">
        <v>10595614</v>
      </c>
      <c r="B369">
        <v>2.6006600629049701</v>
      </c>
      <c r="C369">
        <v>0.72943666553375797</v>
      </c>
      <c r="E369" t="str">
        <f>"10595614"</f>
        <v>10595614</v>
      </c>
      <c r="F369" t="str">
        <f t="shared" si="22"/>
        <v>Affy 1.0 ST</v>
      </c>
      <c r="G369" t="str">
        <f>"MGI:1919905"</f>
        <v>MGI:1919905</v>
      </c>
      <c r="H369" t="str">
        <f>"2810026P18Rik"</f>
        <v>2810026P18Rik</v>
      </c>
      <c r="I369" t="str">
        <f>"RIKEN cDNA 2810026P18 gene"</f>
        <v>RIKEN cDNA 2810026P18 gene</v>
      </c>
      <c r="J369" t="str">
        <f>"protein coding gene"</f>
        <v>protein coding gene</v>
      </c>
    </row>
    <row r="370" spans="1:10">
      <c r="A370">
        <v>10542691</v>
      </c>
      <c r="B370">
        <v>2.5942079589874401</v>
      </c>
      <c r="C370">
        <v>0.39955633216301301</v>
      </c>
      <c r="E370" t="str">
        <f>"10542691"</f>
        <v>10542691</v>
      </c>
      <c r="F370" t="str">
        <f t="shared" si="22"/>
        <v>Affy 1.0 ST</v>
      </c>
      <c r="G370" t="str">
        <f>"MGI:108424"</f>
        <v>MGI:108424</v>
      </c>
      <c r="H370" t="str">
        <f>"Lrmp"</f>
        <v>Lrmp</v>
      </c>
      <c r="I370" t="str">
        <f>"lymphoid-restricted membrane protein"</f>
        <v>lymphoid-restricted membrane protein</v>
      </c>
      <c r="J370" t="str">
        <f>"protein coding gene"</f>
        <v>protein coding gene</v>
      </c>
    </row>
    <row r="371" spans="1:10">
      <c r="A371">
        <v>10372629</v>
      </c>
      <c r="B371">
        <v>2.59312579804282</v>
      </c>
      <c r="C371">
        <v>1.20821529372213</v>
      </c>
      <c r="E371" t="str">
        <f>"10372629"</f>
        <v>10372629</v>
      </c>
      <c r="F371" t="str">
        <f t="shared" si="22"/>
        <v>Affy 1.0 ST</v>
      </c>
      <c r="G371" t="str">
        <f>"MGI:1927224"</f>
        <v>MGI:1927224</v>
      </c>
      <c r="H371" t="str">
        <f>"Yeats4"</f>
        <v>Yeats4</v>
      </c>
      <c r="I371" t="str">
        <f>"YEATS domain containing 4"</f>
        <v>YEATS domain containing 4</v>
      </c>
      <c r="J371" t="str">
        <f>"protein coding gene"</f>
        <v>protein coding gene</v>
      </c>
    </row>
    <row r="372" spans="1:10">
      <c r="A372">
        <v>10509163</v>
      </c>
      <c r="B372">
        <v>2.5898010365819601</v>
      </c>
      <c r="C372">
        <v>0.72206883321936399</v>
      </c>
      <c r="E372" t="str">
        <f>"10509163"</f>
        <v>10509163</v>
      </c>
      <c r="F372" t="str">
        <f t="shared" si="22"/>
        <v>Affy 1.0 ST</v>
      </c>
      <c r="G372" t="str">
        <f>"MGI:96398"</f>
        <v>MGI:96398</v>
      </c>
      <c r="H372" t="str">
        <f>"Id3"</f>
        <v>Id3</v>
      </c>
      <c r="I372" t="str">
        <f>"inhibitor of DNA binding 3"</f>
        <v>inhibitor of DNA binding 3</v>
      </c>
      <c r="J372" t="str">
        <f>"protein coding gene"</f>
        <v>protein coding gene</v>
      </c>
    </row>
    <row r="373" spans="1:10">
      <c r="A373">
        <v>10451547</v>
      </c>
      <c r="B373">
        <v>2.58755675308239</v>
      </c>
      <c r="C373">
        <v>1.01188804647522</v>
      </c>
      <c r="E373" t="str">
        <f>"10451547"</f>
        <v>10451547</v>
      </c>
      <c r="F373" t="str">
        <f>""</f>
        <v/>
      </c>
      <c r="G373" t="str">
        <f>"No associated gene"</f>
        <v>No associated gene</v>
      </c>
    </row>
    <row r="374" spans="1:10">
      <c r="A374">
        <v>10560202</v>
      </c>
      <c r="B374">
        <v>2.5848527713480598</v>
      </c>
      <c r="C374">
        <v>0.12856097465345601</v>
      </c>
      <c r="E374" t="str">
        <f>"10560202"</f>
        <v>10560202</v>
      </c>
      <c r="F374" t="str">
        <f t="shared" ref="F374:F388" si="23">"Affy 1.0 ST"</f>
        <v>Affy 1.0 ST</v>
      </c>
      <c r="G374" t="str">
        <f>"MGI:2154263"</f>
        <v>MGI:2154263</v>
      </c>
      <c r="H374" t="str">
        <f>"Gltscr1"</f>
        <v>Gltscr1</v>
      </c>
      <c r="I374" t="str">
        <f>"glioma tumor suppressor candidate region gene 1"</f>
        <v>glioma tumor suppressor candidate region gene 1</v>
      </c>
      <c r="J374" t="str">
        <f t="shared" ref="J374:J385" si="24">"protein coding gene"</f>
        <v>protein coding gene</v>
      </c>
    </row>
    <row r="375" spans="1:10">
      <c r="A375">
        <v>10447141</v>
      </c>
      <c r="B375">
        <v>2.58432410225033</v>
      </c>
      <c r="C375">
        <v>0.91226574064364596</v>
      </c>
      <c r="E375" t="str">
        <f>"10447141"</f>
        <v>10447141</v>
      </c>
      <c r="F375" t="str">
        <f t="shared" si="23"/>
        <v>Affy 1.0 ST</v>
      </c>
      <c r="G375" t="str">
        <f>"MGI:1926048"</f>
        <v>MGI:1926048</v>
      </c>
      <c r="H375" t="str">
        <f>"Eml4"</f>
        <v>Eml4</v>
      </c>
      <c r="I375" t="str">
        <f>"echinoderm microtubule associated protein like 4"</f>
        <v>echinoderm microtubule associated protein like 4</v>
      </c>
      <c r="J375" t="str">
        <f t="shared" si="24"/>
        <v>protein coding gene</v>
      </c>
    </row>
    <row r="376" spans="1:10">
      <c r="A376">
        <v>10399265</v>
      </c>
      <c r="B376">
        <v>2.5786449037866301</v>
      </c>
      <c r="C376">
        <v>0.47831813222112901</v>
      </c>
      <c r="E376" t="str">
        <f>"10399265"</f>
        <v>10399265</v>
      </c>
      <c r="F376" t="str">
        <f t="shared" si="23"/>
        <v>Affy 1.0 ST</v>
      </c>
      <c r="G376" t="str">
        <f>"MGI:1276523"</f>
        <v>MGI:1276523</v>
      </c>
      <c r="H376" t="str">
        <f>"Ncoa1"</f>
        <v>Ncoa1</v>
      </c>
      <c r="I376" t="str">
        <f>"nuclear receptor coactivator 1"</f>
        <v>nuclear receptor coactivator 1</v>
      </c>
      <c r="J376" t="str">
        <f t="shared" si="24"/>
        <v>protein coding gene</v>
      </c>
    </row>
    <row r="377" spans="1:10">
      <c r="A377">
        <v>10511042</v>
      </c>
      <c r="B377">
        <v>2.5771480436099798</v>
      </c>
      <c r="C377">
        <v>0.149079142616864</v>
      </c>
      <c r="E377" t="str">
        <f>"10511042"</f>
        <v>10511042</v>
      </c>
      <c r="F377" t="str">
        <f t="shared" si="23"/>
        <v>Affy 1.0 ST</v>
      </c>
      <c r="G377" t="str">
        <f>"MGI:2686516"</f>
        <v>MGI:2686516</v>
      </c>
      <c r="H377" t="str">
        <f>"C030017K20Rik"</f>
        <v>C030017K20Rik</v>
      </c>
      <c r="I377" t="str">
        <f>"RIKEN cDNA C030017K20 gene"</f>
        <v>RIKEN cDNA C030017K20 gene</v>
      </c>
      <c r="J377" t="str">
        <f t="shared" si="24"/>
        <v>protein coding gene</v>
      </c>
    </row>
    <row r="378" spans="1:10">
      <c r="A378">
        <v>10525893</v>
      </c>
      <c r="B378">
        <v>2.57698615247855</v>
      </c>
      <c r="C378">
        <v>0.21850788392262499</v>
      </c>
      <c r="E378" t="str">
        <f>"10525893"</f>
        <v>10525893</v>
      </c>
      <c r="F378" t="str">
        <f t="shared" si="23"/>
        <v>Affy 1.0 ST</v>
      </c>
      <c r="G378" t="str">
        <f>"MGI:1926144"</f>
        <v>MGI:1926144</v>
      </c>
      <c r="H378" t="str">
        <f>"Aacs"</f>
        <v>Aacs</v>
      </c>
      <c r="I378" t="str">
        <f>"acetoacetyl-CoA synthetase"</f>
        <v>acetoacetyl-CoA synthetase</v>
      </c>
      <c r="J378" t="str">
        <f t="shared" si="24"/>
        <v>protein coding gene</v>
      </c>
    </row>
    <row r="379" spans="1:10">
      <c r="A379">
        <v>10541091</v>
      </c>
      <c r="B379">
        <v>2.5768477364707101</v>
      </c>
      <c r="C379">
        <v>0.16801119540564499</v>
      </c>
      <c r="E379" t="str">
        <f>"10541091"</f>
        <v>10541091</v>
      </c>
      <c r="F379" t="str">
        <f t="shared" si="23"/>
        <v>Affy 1.0 ST</v>
      </c>
      <c r="G379" t="str">
        <f>"MGI:1914492"</f>
        <v>MGI:1914492</v>
      </c>
      <c r="H379" t="str">
        <f>"Gemin6"</f>
        <v>Gemin6</v>
      </c>
      <c r="I379" t="str">
        <f>"gem (nuclear organelle) associated protein 6"</f>
        <v>gem (nuclear organelle) associated protein 6</v>
      </c>
      <c r="J379" t="str">
        <f t="shared" si="24"/>
        <v>protein coding gene</v>
      </c>
    </row>
    <row r="380" spans="1:10">
      <c r="A380">
        <v>10458816</v>
      </c>
      <c r="B380">
        <v>2.57581743119444</v>
      </c>
      <c r="C380">
        <v>0.51852310138213997</v>
      </c>
      <c r="E380" t="str">
        <f>"10458816"</f>
        <v>10458816</v>
      </c>
      <c r="F380" t="str">
        <f t="shared" si="23"/>
        <v>Affy 1.0 ST</v>
      </c>
      <c r="G380" t="str">
        <f>"MGI:3040056"</f>
        <v>MGI:3040056</v>
      </c>
      <c r="H380" t="str">
        <f>"Ticam2"</f>
        <v>Ticam2</v>
      </c>
      <c r="I380" t="str">
        <f>"toll-like receptor adaptor molecule 2"</f>
        <v>toll-like receptor adaptor molecule 2</v>
      </c>
      <c r="J380" t="str">
        <f t="shared" si="24"/>
        <v>protein coding gene</v>
      </c>
    </row>
    <row r="381" spans="1:10">
      <c r="A381">
        <v>10579335</v>
      </c>
      <c r="B381">
        <v>2.5677254735750998</v>
      </c>
      <c r="C381">
        <v>0.344364775206767</v>
      </c>
      <c r="E381" t="str">
        <f>"10579335"</f>
        <v>10579335</v>
      </c>
      <c r="F381" t="str">
        <f t="shared" si="23"/>
        <v>Affy 1.0 ST</v>
      </c>
      <c r="G381" t="str">
        <f>"MGI:1913772"</f>
        <v>MGI:1913772</v>
      </c>
      <c r="H381" t="str">
        <f>"Pgpep1"</f>
        <v>Pgpep1</v>
      </c>
      <c r="I381" t="str">
        <f>"pyroglutamyl-peptidase I"</f>
        <v>pyroglutamyl-peptidase I</v>
      </c>
      <c r="J381" t="str">
        <f t="shared" si="24"/>
        <v>protein coding gene</v>
      </c>
    </row>
    <row r="382" spans="1:10">
      <c r="A382">
        <v>10434869</v>
      </c>
      <c r="B382">
        <v>2.5650731074570499</v>
      </c>
      <c r="C382">
        <v>0.46280275234155399</v>
      </c>
      <c r="E382" t="str">
        <f>"10434869"</f>
        <v>10434869</v>
      </c>
      <c r="F382" t="str">
        <f t="shared" si="23"/>
        <v>Affy 1.0 ST</v>
      </c>
      <c r="G382" t="str">
        <f>"MGI:1914751"</f>
        <v>MGI:1914751</v>
      </c>
      <c r="H382" t="str">
        <f>"Ccdc50"</f>
        <v>Ccdc50</v>
      </c>
      <c r="I382" t="str">
        <f>"coiled-coil domain containing 50"</f>
        <v>coiled-coil domain containing 50</v>
      </c>
      <c r="J382" t="str">
        <f t="shared" si="24"/>
        <v>protein coding gene</v>
      </c>
    </row>
    <row r="383" spans="1:10">
      <c r="A383">
        <v>10585680</v>
      </c>
      <c r="B383">
        <v>2.5524635451942701</v>
      </c>
      <c r="C383">
        <v>0.61990453589716199</v>
      </c>
      <c r="E383" t="str">
        <f>"10585680"</f>
        <v>10585680</v>
      </c>
      <c r="F383" t="str">
        <f t="shared" si="23"/>
        <v>Affy 1.0 ST</v>
      </c>
      <c r="G383" t="str">
        <f>"MGI:3642697"</f>
        <v>MGI:3642697</v>
      </c>
      <c r="H383" t="str">
        <f>"Gm16493"</f>
        <v>Gm16493</v>
      </c>
      <c r="I383" t="str">
        <f>"predicted gene 16493"</f>
        <v>predicted gene 16493</v>
      </c>
      <c r="J383" t="str">
        <f t="shared" si="24"/>
        <v>protein coding gene</v>
      </c>
    </row>
    <row r="384" spans="1:10">
      <c r="A384">
        <v>10416793</v>
      </c>
      <c r="B384">
        <v>2.5520645088432401</v>
      </c>
      <c r="C384">
        <v>0.13941937459554499</v>
      </c>
      <c r="E384" t="str">
        <f>"10416793"</f>
        <v>10416793</v>
      </c>
      <c r="F384" t="str">
        <f t="shared" si="23"/>
        <v>Affy 1.0 ST</v>
      </c>
      <c r="G384" t="str">
        <f>"MGI:1355274"</f>
        <v>MGI:1355274</v>
      </c>
      <c r="H384" t="str">
        <f>"Uchl3"</f>
        <v>Uchl3</v>
      </c>
      <c r="I384" t="str">
        <f>"ubiquitin carboxyl-terminal esterase L3 (ubiquitin thiolesterase)"</f>
        <v>ubiquitin carboxyl-terminal esterase L3 (ubiquitin thiolesterase)</v>
      </c>
      <c r="J384" t="str">
        <f t="shared" si="24"/>
        <v>protein coding gene</v>
      </c>
    </row>
    <row r="385" spans="1:10">
      <c r="A385">
        <v>10542993</v>
      </c>
      <c r="B385">
        <v>2.5490843506751699</v>
      </c>
      <c r="C385">
        <v>0.39642487506358498</v>
      </c>
      <c r="E385" t="str">
        <f>"10542993"</f>
        <v>10542993</v>
      </c>
      <c r="F385" t="str">
        <f t="shared" si="23"/>
        <v>Affy 1.0 ST</v>
      </c>
      <c r="G385" t="str">
        <f>"MGI:106686"</f>
        <v>MGI:106686</v>
      </c>
      <c r="H385" t="str">
        <f>"Pon3"</f>
        <v>Pon3</v>
      </c>
      <c r="I385" t="str">
        <f>"paraoxonase 3"</f>
        <v>paraoxonase 3</v>
      </c>
      <c r="J385" t="str">
        <f t="shared" si="24"/>
        <v>protein coding gene</v>
      </c>
    </row>
    <row r="386" spans="1:10">
      <c r="A386">
        <v>10478160</v>
      </c>
      <c r="B386">
        <v>2.54540220001671</v>
      </c>
      <c r="C386">
        <v>0.777508495751282</v>
      </c>
      <c r="E386" t="str">
        <f>"10478160"</f>
        <v>10478160</v>
      </c>
      <c r="F386" t="str">
        <f t="shared" si="23"/>
        <v>Affy 1.0 ST</v>
      </c>
      <c r="G386" t="str">
        <f>"MGI:1919128"</f>
        <v>MGI:1919128</v>
      </c>
      <c r="H386" t="str">
        <f>"Fam83d"</f>
        <v>Fam83d</v>
      </c>
      <c r="I386" t="s">
        <v>43</v>
      </c>
      <c r="J386" t="s">
        <v>50</v>
      </c>
    </row>
    <row r="387" spans="1:10">
      <c r="A387">
        <v>10398173</v>
      </c>
      <c r="B387">
        <v>2.5414540555715601</v>
      </c>
      <c r="C387">
        <v>1.4965164904022701</v>
      </c>
      <c r="E387" t="str">
        <f>"10398173"</f>
        <v>10398173</v>
      </c>
      <c r="F387" t="str">
        <f t="shared" si="23"/>
        <v>Affy 1.0 ST</v>
      </c>
      <c r="G387" t="str">
        <f>"MGI:1261847"</f>
        <v>MGI:1261847</v>
      </c>
      <c r="H387" t="str">
        <f>"Vrk1"</f>
        <v>Vrk1</v>
      </c>
      <c r="I387" t="str">
        <f>"vaccinia related kinase 1"</f>
        <v>vaccinia related kinase 1</v>
      </c>
      <c r="J387" t="str">
        <f>"protein coding gene"</f>
        <v>protein coding gene</v>
      </c>
    </row>
    <row r="388" spans="1:10">
      <c r="A388">
        <v>10522301</v>
      </c>
      <c r="B388">
        <v>2.5412452462751198</v>
      </c>
      <c r="C388">
        <v>0.35252727077287199</v>
      </c>
      <c r="E388" t="str">
        <f>"10522301"</f>
        <v>10522301</v>
      </c>
      <c r="F388" t="str">
        <f t="shared" si="23"/>
        <v>Affy 1.0 ST</v>
      </c>
      <c r="G388" t="str">
        <f>"MGI:3577767"</f>
        <v>MGI:3577767</v>
      </c>
      <c r="H388" t="str">
        <f>"Grxcr1"</f>
        <v>Grxcr1</v>
      </c>
      <c r="I388" t="s">
        <v>44</v>
      </c>
      <c r="J388" t="s">
        <v>50</v>
      </c>
    </row>
    <row r="389" spans="1:10">
      <c r="A389">
        <v>10367744</v>
      </c>
      <c r="B389">
        <v>2.5360190160282601</v>
      </c>
      <c r="C389">
        <v>0.64879728344607301</v>
      </c>
      <c r="E389" t="str">
        <f>"10367744"</f>
        <v>10367744</v>
      </c>
      <c r="F389" t="str">
        <f>""</f>
        <v/>
      </c>
      <c r="G389" t="str">
        <f>"No associated gene"</f>
        <v>No associated gene</v>
      </c>
    </row>
    <row r="390" spans="1:10">
      <c r="A390">
        <v>10435791</v>
      </c>
      <c r="B390">
        <v>2.53443726874954</v>
      </c>
      <c r="C390">
        <v>0.55236629876726595</v>
      </c>
      <c r="E390" t="str">
        <f>"10435791"</f>
        <v>10435791</v>
      </c>
      <c r="F390" t="str">
        <f>""</f>
        <v/>
      </c>
      <c r="G390" t="str">
        <f>"No associated gene"</f>
        <v>No associated gene</v>
      </c>
    </row>
    <row r="391" spans="1:10">
      <c r="A391">
        <v>10512851</v>
      </c>
      <c r="B391">
        <v>2.53422345329479</v>
      </c>
      <c r="C391">
        <v>0.120658596772605</v>
      </c>
      <c r="E391" t="str">
        <f>"10512851"</f>
        <v>10512851</v>
      </c>
      <c r="F391" t="str">
        <f t="shared" ref="F391:F399" si="25">"Affy 1.0 ST"</f>
        <v>Affy 1.0 ST</v>
      </c>
      <c r="G391" t="str">
        <f>"MGI:1923549"</f>
        <v>MGI:1923549</v>
      </c>
      <c r="H391" t="str">
        <f>"Erp44"</f>
        <v>Erp44</v>
      </c>
      <c r="I391" t="str">
        <f>"endoplasmic reticulum protein 44"</f>
        <v>endoplasmic reticulum protein 44</v>
      </c>
      <c r="J391" t="str">
        <f>"protein coding gene"</f>
        <v>protein coding gene</v>
      </c>
    </row>
    <row r="392" spans="1:10">
      <c r="A392">
        <v>10508382</v>
      </c>
      <c r="B392">
        <v>2.5255014577188</v>
      </c>
      <c r="C392">
        <v>1.0567190159862401</v>
      </c>
      <c r="E392" t="str">
        <f>"10508382"</f>
        <v>10508382</v>
      </c>
      <c r="F392" t="str">
        <f t="shared" si="25"/>
        <v>Affy 1.0 ST</v>
      </c>
      <c r="G392" t="str">
        <f>"MGI:87978"</f>
        <v>MGI:87978</v>
      </c>
      <c r="H392" t="str">
        <f>"Ak2"</f>
        <v>Ak2</v>
      </c>
      <c r="I392" t="str">
        <f>"adenylate kinase 2"</f>
        <v>adenylate kinase 2</v>
      </c>
      <c r="J392" t="str">
        <f>"protein coding gene"</f>
        <v>protein coding gene</v>
      </c>
    </row>
    <row r="393" spans="1:10">
      <c r="A393">
        <v>10360460</v>
      </c>
      <c r="B393">
        <v>2.5234284795689002</v>
      </c>
      <c r="C393">
        <v>0.61075109014381002</v>
      </c>
      <c r="E393" t="str">
        <f>"10360460"</f>
        <v>10360460</v>
      </c>
      <c r="F393" t="str">
        <f t="shared" si="25"/>
        <v>Affy 1.0 ST</v>
      </c>
      <c r="G393" t="str">
        <f>"MGI:101913"</f>
        <v>MGI:101913</v>
      </c>
      <c r="H393" t="str">
        <f>"Chml"</f>
        <v>Chml</v>
      </c>
      <c r="I393" t="str">
        <f>"choroideremia-like"</f>
        <v>choroideremia-like</v>
      </c>
      <c r="J393" t="str">
        <f>"protein coding gene"</f>
        <v>protein coding gene</v>
      </c>
    </row>
    <row r="394" spans="1:10">
      <c r="A394">
        <v>10372534</v>
      </c>
      <c r="B394">
        <v>2.5229519336222301</v>
      </c>
      <c r="C394">
        <v>0.85690897312035996</v>
      </c>
      <c r="E394" t="str">
        <f>"10372534"</f>
        <v>10372534</v>
      </c>
      <c r="F394" t="str">
        <f t="shared" si="25"/>
        <v>Affy 1.0 ST</v>
      </c>
      <c r="G394" t="str">
        <f>"MGI:1919318"</f>
        <v>MGI:1919318</v>
      </c>
      <c r="H394" t="str">
        <f>"Cnot2"</f>
        <v>Cnot2</v>
      </c>
      <c r="I394" t="s">
        <v>45</v>
      </c>
      <c r="J394" t="s">
        <v>50</v>
      </c>
    </row>
    <row r="395" spans="1:10">
      <c r="A395">
        <v>10594758</v>
      </c>
      <c r="B395">
        <v>2.5182265356724698</v>
      </c>
      <c r="C395">
        <v>0.22555398280126601</v>
      </c>
      <c r="E395" t="str">
        <f>"10594758"</f>
        <v>10594758</v>
      </c>
      <c r="F395" t="str">
        <f t="shared" si="25"/>
        <v>Affy 1.0 ST</v>
      </c>
      <c r="G395" t="str">
        <f>"MGI:1919327"</f>
        <v>MGI:1919327</v>
      </c>
      <c r="H395" t="str">
        <f>"Gcnt3"</f>
        <v>Gcnt3</v>
      </c>
      <c r="I395" t="s">
        <v>46</v>
      </c>
      <c r="J395" t="s">
        <v>50</v>
      </c>
    </row>
    <row r="396" spans="1:10">
      <c r="A396">
        <v>10602385</v>
      </c>
      <c r="B396">
        <v>2.5111226049598501</v>
      </c>
      <c r="C396">
        <v>0.79586865971040399</v>
      </c>
      <c r="E396" t="str">
        <f>"10602385"</f>
        <v>10602385</v>
      </c>
      <c r="F396" t="str">
        <f t="shared" si="25"/>
        <v>Affy 1.0 ST</v>
      </c>
      <c r="G396" t="str">
        <f>"MGI:107816"</f>
        <v>MGI:107816</v>
      </c>
      <c r="H396" t="str">
        <f>"Pfkfb1"</f>
        <v>Pfkfb1</v>
      </c>
      <c r="I396" t="s">
        <v>126</v>
      </c>
      <c r="J396" t="s">
        <v>50</v>
      </c>
    </row>
    <row r="397" spans="1:10">
      <c r="A397">
        <v>10392437</v>
      </c>
      <c r="B397">
        <v>2.5085430587192898</v>
      </c>
      <c r="C397">
        <v>0.41575849523189201</v>
      </c>
      <c r="E397" t="str">
        <f>"10392437"</f>
        <v>10392437</v>
      </c>
      <c r="F397" t="str">
        <f t="shared" si="25"/>
        <v>Affy 1.0 ST</v>
      </c>
      <c r="G397" t="str">
        <f>"MGI:3701776"</f>
        <v>MGI:3701776</v>
      </c>
      <c r="H397" t="str">
        <f>"Gm11696"</f>
        <v>Gm11696</v>
      </c>
      <c r="I397" t="str">
        <f>"predicted gene 11696"</f>
        <v>predicted gene 11696</v>
      </c>
      <c r="J397" t="str">
        <f>"protein coding gene"</f>
        <v>protein coding gene</v>
      </c>
    </row>
    <row r="398" spans="1:10">
      <c r="A398">
        <v>10363599</v>
      </c>
      <c r="B398">
        <v>2.5001548760332799</v>
      </c>
      <c r="C398">
        <v>0.95014916952080597</v>
      </c>
      <c r="E398" t="str">
        <f>"10363599"</f>
        <v>10363599</v>
      </c>
      <c r="F398" t="str">
        <f t="shared" si="25"/>
        <v>Affy 1.0 ST</v>
      </c>
      <c r="G398" t="str">
        <f>"MGI:1917682"</f>
        <v>MGI:1917682</v>
      </c>
      <c r="H398" t="str">
        <f>"Rufy2"</f>
        <v>Rufy2</v>
      </c>
      <c r="I398" t="str">
        <f>"RUN and FYVE domain-containing 2"</f>
        <v>RUN and FYVE domain-containing 2</v>
      </c>
      <c r="J398" t="str">
        <f>"protein coding gene"</f>
        <v>protein coding gene</v>
      </c>
    </row>
    <row r="399" spans="1:10">
      <c r="A399">
        <v>10428310</v>
      </c>
      <c r="B399">
        <v>2.4991382916161702</v>
      </c>
      <c r="C399">
        <v>0.83619420809588296</v>
      </c>
      <c r="E399" t="str">
        <f>"10428310"</f>
        <v>10428310</v>
      </c>
      <c r="F399" t="str">
        <f t="shared" si="25"/>
        <v>Affy 1.0 ST</v>
      </c>
      <c r="G399" t="str">
        <f>"MGI:1859169"</f>
        <v>MGI:1859169</v>
      </c>
      <c r="H399" t="str">
        <f>"Azin1"</f>
        <v>Azin1</v>
      </c>
      <c r="I399" t="str">
        <f>"antizyme inhibitor 1"</f>
        <v>antizyme inhibitor 1</v>
      </c>
      <c r="J399" t="str">
        <f>"protein coding gene"</f>
        <v>protein coding gene</v>
      </c>
    </row>
    <row r="400" spans="1:10">
      <c r="A400">
        <v>10521757</v>
      </c>
      <c r="B400">
        <v>2.4973790890934602</v>
      </c>
      <c r="C400">
        <v>1.0606990596836201</v>
      </c>
      <c r="E400" t="str">
        <f>"10521757"</f>
        <v>10521757</v>
      </c>
      <c r="F400" t="str">
        <f>""</f>
        <v/>
      </c>
      <c r="G400" t="str">
        <f>"No associated gene"</f>
        <v>No associated gene</v>
      </c>
    </row>
    <row r="401" spans="1:10">
      <c r="A401">
        <v>10499483</v>
      </c>
      <c r="B401">
        <v>2.4891429995859902</v>
      </c>
      <c r="C401">
        <v>0.80240855660354504</v>
      </c>
      <c r="E401" t="str">
        <f>"10499483"</f>
        <v>10499483</v>
      </c>
      <c r="F401" t="str">
        <f>"Affy 1.0 ST"</f>
        <v>Affy 1.0 ST</v>
      </c>
      <c r="G401" t="str">
        <f>"MGI:104888"</f>
        <v>MGI:104888</v>
      </c>
      <c r="H401" t="str">
        <f>"Fdps"</f>
        <v>Fdps</v>
      </c>
      <c r="I401" t="str">
        <f>"farnesyl diphosphate synthetase"</f>
        <v>farnesyl diphosphate synthetase</v>
      </c>
      <c r="J401" t="str">
        <f>"protein coding gene"</f>
        <v>protein coding gene</v>
      </c>
    </row>
    <row r="402" spans="1:10">
      <c r="A402">
        <v>10429968</v>
      </c>
      <c r="B402">
        <v>2.4889849780027902</v>
      </c>
      <c r="C402">
        <v>0.67629388542240598</v>
      </c>
      <c r="E402" t="str">
        <f>"10429968"</f>
        <v>10429968</v>
      </c>
      <c r="F402" t="str">
        <f>""</f>
        <v/>
      </c>
      <c r="G402" t="str">
        <f>"No associated gene"</f>
        <v>No associated gene</v>
      </c>
    </row>
    <row r="403" spans="1:10">
      <c r="A403">
        <v>10395252</v>
      </c>
      <c r="B403">
        <v>2.4881503157188698</v>
      </c>
      <c r="C403">
        <v>0.33069564871108698</v>
      </c>
      <c r="E403" t="str">
        <f>"10395252"</f>
        <v>10395252</v>
      </c>
      <c r="F403" t="str">
        <f t="shared" ref="F403:F427" si="26">"Affy 1.0 ST"</f>
        <v>Affy 1.0 ST</v>
      </c>
      <c r="G403" t="str">
        <f>"MGI:1919373"</f>
        <v>MGI:1919373</v>
      </c>
      <c r="H403" t="str">
        <f>"2010109K11Rik"</f>
        <v>2010109K11Rik</v>
      </c>
      <c r="I403" t="str">
        <f>"RIKEN cDNA 2010109K11 gene"</f>
        <v>RIKEN cDNA 2010109K11 gene</v>
      </c>
      <c r="J403" t="str">
        <f>"protein coding gene"</f>
        <v>protein coding gene</v>
      </c>
    </row>
    <row r="404" spans="1:10">
      <c r="A404">
        <v>10465638</v>
      </c>
      <c r="B404">
        <v>2.4862664345251599</v>
      </c>
      <c r="C404">
        <v>0.45663272566656499</v>
      </c>
      <c r="E404" t="str">
        <f>"10465638"</f>
        <v>10465638</v>
      </c>
      <c r="F404" t="str">
        <f t="shared" si="26"/>
        <v>Affy 1.0 ST</v>
      </c>
      <c r="G404" t="str">
        <f>"MGI:1918249"</f>
        <v>MGI:1918249</v>
      </c>
      <c r="H404" t="str">
        <f>"Naa40"</f>
        <v>Naa40</v>
      </c>
      <c r="I404" t="s">
        <v>127</v>
      </c>
      <c r="J404" t="s">
        <v>50</v>
      </c>
    </row>
    <row r="405" spans="1:10">
      <c r="A405">
        <v>10572301</v>
      </c>
      <c r="B405">
        <v>2.4856422312709499</v>
      </c>
      <c r="C405">
        <v>3.4687531088228897E-2</v>
      </c>
      <c r="E405" t="str">
        <f>"10572301"</f>
        <v>10572301</v>
      </c>
      <c r="F405" t="str">
        <f t="shared" si="26"/>
        <v>Affy 1.0 ST</v>
      </c>
      <c r="G405" t="str">
        <f>"MGI:104526"</f>
        <v>MGI:104526</v>
      </c>
      <c r="H405" t="str">
        <f>"Mef2b"</f>
        <v>Mef2b</v>
      </c>
      <c r="I405" t="str">
        <f>"myocyte enhancer factor 2B"</f>
        <v>myocyte enhancer factor 2B</v>
      </c>
      <c r="J405" t="str">
        <f>"protein coding gene"</f>
        <v>protein coding gene</v>
      </c>
    </row>
    <row r="406" spans="1:10">
      <c r="A406">
        <v>10448925</v>
      </c>
      <c r="B406">
        <v>2.48378084778654</v>
      </c>
      <c r="C406">
        <v>0.242626657094031</v>
      </c>
      <c r="E406" t="str">
        <f>"10448925"</f>
        <v>10448925</v>
      </c>
      <c r="F406" t="str">
        <f t="shared" si="26"/>
        <v>Affy 1.0 ST</v>
      </c>
      <c r="G406" t="str">
        <f>"MGI:1928842"</f>
        <v>MGI:1928842</v>
      </c>
      <c r="H406" t="str">
        <f>"Cacna1h"</f>
        <v>Cacna1h</v>
      </c>
      <c r="I406" t="s">
        <v>128</v>
      </c>
      <c r="J406" t="s">
        <v>50</v>
      </c>
    </row>
    <row r="407" spans="1:10">
      <c r="A407">
        <v>10473190</v>
      </c>
      <c r="B407">
        <v>2.47833340633863</v>
      </c>
      <c r="C407">
        <v>0.53326071507089801</v>
      </c>
      <c r="E407" t="str">
        <f>"10473190"</f>
        <v>10473190</v>
      </c>
      <c r="F407" t="str">
        <f t="shared" si="26"/>
        <v>Affy 1.0 ST</v>
      </c>
      <c r="G407" t="str">
        <f>"MGI:1914111"</f>
        <v>MGI:1914111</v>
      </c>
      <c r="H407" t="str">
        <f>"Dnajc10"</f>
        <v>Dnajc10</v>
      </c>
      <c r="I407" t="s">
        <v>129</v>
      </c>
      <c r="J407" t="s">
        <v>50</v>
      </c>
    </row>
    <row r="408" spans="1:10">
      <c r="A408">
        <v>10438572</v>
      </c>
      <c r="B408">
        <v>2.4782002703817998</v>
      </c>
      <c r="C408">
        <v>0.17452538771249501</v>
      </c>
      <c r="E408" t="str">
        <f>"10438572"</f>
        <v>10438572</v>
      </c>
      <c r="F408" t="str">
        <f t="shared" si="26"/>
        <v>Affy 1.0 ST</v>
      </c>
      <c r="G408" t="str">
        <f>"MGI:1919440"</f>
        <v>MGI:1919440</v>
      </c>
      <c r="H408" t="str">
        <f>"2510009E07Rik"</f>
        <v>2510009E07Rik</v>
      </c>
      <c r="I408" t="str">
        <f>"RIKEN cDNA 2510009E07 gene"</f>
        <v>RIKEN cDNA 2510009E07 gene</v>
      </c>
      <c r="J408" t="str">
        <f>"protein coding gene"</f>
        <v>protein coding gene</v>
      </c>
    </row>
    <row r="409" spans="1:10">
      <c r="A409">
        <v>10392318</v>
      </c>
      <c r="B409">
        <v>2.47225514134036</v>
      </c>
      <c r="C409">
        <v>0.353123506837067</v>
      </c>
      <c r="E409" t="str">
        <f>"10392318"</f>
        <v>10392318</v>
      </c>
      <c r="F409" t="str">
        <f t="shared" si="26"/>
        <v>Affy 1.0 ST</v>
      </c>
      <c r="G409" t="str">
        <f>"MGI:2444008"</f>
        <v>MGI:2444008</v>
      </c>
      <c r="H409" t="str">
        <f>"Bptf"</f>
        <v>Bptf</v>
      </c>
      <c r="I409" t="str">
        <f>"bromodomain PHD finger transcription factor"</f>
        <v>bromodomain PHD finger transcription factor</v>
      </c>
      <c r="J409" t="str">
        <f>"protein coding gene"</f>
        <v>protein coding gene</v>
      </c>
    </row>
    <row r="410" spans="1:10">
      <c r="A410">
        <v>10353549</v>
      </c>
      <c r="B410">
        <v>2.4678061611769699</v>
      </c>
      <c r="C410">
        <v>0.21617048059198901</v>
      </c>
      <c r="E410" t="str">
        <f>"10353549"</f>
        <v>10353549</v>
      </c>
      <c r="F410" t="str">
        <f t="shared" si="26"/>
        <v>Affy 1.0 ST</v>
      </c>
      <c r="G410" t="str">
        <f>"MGI:1915437"</f>
        <v>MGI:1915437</v>
      </c>
      <c r="H410" t="str">
        <f>"Fam135a"</f>
        <v>Fam135a</v>
      </c>
      <c r="I410" t="s">
        <v>130</v>
      </c>
      <c r="J410" t="s">
        <v>50</v>
      </c>
    </row>
    <row r="411" spans="1:10">
      <c r="A411">
        <v>10359917</v>
      </c>
      <c r="B411">
        <v>2.4672014496836798</v>
      </c>
      <c r="C411">
        <v>0.55985024977988196</v>
      </c>
      <c r="E411" t="str">
        <f>"10359917"</f>
        <v>10359917</v>
      </c>
      <c r="F411" t="str">
        <f t="shared" si="26"/>
        <v>Affy 1.0 ST</v>
      </c>
      <c r="G411" t="str">
        <f>"MGI:1330808"</f>
        <v>MGI:1330808</v>
      </c>
      <c r="H411" t="str">
        <f>"Hsd17b7"</f>
        <v>Hsd17b7</v>
      </c>
      <c r="I411" t="str">
        <f>"hydroxysteroid (17-beta) dehydrogenase 7"</f>
        <v>hydroxysteroid (17-beta) dehydrogenase 7</v>
      </c>
      <c r="J411" t="str">
        <f>"protein coding gene"</f>
        <v>protein coding gene</v>
      </c>
    </row>
    <row r="412" spans="1:10">
      <c r="A412">
        <v>10493664</v>
      </c>
      <c r="B412">
        <v>2.4651620835066699</v>
      </c>
      <c r="C412">
        <v>0.39577815273954497</v>
      </c>
      <c r="E412" t="str">
        <f>"10493664"</f>
        <v>10493664</v>
      </c>
      <c r="F412" t="str">
        <f t="shared" si="26"/>
        <v>Affy 1.0 ST</v>
      </c>
      <c r="G412" t="str">
        <f>"MGI:1924845"</f>
        <v>MGI:1924845</v>
      </c>
      <c r="H412" t="str">
        <f>"Nup210l"</f>
        <v>Nup210l</v>
      </c>
      <c r="I412" t="str">
        <f>"nucleoporin 210-like"</f>
        <v>nucleoporin 210-like</v>
      </c>
      <c r="J412" t="str">
        <f>"protein coding gene"</f>
        <v>protein coding gene</v>
      </c>
    </row>
    <row r="413" spans="1:10">
      <c r="A413">
        <v>10456566</v>
      </c>
      <c r="B413">
        <v>2.46018617970058</v>
      </c>
      <c r="C413">
        <v>0.78383863199787496</v>
      </c>
      <c r="E413" t="str">
        <f>"10456566"</f>
        <v>10456566</v>
      </c>
      <c r="F413" t="str">
        <f t="shared" si="26"/>
        <v>Affy 1.0 ST</v>
      </c>
      <c r="G413" t="str">
        <f>"MGI:1333813"</f>
        <v>MGI:1333813</v>
      </c>
      <c r="H413" t="str">
        <f>"Mbd2"</f>
        <v>Mbd2</v>
      </c>
      <c r="I413" t="str">
        <f>"methyl-CpG binding domain protein 2"</f>
        <v>methyl-CpG binding domain protein 2</v>
      </c>
      <c r="J413" t="str">
        <f>"protein coding gene"</f>
        <v>protein coding gene</v>
      </c>
    </row>
    <row r="414" spans="1:10">
      <c r="A414">
        <v>10578521</v>
      </c>
      <c r="B414">
        <v>2.4596246624165001</v>
      </c>
      <c r="C414">
        <v>1.09874904201541</v>
      </c>
      <c r="E414" t="str">
        <f>"10578521"</f>
        <v>10578521</v>
      </c>
      <c r="F414" t="str">
        <f t="shared" si="26"/>
        <v>Affy 1.0 ST</v>
      </c>
      <c r="G414" t="str">
        <f>"MGI:2142610"</f>
        <v>MGI:2142610</v>
      </c>
      <c r="H414" t="str">
        <f>"Snx25"</f>
        <v>Snx25</v>
      </c>
      <c r="I414" t="str">
        <f>"sorting nexin 25"</f>
        <v>sorting nexin 25</v>
      </c>
      <c r="J414" t="str">
        <f>"protein coding gene"</f>
        <v>protein coding gene</v>
      </c>
    </row>
    <row r="415" spans="1:10">
      <c r="A415">
        <v>10595382</v>
      </c>
      <c r="B415">
        <v>2.45453763710539</v>
      </c>
      <c r="C415">
        <v>0.32315387762563003</v>
      </c>
      <c r="E415" t="str">
        <f>"10595382"</f>
        <v>10595382</v>
      </c>
      <c r="F415" t="str">
        <f t="shared" si="26"/>
        <v>Affy 1.0 ST</v>
      </c>
      <c r="G415" t="str">
        <f>"MGI:1923032"</f>
        <v>MGI:1923032</v>
      </c>
      <c r="H415" t="str">
        <f>"Lca5"</f>
        <v>Lca5</v>
      </c>
      <c r="I415" t="str">
        <f>"Leber congenital amaurosis 5 (human)"</f>
        <v>Leber congenital amaurosis 5 (human)</v>
      </c>
      <c r="J415" t="str">
        <f>"protein coding gene"</f>
        <v>protein coding gene</v>
      </c>
    </row>
    <row r="416" spans="1:10">
      <c r="A416">
        <v>10360679</v>
      </c>
      <c r="B416">
        <v>2.45180496213526</v>
      </c>
      <c r="C416">
        <v>0.18677460427763801</v>
      </c>
      <c r="E416" t="str">
        <f>"10360679"</f>
        <v>10360679</v>
      </c>
      <c r="F416" t="str">
        <f t="shared" si="26"/>
        <v>Affy 1.0 ST</v>
      </c>
      <c r="G416" t="str">
        <f>"MGI:1097686"</f>
        <v>MGI:1097686</v>
      </c>
      <c r="H416" t="str">
        <f>"H3f3a"</f>
        <v>H3f3a</v>
      </c>
      <c r="I416" t="s">
        <v>35</v>
      </c>
      <c r="J416" t="s">
        <v>50</v>
      </c>
    </row>
    <row r="417" spans="1:10">
      <c r="A417">
        <v>10594812</v>
      </c>
      <c r="B417">
        <v>2.4493617110364898</v>
      </c>
      <c r="C417">
        <v>0.64937460532805702</v>
      </c>
      <c r="E417" t="str">
        <f>"10594812"</f>
        <v>10594812</v>
      </c>
      <c r="F417" t="str">
        <f t="shared" si="26"/>
        <v>Affy 1.0 ST</v>
      </c>
      <c r="G417" t="str">
        <f>"MGI:96216"</f>
        <v>MGI:96216</v>
      </c>
      <c r="H417" t="str">
        <f>"Lipc"</f>
        <v>Lipc</v>
      </c>
      <c r="I417" t="s">
        <v>131</v>
      </c>
      <c r="J417" t="s">
        <v>50</v>
      </c>
    </row>
    <row r="418" spans="1:10">
      <c r="A418">
        <v>10527158</v>
      </c>
      <c r="B418">
        <v>2.4391186577811199</v>
      </c>
      <c r="C418">
        <v>0.16832930729964399</v>
      </c>
      <c r="E418" t="str">
        <f>"10527158"</f>
        <v>10527158</v>
      </c>
      <c r="F418" t="str">
        <f t="shared" si="26"/>
        <v>Affy 1.0 ST</v>
      </c>
      <c r="G418" t="str">
        <f>"MGI:1352745"</f>
        <v>MGI:1352745</v>
      </c>
      <c r="H418" t="str">
        <f>"Fscn1"</f>
        <v>Fscn1</v>
      </c>
      <c r="I418" t="s">
        <v>132</v>
      </c>
      <c r="J418" t="s">
        <v>50</v>
      </c>
    </row>
    <row r="419" spans="1:10">
      <c r="A419">
        <v>10479041</v>
      </c>
      <c r="B419">
        <v>2.4363681294012101</v>
      </c>
      <c r="C419">
        <v>0.90272133690955703</v>
      </c>
      <c r="E419" t="str">
        <f>"10479041"</f>
        <v>10479041</v>
      </c>
      <c r="F419" t="str">
        <f t="shared" si="26"/>
        <v>Affy 1.0 ST</v>
      </c>
      <c r="G419" t="str">
        <f>"MGI:1889294"</f>
        <v>MGI:1889294</v>
      </c>
      <c r="H419" t="str">
        <f>"Rbm38"</f>
        <v>Rbm38</v>
      </c>
      <c r="I419" t="str">
        <f>"RNA binding motif protein 38"</f>
        <v>RNA binding motif protein 38</v>
      </c>
      <c r="J419" t="str">
        <f t="shared" ref="J419:J426" si="27">"protein coding gene"</f>
        <v>protein coding gene</v>
      </c>
    </row>
    <row r="420" spans="1:10">
      <c r="A420">
        <v>10400030</v>
      </c>
      <c r="B420">
        <v>2.42999565505268</v>
      </c>
      <c r="C420">
        <v>0.31913243495205401</v>
      </c>
      <c r="E420" t="str">
        <f>"10400030"</f>
        <v>10400030</v>
      </c>
      <c r="F420" t="str">
        <f t="shared" si="26"/>
        <v>Affy 1.0 ST</v>
      </c>
      <c r="G420" t="str">
        <f>"MGI:1914162"</f>
        <v>MGI:1914162</v>
      </c>
      <c r="H420" t="str">
        <f>"Bzw2"</f>
        <v>Bzw2</v>
      </c>
      <c r="I420" t="str">
        <f>"basic leucine zipper and W2 domains 2"</f>
        <v>basic leucine zipper and W2 domains 2</v>
      </c>
      <c r="J420" t="str">
        <f t="shared" si="27"/>
        <v>protein coding gene</v>
      </c>
    </row>
    <row r="421" spans="1:10">
      <c r="A421">
        <v>10436169</v>
      </c>
      <c r="B421">
        <v>2.4230718847952399</v>
      </c>
      <c r="C421">
        <v>1.3680505333255799</v>
      </c>
      <c r="E421" t="str">
        <f>"10436169"</f>
        <v>10436169</v>
      </c>
      <c r="F421" t="str">
        <f t="shared" si="26"/>
        <v>Affy 1.0 ST</v>
      </c>
      <c r="G421" t="str">
        <f>"MGI:1921166"</f>
        <v>MGI:1921166</v>
      </c>
      <c r="H421" t="str">
        <f>"Ift57"</f>
        <v>Ift57</v>
      </c>
      <c r="I421" t="str">
        <f>"intraflagellar transport 57 homolog (Chlamydomonas)"</f>
        <v>intraflagellar transport 57 homolog (Chlamydomonas)</v>
      </c>
      <c r="J421" t="str">
        <f t="shared" si="27"/>
        <v>protein coding gene</v>
      </c>
    </row>
    <row r="422" spans="1:10">
      <c r="A422">
        <v>10387638</v>
      </c>
      <c r="B422">
        <v>2.42063573710863</v>
      </c>
      <c r="C422">
        <v>9.2882552521692502E-2</v>
      </c>
      <c r="E422" t="str">
        <f>"10387638"</f>
        <v>10387638</v>
      </c>
      <c r="F422" t="str">
        <f t="shared" si="26"/>
        <v>Affy 1.0 ST</v>
      </c>
      <c r="G422" t="str">
        <f>"MGI:109167"</f>
        <v>MGI:109167</v>
      </c>
      <c r="H422" t="str">
        <f>"Fgf11"</f>
        <v>Fgf11</v>
      </c>
      <c r="I422" t="str">
        <f>"fibroblast growth factor 11"</f>
        <v>fibroblast growth factor 11</v>
      </c>
      <c r="J422" t="str">
        <f t="shared" si="27"/>
        <v>protein coding gene</v>
      </c>
    </row>
    <row r="423" spans="1:10">
      <c r="A423">
        <v>10458285</v>
      </c>
      <c r="B423">
        <v>2.41972539783136</v>
      </c>
      <c r="C423">
        <v>0.33918070335100697</v>
      </c>
      <c r="E423" t="str">
        <f>"10458285"</f>
        <v>10458285</v>
      </c>
      <c r="F423" t="str">
        <f t="shared" si="26"/>
        <v>Affy 1.0 ST</v>
      </c>
      <c r="G423" t="str">
        <f>"MGI:1918492"</f>
        <v>MGI:1918492</v>
      </c>
      <c r="H423" t="str">
        <f>"Spata24"</f>
        <v>Spata24</v>
      </c>
      <c r="I423" t="str">
        <f>"spermatogenesis associated 24"</f>
        <v>spermatogenesis associated 24</v>
      </c>
      <c r="J423" t="str">
        <f t="shared" si="27"/>
        <v>protein coding gene</v>
      </c>
    </row>
    <row r="424" spans="1:10">
      <c r="A424">
        <v>10395831</v>
      </c>
      <c r="B424">
        <v>2.4183890388894098</v>
      </c>
      <c r="C424">
        <v>0.51306094130204505</v>
      </c>
      <c r="E424" t="str">
        <f>"10395831"</f>
        <v>10395831</v>
      </c>
      <c r="F424" t="str">
        <f t="shared" si="26"/>
        <v>Affy 1.0 ST</v>
      </c>
      <c r="G424" t="str">
        <f>"MGI:1196337"</f>
        <v>MGI:1196337</v>
      </c>
      <c r="H424" t="str">
        <f>"Brms1l"</f>
        <v>Brms1l</v>
      </c>
      <c r="I424" t="str">
        <f>"breast cancer metastasis-suppressor 1-like"</f>
        <v>breast cancer metastasis-suppressor 1-like</v>
      </c>
      <c r="J424" t="str">
        <f t="shared" si="27"/>
        <v>protein coding gene</v>
      </c>
    </row>
    <row r="425" spans="1:10">
      <c r="A425">
        <v>10513320</v>
      </c>
      <c r="B425">
        <v>2.4111828277107499</v>
      </c>
      <c r="C425">
        <v>0.61527810599400601</v>
      </c>
      <c r="E425" t="str">
        <f>"10513320"</f>
        <v>10513320</v>
      </c>
      <c r="F425" t="str">
        <f t="shared" si="26"/>
        <v>Affy 1.0 ST</v>
      </c>
      <c r="G425" t="str">
        <f>"MGI:1914353"</f>
        <v>MGI:1914353</v>
      </c>
      <c r="H425" t="str">
        <f>"Ptgr1"</f>
        <v>Ptgr1</v>
      </c>
      <c r="I425" t="str">
        <f>"prostaglandin reductase 1"</f>
        <v>prostaglandin reductase 1</v>
      </c>
      <c r="J425" t="str">
        <f t="shared" si="27"/>
        <v>protein coding gene</v>
      </c>
    </row>
    <row r="426" spans="1:10">
      <c r="A426">
        <v>10392300</v>
      </c>
      <c r="B426">
        <v>2.4012441354593799</v>
      </c>
      <c r="C426">
        <v>0.245665109173998</v>
      </c>
      <c r="E426" t="str">
        <f>"10392300"</f>
        <v>10392300</v>
      </c>
      <c r="F426" t="str">
        <f t="shared" si="26"/>
        <v>Affy 1.0 ST</v>
      </c>
      <c r="G426" t="str">
        <f>"MGI:2444008"</f>
        <v>MGI:2444008</v>
      </c>
      <c r="H426" t="str">
        <f>"Bptf"</f>
        <v>Bptf</v>
      </c>
      <c r="I426" t="str">
        <f>"bromodomain PHD finger transcription factor"</f>
        <v>bromodomain PHD finger transcription factor</v>
      </c>
      <c r="J426" t="str">
        <f t="shared" si="27"/>
        <v>protein coding gene</v>
      </c>
    </row>
    <row r="427" spans="1:10">
      <c r="A427">
        <v>10583326</v>
      </c>
      <c r="B427">
        <v>2.3927943319448999</v>
      </c>
      <c r="C427">
        <v>0.41295268134000801</v>
      </c>
      <c r="E427" t="str">
        <f>"10583326"</f>
        <v>10583326</v>
      </c>
      <c r="F427" t="str">
        <f t="shared" si="26"/>
        <v>Affy 1.0 ST</v>
      </c>
      <c r="G427" t="str">
        <f>"MGI:2442595"</f>
        <v>MGI:2442595</v>
      </c>
      <c r="H427" t="str">
        <f>"Slc36a4"</f>
        <v>Slc36a4</v>
      </c>
      <c r="I427" t="s">
        <v>133</v>
      </c>
      <c r="J427" t="s">
        <v>50</v>
      </c>
    </row>
    <row r="428" spans="1:10">
      <c r="A428">
        <v>10390746</v>
      </c>
      <c r="B428">
        <v>2.3908926736660798</v>
      </c>
      <c r="C428">
        <v>0.34104750481483898</v>
      </c>
      <c r="E428" t="str">
        <f>"10390746"</f>
        <v>10390746</v>
      </c>
      <c r="F428" t="str">
        <f>""</f>
        <v/>
      </c>
      <c r="G428" t="str">
        <f>"No associated gene"</f>
        <v>No associated gene</v>
      </c>
    </row>
    <row r="429" spans="1:10">
      <c r="A429">
        <v>10470564</v>
      </c>
      <c r="B429">
        <v>2.3875512806678798</v>
      </c>
      <c r="C429">
        <v>1.008614625473</v>
      </c>
      <c r="E429" t="str">
        <f>"10470564"</f>
        <v>10470564</v>
      </c>
      <c r="F429" t="str">
        <f t="shared" ref="F429:F434" si="28">"Affy 1.0 ST"</f>
        <v>Affy 1.0 ST</v>
      </c>
      <c r="G429" t="str">
        <f>"MGI:107485"</f>
        <v>MGI:107485</v>
      </c>
      <c r="H429" t="str">
        <f>"Ralgds"</f>
        <v>Ralgds</v>
      </c>
      <c r="I429" t="str">
        <f>"ral guanine nucleotide dissociation stimulator"</f>
        <v>ral guanine nucleotide dissociation stimulator</v>
      </c>
      <c r="J429" t="str">
        <f>"protein coding gene"</f>
        <v>protein coding gene</v>
      </c>
    </row>
    <row r="430" spans="1:10">
      <c r="A430">
        <v>10425370</v>
      </c>
      <c r="B430">
        <v>2.38288000839467</v>
      </c>
      <c r="C430">
        <v>0.64356346309986001</v>
      </c>
      <c r="E430" t="str">
        <f>"10425370"</f>
        <v>10425370</v>
      </c>
      <c r="F430" t="str">
        <f t="shared" si="28"/>
        <v>Affy 1.0 ST</v>
      </c>
      <c r="G430" t="str">
        <f>"MGI:2178051"</f>
        <v>MGI:2178051</v>
      </c>
      <c r="H430" t="str">
        <f>"Cacna1i"</f>
        <v>Cacna1i</v>
      </c>
      <c r="I430" t="s">
        <v>134</v>
      </c>
      <c r="J430" t="s">
        <v>50</v>
      </c>
    </row>
    <row r="431" spans="1:10">
      <c r="A431">
        <v>10425695</v>
      </c>
      <c r="B431">
        <v>2.3766385392917102</v>
      </c>
      <c r="C431">
        <v>1.2804811163304599</v>
      </c>
      <c r="E431" t="str">
        <f>"10425695"</f>
        <v>10425695</v>
      </c>
      <c r="F431" t="str">
        <f t="shared" si="28"/>
        <v>Affy 1.0 ST</v>
      </c>
      <c r="G431" t="str">
        <f>"MGI:107585"</f>
        <v>MGI:107585</v>
      </c>
      <c r="H431" t="str">
        <f>"Srebf2"</f>
        <v>Srebf2</v>
      </c>
      <c r="I431" t="str">
        <f>"sterol regulatory element binding factor 2"</f>
        <v>sterol regulatory element binding factor 2</v>
      </c>
      <c r="J431" t="str">
        <f>"protein coding gene"</f>
        <v>protein coding gene</v>
      </c>
    </row>
    <row r="432" spans="1:10">
      <c r="A432">
        <v>10607877</v>
      </c>
      <c r="B432">
        <v>2.37630096900073</v>
      </c>
      <c r="C432">
        <v>0.81124024883139001</v>
      </c>
      <c r="E432" t="str">
        <f>"10607877"</f>
        <v>10607877</v>
      </c>
      <c r="F432" t="str">
        <f t="shared" si="28"/>
        <v>Affy 1.0 ST</v>
      </c>
      <c r="G432" t="str">
        <f>"MGI:97776"</f>
        <v>MGI:97776</v>
      </c>
      <c r="H432" t="str">
        <f>"Prps2"</f>
        <v>Prps2</v>
      </c>
      <c r="I432" t="str">
        <f>"phosphoribosyl pyrophosphate synthetase 2"</f>
        <v>phosphoribosyl pyrophosphate synthetase 2</v>
      </c>
      <c r="J432" t="str">
        <f>"protein coding gene"</f>
        <v>protein coding gene</v>
      </c>
    </row>
    <row r="433" spans="1:10">
      <c r="A433">
        <v>10583228</v>
      </c>
      <c r="B433">
        <v>2.37440785600492</v>
      </c>
      <c r="C433">
        <v>0.529953247481319</v>
      </c>
      <c r="E433" t="str">
        <f>"10583228"</f>
        <v>10583228</v>
      </c>
      <c r="F433" t="str">
        <f t="shared" si="28"/>
        <v>Affy 1.0 ST</v>
      </c>
      <c r="G433" t="str">
        <f>"MGI:1920076"</f>
        <v>MGI:1920076</v>
      </c>
      <c r="H433" t="str">
        <f>"Fam76b"</f>
        <v>Fam76b</v>
      </c>
      <c r="I433" t="s">
        <v>135</v>
      </c>
      <c r="J433" t="s">
        <v>50</v>
      </c>
    </row>
    <row r="434" spans="1:10">
      <c r="A434">
        <v>10394498</v>
      </c>
      <c r="B434">
        <v>2.36861480685877</v>
      </c>
      <c r="C434">
        <v>0.61774355078373799</v>
      </c>
      <c r="E434" t="str">
        <f>"10394498"</f>
        <v>10394498</v>
      </c>
      <c r="F434" t="str">
        <f t="shared" si="28"/>
        <v>Affy 1.0 ST</v>
      </c>
      <c r="G434" t="str">
        <f>"MGI:1921932"</f>
        <v>MGI:1921932</v>
      </c>
      <c r="H434" t="str">
        <f>"Wdr35"</f>
        <v>Wdr35</v>
      </c>
      <c r="I434" t="str">
        <f>"WD repeat domain 35"</f>
        <v>WD repeat domain 35</v>
      </c>
      <c r="J434" t="str">
        <f>"protein coding gene"</f>
        <v>protein coding gene</v>
      </c>
    </row>
    <row r="435" spans="1:10">
      <c r="A435">
        <v>10608667</v>
      </c>
      <c r="B435">
        <v>2.36612232071076</v>
      </c>
      <c r="C435">
        <v>0.75246094812533804</v>
      </c>
      <c r="E435" t="str">
        <f>"10608667"</f>
        <v>10608667</v>
      </c>
      <c r="F435" t="str">
        <f>""</f>
        <v/>
      </c>
      <c r="G435" t="str">
        <f>"No associated gene"</f>
        <v>No associated gene</v>
      </c>
    </row>
    <row r="436" spans="1:10">
      <c r="A436">
        <v>10364559</v>
      </c>
      <c r="B436">
        <v>2.3646442842610802</v>
      </c>
      <c r="C436">
        <v>0.27476541299174001</v>
      </c>
      <c r="E436" t="str">
        <f>"10364559"</f>
        <v>10364559</v>
      </c>
      <c r="F436" t="str">
        <f>"Affy 1.0 ST"</f>
        <v>Affy 1.0 ST</v>
      </c>
      <c r="G436" t="str">
        <f>"MGI:1328360"</f>
        <v>MGI:1328360</v>
      </c>
      <c r="H436" t="str">
        <f>"Arid3a"</f>
        <v>Arid3a</v>
      </c>
      <c r="I436" t="str">
        <f>"AT rich interactive domain 3A (BRIGHT-like)"</f>
        <v>AT rich interactive domain 3A (BRIGHT-like)</v>
      </c>
      <c r="J436" t="str">
        <f>"protein coding gene"</f>
        <v>protein coding gene</v>
      </c>
    </row>
    <row r="437" spans="1:10">
      <c r="A437">
        <v>10407511</v>
      </c>
      <c r="B437">
        <v>2.3632424623219999</v>
      </c>
      <c r="C437">
        <v>1.0161909389706001</v>
      </c>
      <c r="E437" t="str">
        <f>"10407511"</f>
        <v>10407511</v>
      </c>
      <c r="F437" t="str">
        <f>""</f>
        <v/>
      </c>
      <c r="G437" t="str">
        <f>"No associated gene"</f>
        <v>No associated gene</v>
      </c>
    </row>
    <row r="438" spans="1:10">
      <c r="A438">
        <v>10341863</v>
      </c>
      <c r="B438">
        <v>2.36209043531984</v>
      </c>
      <c r="C438">
        <v>0.16111070220729901</v>
      </c>
      <c r="E438" t="str">
        <f>"10341863"</f>
        <v>10341863</v>
      </c>
      <c r="F438" t="str">
        <f>""</f>
        <v/>
      </c>
      <c r="G438" t="str">
        <f>"No associated gene"</f>
        <v>No associated gene</v>
      </c>
    </row>
    <row r="439" spans="1:10">
      <c r="A439">
        <v>10401343</v>
      </c>
      <c r="B439">
        <v>2.3584471469563999</v>
      </c>
      <c r="C439">
        <v>0.69571540924614905</v>
      </c>
      <c r="E439" t="str">
        <f>"10401343"</f>
        <v>10401343</v>
      </c>
      <c r="F439" t="str">
        <f>"Affy 1.0 ST"</f>
        <v>Affy 1.0 ST</v>
      </c>
      <c r="G439" t="str">
        <f>"MGI:2449952"</f>
        <v>MGI:2449952</v>
      </c>
      <c r="H439" t="str">
        <f>"Map3k9"</f>
        <v>Map3k9</v>
      </c>
      <c r="I439" t="str">
        <f>"mitogen-activated protein kinase kinase kinase 9"</f>
        <v>mitogen-activated protein kinase kinase kinase 9</v>
      </c>
      <c r="J439" t="str">
        <f>"protein coding gene"</f>
        <v>protein coding gene</v>
      </c>
    </row>
    <row r="440" spans="1:10">
      <c r="A440">
        <v>10549530</v>
      </c>
      <c r="B440">
        <v>2.35470667943386</v>
      </c>
      <c r="C440">
        <v>0.68663467721816496</v>
      </c>
      <c r="E440" t="str">
        <f>"10549530"</f>
        <v>10549530</v>
      </c>
      <c r="F440" t="str">
        <f>""</f>
        <v/>
      </c>
      <c r="G440" t="str">
        <f>"No associated gene"</f>
        <v>No associated gene</v>
      </c>
    </row>
    <row r="441" spans="1:10">
      <c r="A441">
        <v>10381798</v>
      </c>
      <c r="B441">
        <v>2.35191894835476</v>
      </c>
      <c r="C441">
        <v>0.48452255650762099</v>
      </c>
      <c r="E441" t="str">
        <f>"10381798"</f>
        <v>10381798</v>
      </c>
      <c r="F441" t="str">
        <f t="shared" ref="F441:F448" si="29">"Affy 1.0 ST"</f>
        <v>Affy 1.0 ST</v>
      </c>
      <c r="G441" t="str">
        <f>"MGI:97267"</f>
        <v>MGI:97267</v>
      </c>
      <c r="H441" t="str">
        <f>"Myl4"</f>
        <v>Myl4</v>
      </c>
      <c r="I441" t="s">
        <v>136</v>
      </c>
      <c r="J441" t="s">
        <v>50</v>
      </c>
    </row>
    <row r="442" spans="1:10">
      <c r="A442">
        <v>10389561</v>
      </c>
      <c r="B442">
        <v>2.3515631057854698</v>
      </c>
      <c r="C442">
        <v>1.02261844643952</v>
      </c>
      <c r="E442" t="str">
        <f>"10389561"</f>
        <v>10389561</v>
      </c>
      <c r="F442" t="str">
        <f t="shared" si="29"/>
        <v>Affy 1.0 ST</v>
      </c>
      <c r="G442" t="str">
        <f>"MGI:1914737"</f>
        <v>MGI:1914737</v>
      </c>
      <c r="H442" t="str">
        <f>"Dhx40"</f>
        <v>Dhx40</v>
      </c>
      <c r="I442" t="str">
        <f>"DEAH (Asp-Glu-Ala-His) box polypeptide 40"</f>
        <v>DEAH (Asp-Glu-Ala-His) box polypeptide 40</v>
      </c>
      <c r="J442" t="str">
        <f>"protein coding gene"</f>
        <v>protein coding gene</v>
      </c>
    </row>
    <row r="443" spans="1:10">
      <c r="A443">
        <v>10553935</v>
      </c>
      <c r="B443">
        <v>2.3511664364717699</v>
      </c>
      <c r="C443">
        <v>0.77922801122909802</v>
      </c>
      <c r="E443" t="str">
        <f>"10553935"</f>
        <v>10553935</v>
      </c>
      <c r="F443" t="str">
        <f t="shared" si="29"/>
        <v>Affy 1.0 ST</v>
      </c>
      <c r="G443" t="str">
        <f>"MGI:2444486"</f>
        <v>MGI:2444486</v>
      </c>
      <c r="H443" t="str">
        <f>"Tarsl2"</f>
        <v>Tarsl2</v>
      </c>
      <c r="I443" t="str">
        <f>"threonyl-tRNA synthetase-like 2"</f>
        <v>threonyl-tRNA synthetase-like 2</v>
      </c>
      <c r="J443" t="str">
        <f>"protein coding gene"</f>
        <v>protein coding gene</v>
      </c>
    </row>
    <row r="444" spans="1:10">
      <c r="A444">
        <v>10581729</v>
      </c>
      <c r="B444">
        <v>2.3486101536306498</v>
      </c>
      <c r="C444">
        <v>0.82856275363062304</v>
      </c>
      <c r="E444" t="str">
        <f>"10581729"</f>
        <v>10581729</v>
      </c>
      <c r="F444" t="str">
        <f t="shared" si="29"/>
        <v>Affy 1.0 ST</v>
      </c>
      <c r="G444" t="str">
        <f>"MGI:99526"</f>
        <v>MGI:99526</v>
      </c>
      <c r="H444" t="str">
        <f>"Ddx19a"</f>
        <v>Ddx19a</v>
      </c>
      <c r="I444" t="str">
        <f>"DEAD (Asp-Glu-Ala-Asp) box polypeptide 19a"</f>
        <v>DEAD (Asp-Glu-Ala-Asp) box polypeptide 19a</v>
      </c>
      <c r="J444" t="str">
        <f>"protein coding gene"</f>
        <v>protein coding gene</v>
      </c>
    </row>
    <row r="445" spans="1:10">
      <c r="A445">
        <v>10498332</v>
      </c>
      <c r="B445">
        <v>2.3421126875529001</v>
      </c>
      <c r="C445">
        <v>0.191514196043302</v>
      </c>
      <c r="E445" t="str">
        <f>"10498332"</f>
        <v>10498332</v>
      </c>
      <c r="F445" t="str">
        <f t="shared" si="29"/>
        <v>Affy 1.0 ST</v>
      </c>
      <c r="G445" t="str">
        <f>"MGI:108062"</f>
        <v>MGI:108062</v>
      </c>
      <c r="H445" t="str">
        <f>"Siah2"</f>
        <v>Siah2</v>
      </c>
      <c r="I445" t="str">
        <f>"seven in absentia 2"</f>
        <v>seven in absentia 2</v>
      </c>
      <c r="J445" t="str">
        <f>"protein coding gene"</f>
        <v>protein coding gene</v>
      </c>
    </row>
    <row r="446" spans="1:10">
      <c r="A446">
        <v>10433161</v>
      </c>
      <c r="B446">
        <v>2.3370937662937998</v>
      </c>
      <c r="C446">
        <v>0.145221717969786</v>
      </c>
      <c r="E446" t="str">
        <f>"10433161"</f>
        <v>10433161</v>
      </c>
      <c r="F446" t="str">
        <f t="shared" si="29"/>
        <v>Affy 1.0 ST</v>
      </c>
      <c r="G446" t="str">
        <f>"MGI:3779834"</f>
        <v>MGI:3779834</v>
      </c>
      <c r="H446" t="str">
        <f>"Gm9106"</f>
        <v>Gm9106</v>
      </c>
      <c r="I446" t="str">
        <f>"predicted gene 9106"</f>
        <v>predicted gene 9106</v>
      </c>
      <c r="J446" t="str">
        <f>"pseudogene"</f>
        <v>pseudogene</v>
      </c>
    </row>
    <row r="447" spans="1:10">
      <c r="A447">
        <v>10598638</v>
      </c>
      <c r="B447">
        <v>2.3336397434296599</v>
      </c>
      <c r="C447">
        <v>0.53222782235398103</v>
      </c>
      <c r="E447" t="str">
        <f>"10598638"</f>
        <v>10598638</v>
      </c>
      <c r="F447" t="str">
        <f t="shared" si="29"/>
        <v>Affy 1.0 ST</v>
      </c>
      <c r="G447" t="str">
        <f>"MGI:1915291"</f>
        <v>MGI:1915291</v>
      </c>
      <c r="H447" t="str">
        <f>"Mid1ip1"</f>
        <v>Mid1ip1</v>
      </c>
      <c r="I447" t="str">
        <f>"Mid1 interacting protein 1 (gastrulation specific G12-like (zebrafish))"</f>
        <v>Mid1 interacting protein 1 (gastrulation specific G12-like (zebrafish))</v>
      </c>
      <c r="J447" t="str">
        <f>"protein coding gene"</f>
        <v>protein coding gene</v>
      </c>
    </row>
    <row r="448" spans="1:10">
      <c r="A448">
        <v>10595836</v>
      </c>
      <c r="B448">
        <v>2.3237825240954302</v>
      </c>
      <c r="C448">
        <v>0.20015714882034599</v>
      </c>
      <c r="E448" t="str">
        <f>"10595836"</f>
        <v>10595836</v>
      </c>
      <c r="F448" t="str">
        <f t="shared" si="29"/>
        <v>Affy 1.0 ST</v>
      </c>
      <c r="G448" t="str">
        <f>"MGI:2442867"</f>
        <v>MGI:2442867</v>
      </c>
      <c r="H448" t="str">
        <f>"E030011O05Rik"</f>
        <v>E030011O05Rik</v>
      </c>
      <c r="I448" t="str">
        <f>"RIKEN cDNA E030011O05 gene"</f>
        <v>RIKEN cDNA E030011O05 gene</v>
      </c>
      <c r="J448" t="str">
        <f>"unclassified gene"</f>
        <v>unclassified gene</v>
      </c>
    </row>
    <row r="449" spans="1:10">
      <c r="A449">
        <v>10608661</v>
      </c>
      <c r="B449">
        <v>2.32118508847456</v>
      </c>
      <c r="C449">
        <v>0.288682329913582</v>
      </c>
      <c r="E449" t="str">
        <f>"10608661"</f>
        <v>10608661</v>
      </c>
      <c r="F449" t="str">
        <f>""</f>
        <v/>
      </c>
      <c r="G449" t="str">
        <f>"No associated gene"</f>
        <v>No associated gene</v>
      </c>
    </row>
    <row r="450" spans="1:10">
      <c r="A450">
        <v>10528385</v>
      </c>
      <c r="B450">
        <v>2.3094604927923399</v>
      </c>
      <c r="C450">
        <v>0.124231015620411</v>
      </c>
      <c r="E450" t="str">
        <f>"10528385"</f>
        <v>10528385</v>
      </c>
      <c r="F450" t="str">
        <f t="shared" ref="F450:F487" si="30">"Affy 1.0 ST"</f>
        <v>Affy 1.0 ST</v>
      </c>
      <c r="G450" t="str">
        <f>"MGI:103022"</f>
        <v>MGI:103022</v>
      </c>
      <c r="H450" t="str">
        <f>"Reln"</f>
        <v>Reln</v>
      </c>
      <c r="I450" t="str">
        <f>"reelin"</f>
        <v>reelin</v>
      </c>
      <c r="J450" t="str">
        <f>"protein coding gene"</f>
        <v>protein coding gene</v>
      </c>
    </row>
    <row r="451" spans="1:10">
      <c r="A451">
        <v>10583732</v>
      </c>
      <c r="B451">
        <v>2.3085492267843999</v>
      </c>
      <c r="C451">
        <v>0.13439060137140499</v>
      </c>
      <c r="E451" t="str">
        <f>"10583732"</f>
        <v>10583732</v>
      </c>
      <c r="F451" t="str">
        <f t="shared" si="30"/>
        <v>Affy 1.0 ST</v>
      </c>
      <c r="G451" t="str">
        <f>"MGI:96765"</f>
        <v>MGI:96765</v>
      </c>
      <c r="H451" t="str">
        <f>"Ldlr"</f>
        <v>Ldlr</v>
      </c>
      <c r="I451" t="str">
        <f>"low density lipoprotein receptor"</f>
        <v>low density lipoprotein receptor</v>
      </c>
      <c r="J451" t="str">
        <f>"protein coding gene"</f>
        <v>protein coding gene</v>
      </c>
    </row>
    <row r="452" spans="1:10">
      <c r="A452">
        <v>10503023</v>
      </c>
      <c r="B452">
        <v>2.30762565103189</v>
      </c>
      <c r="C452">
        <v>0.206164905822454</v>
      </c>
      <c r="E452" t="str">
        <f>"10503023"</f>
        <v>10503023</v>
      </c>
      <c r="F452" t="str">
        <f t="shared" si="30"/>
        <v>Affy 1.0 ST</v>
      </c>
      <c r="G452" t="str">
        <f>"MGI:1339968"</f>
        <v>MGI:1339968</v>
      </c>
      <c r="H452" t="str">
        <f>"Cth"</f>
        <v>Cth</v>
      </c>
      <c r="I452" t="str">
        <f>"cystathionase (cystathionine gamma-lyase)"</f>
        <v>cystathionase (cystathionine gamma-lyase)</v>
      </c>
      <c r="J452" t="str">
        <f>"protein coding gene"</f>
        <v>protein coding gene</v>
      </c>
    </row>
    <row r="453" spans="1:10">
      <c r="A453">
        <v>10351347</v>
      </c>
      <c r="B453">
        <v>2.2976024052604802</v>
      </c>
      <c r="C453">
        <v>0.64422779422398602</v>
      </c>
      <c r="E453" t="str">
        <f>"10351347"</f>
        <v>10351347</v>
      </c>
      <c r="F453" t="str">
        <f t="shared" si="30"/>
        <v>Affy 1.0 ST</v>
      </c>
      <c r="G453" t="str">
        <f>"MGI:1344382"</f>
        <v>MGI:1344382</v>
      </c>
      <c r="H453" t="str">
        <f>"Creg1"</f>
        <v>Creg1</v>
      </c>
      <c r="I453" t="str">
        <f>"cellular repressor of E1A-stimulated genes 1"</f>
        <v>cellular repressor of E1A-stimulated genes 1</v>
      </c>
      <c r="J453" t="str">
        <f>"protein coding gene"</f>
        <v>protein coding gene</v>
      </c>
    </row>
    <row r="454" spans="1:10">
      <c r="A454">
        <v>10607848</v>
      </c>
      <c r="B454">
        <v>2.2917658898995801</v>
      </c>
      <c r="C454">
        <v>5.5740558883001501E-2</v>
      </c>
      <c r="E454" t="str">
        <f>"10607848"</f>
        <v>10607848</v>
      </c>
      <c r="F454" t="str">
        <f t="shared" si="30"/>
        <v>Affy 1.0 ST</v>
      </c>
      <c r="G454" t="str">
        <f>"MGI:1858599"</f>
        <v>MGI:1858599</v>
      </c>
      <c r="H454" t="str">
        <f>"Egfl6"</f>
        <v>Egfl6</v>
      </c>
      <c r="I454" t="s">
        <v>137</v>
      </c>
      <c r="J454" t="s">
        <v>50</v>
      </c>
    </row>
    <row r="455" spans="1:10">
      <c r="A455">
        <v>10445434</v>
      </c>
      <c r="B455">
        <v>2.2898866533889199</v>
      </c>
      <c r="C455">
        <v>0.42789775730644097</v>
      </c>
      <c r="E455" t="str">
        <f>"10445434"</f>
        <v>10445434</v>
      </c>
      <c r="F455" t="str">
        <f t="shared" si="30"/>
        <v>Affy 1.0 ST</v>
      </c>
      <c r="G455" t="str">
        <f>"MGI:1915815"</f>
        <v>MGI:1915815</v>
      </c>
      <c r="H455" t="str">
        <f>"Mrps18a"</f>
        <v>Mrps18a</v>
      </c>
      <c r="I455" t="str">
        <f>"mitochondrial ribosomal protein S18A"</f>
        <v>mitochondrial ribosomal protein S18A</v>
      </c>
      <c r="J455" t="str">
        <f>"protein coding gene"</f>
        <v>protein coding gene</v>
      </c>
    </row>
    <row r="456" spans="1:10">
      <c r="A456">
        <v>10375909</v>
      </c>
      <c r="B456">
        <v>2.2862074406674102</v>
      </c>
      <c r="C456">
        <v>0.93628272668787904</v>
      </c>
      <c r="E456" t="str">
        <f>"10375909"</f>
        <v>10375909</v>
      </c>
      <c r="F456" t="str">
        <f t="shared" si="30"/>
        <v>Affy 1.0 ST</v>
      </c>
      <c r="G456" t="str">
        <f>"MGI:2388268"</f>
        <v>MGI:2388268</v>
      </c>
      <c r="H456" t="str">
        <f>"Cdkl3"</f>
        <v>Cdkl3</v>
      </c>
      <c r="I456" t="str">
        <f>"cyclin-dependent kinase-like 3"</f>
        <v>cyclin-dependent kinase-like 3</v>
      </c>
      <c r="J456" t="str">
        <f>"protein coding gene"</f>
        <v>protein coding gene</v>
      </c>
    </row>
    <row r="457" spans="1:10">
      <c r="A457">
        <v>10349100</v>
      </c>
      <c r="B457">
        <v>2.28362793865444</v>
      </c>
      <c r="C457">
        <v>0.71501762997805296</v>
      </c>
      <c r="E457" t="str">
        <f>"10349100"</f>
        <v>10349100</v>
      </c>
      <c r="F457" t="str">
        <f t="shared" si="30"/>
        <v>Affy 1.0 ST</v>
      </c>
      <c r="G457" t="str">
        <f>"MGI:3647491"</f>
        <v>MGI:3647491</v>
      </c>
      <c r="H457" t="str">
        <f>"Gm6651"</f>
        <v>Gm6651</v>
      </c>
      <c r="I457" t="str">
        <f>"predicted gene 6651"</f>
        <v>predicted gene 6651</v>
      </c>
      <c r="J457" t="str">
        <f>"pseudogene"</f>
        <v>pseudogene</v>
      </c>
    </row>
    <row r="458" spans="1:10">
      <c r="A458">
        <v>10575961</v>
      </c>
      <c r="B458">
        <v>2.2815968446166202</v>
      </c>
      <c r="C458">
        <v>0.95126331939205599</v>
      </c>
      <c r="E458" t="str">
        <f>"10575961"</f>
        <v>10575961</v>
      </c>
      <c r="F458" t="str">
        <f t="shared" si="30"/>
        <v>Affy 1.0 ST</v>
      </c>
      <c r="G458" t="str">
        <f>"MGI:894652"</f>
        <v>MGI:894652</v>
      </c>
      <c r="H458" t="str">
        <f>"Usp10"</f>
        <v>Usp10</v>
      </c>
      <c r="I458" t="str">
        <f>"ubiquitin specific peptidase 10"</f>
        <v>ubiquitin specific peptidase 10</v>
      </c>
      <c r="J458" t="str">
        <f>"protein coding gene"</f>
        <v>protein coding gene</v>
      </c>
    </row>
    <row r="459" spans="1:10">
      <c r="A459">
        <v>10369989</v>
      </c>
      <c r="B459">
        <v>2.2795035888712798</v>
      </c>
      <c r="C459">
        <v>0.23600376521833999</v>
      </c>
      <c r="E459" t="str">
        <f>"10369989"</f>
        <v>10369989</v>
      </c>
      <c r="F459" t="str">
        <f t="shared" si="30"/>
        <v>Affy 1.0 ST</v>
      </c>
      <c r="G459" t="str">
        <f>"MGI:1298381"</f>
        <v>MGI:1298381</v>
      </c>
      <c r="H459" t="str">
        <f>"Ddt"</f>
        <v>Ddt</v>
      </c>
      <c r="I459" t="str">
        <f>"D-dopachrome tautomerase"</f>
        <v>D-dopachrome tautomerase</v>
      </c>
      <c r="J459" t="str">
        <f>"protein coding gene"</f>
        <v>protein coding gene</v>
      </c>
    </row>
    <row r="460" spans="1:10">
      <c r="A460">
        <v>10497001</v>
      </c>
      <c r="B460">
        <v>2.2621222191968098</v>
      </c>
      <c r="C460">
        <v>0.29560974622047398</v>
      </c>
      <c r="E460" t="str">
        <f>"10497001"</f>
        <v>10497001</v>
      </c>
      <c r="F460" t="str">
        <f t="shared" si="30"/>
        <v>Affy 1.0 ST</v>
      </c>
      <c r="G460" t="str">
        <f>"MGI:88527"</f>
        <v>MGI:88527</v>
      </c>
      <c r="H460" t="str">
        <f>"Cryz"</f>
        <v>Cryz</v>
      </c>
      <c r="I460" t="s">
        <v>138</v>
      </c>
      <c r="J460" t="s">
        <v>50</v>
      </c>
    </row>
    <row r="461" spans="1:10">
      <c r="A461">
        <v>10502778</v>
      </c>
      <c r="B461">
        <v>2.2606112671826302</v>
      </c>
      <c r="C461">
        <v>9.3699100274249603E-2</v>
      </c>
      <c r="E461" t="str">
        <f>"10502778"</f>
        <v>10502778</v>
      </c>
      <c r="F461" t="str">
        <f t="shared" si="30"/>
        <v>Affy 1.0 ST</v>
      </c>
      <c r="G461" t="str">
        <f>"MGI:2139714"</f>
        <v>MGI:2139714</v>
      </c>
      <c r="H461" t="str">
        <f>"Lphn2"</f>
        <v>Lphn2</v>
      </c>
      <c r="I461" t="str">
        <f>"latrophilin 2"</f>
        <v>latrophilin 2</v>
      </c>
      <c r="J461" t="str">
        <f t="shared" ref="J461:J470" si="31">"protein coding gene"</f>
        <v>protein coding gene</v>
      </c>
    </row>
    <row r="462" spans="1:10">
      <c r="A462">
        <v>10526120</v>
      </c>
      <c r="B462">
        <v>2.2594422957380198</v>
      </c>
      <c r="C462">
        <v>0.771613661676812</v>
      </c>
      <c r="E462" t="str">
        <f>"10526120"</f>
        <v>10526120</v>
      </c>
      <c r="F462" t="str">
        <f t="shared" si="30"/>
        <v>Affy 1.0 ST</v>
      </c>
      <c r="G462" t="str">
        <f>"MGI:1298231"</f>
        <v>MGI:1298231</v>
      </c>
      <c r="H462" t="str">
        <f>"Tpst1"</f>
        <v>Tpst1</v>
      </c>
      <c r="I462" t="str">
        <f>"protein-tyrosine sulfotransferase 1"</f>
        <v>protein-tyrosine sulfotransferase 1</v>
      </c>
      <c r="J462" t="str">
        <f t="shared" si="31"/>
        <v>protein coding gene</v>
      </c>
    </row>
    <row r="463" spans="1:10">
      <c r="A463">
        <v>10450926</v>
      </c>
      <c r="B463">
        <v>2.2567721639299201</v>
      </c>
      <c r="C463">
        <v>0.223785504843142</v>
      </c>
      <c r="E463" t="str">
        <f>"10450926"</f>
        <v>10450926</v>
      </c>
      <c r="F463" t="str">
        <f t="shared" si="30"/>
        <v>Affy 1.0 ST</v>
      </c>
      <c r="G463" t="str">
        <f>"MGI:102552"</f>
        <v>MGI:102552</v>
      </c>
      <c r="H463" t="str">
        <f>"Crisp3"</f>
        <v>Crisp3</v>
      </c>
      <c r="I463" t="str">
        <f>"cysteine-rich secretory protein 3"</f>
        <v>cysteine-rich secretory protein 3</v>
      </c>
      <c r="J463" t="str">
        <f t="shared" si="31"/>
        <v>protein coding gene</v>
      </c>
    </row>
    <row r="464" spans="1:10">
      <c r="A464">
        <v>10345548</v>
      </c>
      <c r="B464">
        <v>2.2405163145501898</v>
      </c>
      <c r="C464">
        <v>0.128824488211806</v>
      </c>
      <c r="E464" t="str">
        <f>"10345548"</f>
        <v>10345548</v>
      </c>
      <c r="F464" t="str">
        <f t="shared" si="30"/>
        <v>Affy 1.0 ST</v>
      </c>
      <c r="G464" t="str">
        <f>"MGI:1918103"</f>
        <v>MGI:1918103</v>
      </c>
      <c r="H464" t="str">
        <f>"Vwa3b"</f>
        <v>Vwa3b</v>
      </c>
      <c r="I464" t="str">
        <f>"von Willebrand factor A domain containing 3B"</f>
        <v>von Willebrand factor A domain containing 3B</v>
      </c>
      <c r="J464" t="str">
        <f t="shared" si="31"/>
        <v>protein coding gene</v>
      </c>
    </row>
    <row r="465" spans="1:10">
      <c r="A465">
        <v>10453026</v>
      </c>
      <c r="B465">
        <v>2.2395468250578299</v>
      </c>
      <c r="C465">
        <v>0.46636517877907901</v>
      </c>
      <c r="E465" t="str">
        <f>"10453026"</f>
        <v>10453026</v>
      </c>
      <c r="F465" t="str">
        <f t="shared" si="30"/>
        <v>Affy 1.0 ST</v>
      </c>
      <c r="G465" t="str">
        <f>"MGI:1922542"</f>
        <v>MGI:1922542</v>
      </c>
      <c r="H465" t="str">
        <f>"Prkd3"</f>
        <v>Prkd3</v>
      </c>
      <c r="I465" t="str">
        <f>"protein kinase D3"</f>
        <v>protein kinase D3</v>
      </c>
      <c r="J465" t="str">
        <f t="shared" si="31"/>
        <v>protein coding gene</v>
      </c>
    </row>
    <row r="466" spans="1:10">
      <c r="A466">
        <v>10602865</v>
      </c>
      <c r="B466">
        <v>2.2377685672788998</v>
      </c>
      <c r="C466">
        <v>0.20816454396092901</v>
      </c>
      <c r="E466" t="str">
        <f>"10602865"</f>
        <v>10602865</v>
      </c>
      <c r="F466" t="str">
        <f t="shared" si="30"/>
        <v>Affy 1.0 ST</v>
      </c>
      <c r="G466" t="str">
        <f>"MGI:2448588"</f>
        <v>MGI:2448588</v>
      </c>
      <c r="H466" t="str">
        <f>"Map3k15"</f>
        <v>Map3k15</v>
      </c>
      <c r="I466" t="str">
        <f>"mitogen-activated protein kinase kinase kinase 15"</f>
        <v>mitogen-activated protein kinase kinase kinase 15</v>
      </c>
      <c r="J466" t="str">
        <f t="shared" si="31"/>
        <v>protein coding gene</v>
      </c>
    </row>
    <row r="467" spans="1:10">
      <c r="A467">
        <v>10447097</v>
      </c>
      <c r="B467">
        <v>2.2349817017381302</v>
      </c>
      <c r="C467">
        <v>8.9065747846079193E-2</v>
      </c>
      <c r="E467" t="str">
        <f>"10447097"</f>
        <v>10447097</v>
      </c>
      <c r="F467" t="str">
        <f t="shared" si="30"/>
        <v>Affy 1.0 ST</v>
      </c>
      <c r="G467" t="str">
        <f>"MGI:1914492"</f>
        <v>MGI:1914492</v>
      </c>
      <c r="H467" t="str">
        <f>"Gemin6"</f>
        <v>Gemin6</v>
      </c>
      <c r="I467" t="str">
        <f>"gem (nuclear organelle) associated protein 6"</f>
        <v>gem (nuclear organelle) associated protein 6</v>
      </c>
      <c r="J467" t="str">
        <f t="shared" si="31"/>
        <v>protein coding gene</v>
      </c>
    </row>
    <row r="468" spans="1:10">
      <c r="A468">
        <v>10399024</v>
      </c>
      <c r="B468">
        <v>2.23327174813666</v>
      </c>
      <c r="C468">
        <v>0.43755164576974298</v>
      </c>
      <c r="E468" t="str">
        <f>"10399024"</f>
        <v>10399024</v>
      </c>
      <c r="F468" t="str">
        <f t="shared" si="30"/>
        <v>Affy 1.0 ST</v>
      </c>
      <c r="G468" t="str">
        <f>"MGI:2444636"</f>
        <v>MGI:2444636</v>
      </c>
      <c r="H468" t="str">
        <f>"Adam6b"</f>
        <v>Adam6b</v>
      </c>
      <c r="I468" t="str">
        <f>"a disintegrin and metallopeptidase domain 6B"</f>
        <v>a disintegrin and metallopeptidase domain 6B</v>
      </c>
      <c r="J468" t="str">
        <f t="shared" si="31"/>
        <v>protein coding gene</v>
      </c>
    </row>
    <row r="469" spans="1:10">
      <c r="A469">
        <v>10457606</v>
      </c>
      <c r="B469">
        <v>2.2320770578551201</v>
      </c>
      <c r="C469">
        <v>0.200872580744759</v>
      </c>
      <c r="E469" t="str">
        <f>"10457606"</f>
        <v>10457606</v>
      </c>
      <c r="F469" t="str">
        <f t="shared" si="30"/>
        <v>Affy 1.0 ST</v>
      </c>
      <c r="G469" t="str">
        <f>"MGI:1918269"</f>
        <v>MGI:1918269</v>
      </c>
      <c r="H469" t="str">
        <f>"Kctd1"</f>
        <v>Kctd1</v>
      </c>
      <c r="I469" t="str">
        <f>"potassium channel tetramerisation domain containing 1"</f>
        <v>potassium channel tetramerisation domain containing 1</v>
      </c>
      <c r="J469" t="str">
        <f t="shared" si="31"/>
        <v>protein coding gene</v>
      </c>
    </row>
    <row r="470" spans="1:10">
      <c r="A470">
        <v>10374185</v>
      </c>
      <c r="B470">
        <v>2.2244687872252902</v>
      </c>
      <c r="C470">
        <v>0.52561943891494101</v>
      </c>
      <c r="E470" t="str">
        <f>"10374185"</f>
        <v>10374185</v>
      </c>
      <c r="F470" t="str">
        <f t="shared" si="30"/>
        <v>Affy 1.0 ST</v>
      </c>
      <c r="G470" t="str">
        <f>"MGI:2384924"</f>
        <v>MGI:2384924</v>
      </c>
      <c r="H470" t="str">
        <f>"Ccm2"</f>
        <v>Ccm2</v>
      </c>
      <c r="I470" t="str">
        <f>"cerebral cavernous malformation 2 homolog (human)"</f>
        <v>cerebral cavernous malformation 2 homolog (human)</v>
      </c>
      <c r="J470" t="str">
        <f t="shared" si="31"/>
        <v>protein coding gene</v>
      </c>
    </row>
    <row r="471" spans="1:10">
      <c r="A471">
        <v>10572722</v>
      </c>
      <c r="B471">
        <v>2.2241789342526999</v>
      </c>
      <c r="C471">
        <v>0.490426346877052</v>
      </c>
      <c r="E471" t="str">
        <f>"10572722"</f>
        <v>10572722</v>
      </c>
      <c r="F471" t="str">
        <f t="shared" si="30"/>
        <v>Affy 1.0 ST</v>
      </c>
      <c r="G471" t="str">
        <f>"MGI:3781945"</f>
        <v>MGI:3781945</v>
      </c>
      <c r="H471" t="str">
        <f>"Gm3771"</f>
        <v>Gm3771</v>
      </c>
      <c r="I471" t="str">
        <f>"predicted gene 3771"</f>
        <v>predicted gene 3771</v>
      </c>
      <c r="J471" t="str">
        <f>"pseudogene"</f>
        <v>pseudogene</v>
      </c>
    </row>
    <row r="472" spans="1:10">
      <c r="A472">
        <v>10552276</v>
      </c>
      <c r="B472">
        <v>2.2229801358760302</v>
      </c>
      <c r="C472">
        <v>0.26624754224526798</v>
      </c>
      <c r="E472" t="str">
        <f>"10552276"</f>
        <v>10552276</v>
      </c>
      <c r="F472" t="str">
        <f t="shared" si="30"/>
        <v>Affy 1.0 ST</v>
      </c>
      <c r="G472" t="str">
        <f>"MGI:104632"</f>
        <v>MGI:104632</v>
      </c>
      <c r="H472" t="str">
        <f>"Ube2h"</f>
        <v>Ube2h</v>
      </c>
      <c r="I472" t="str">
        <f>"ubiquitin-conjugating enzyme E2H"</f>
        <v>ubiquitin-conjugating enzyme E2H</v>
      </c>
      <c r="J472" t="str">
        <f>"protein coding gene"</f>
        <v>protein coding gene</v>
      </c>
    </row>
    <row r="473" spans="1:10">
      <c r="A473">
        <v>10575291</v>
      </c>
      <c r="B473">
        <v>2.2226689394874901</v>
      </c>
      <c r="C473">
        <v>0.62550125502776699</v>
      </c>
      <c r="E473" t="str">
        <f>"10575291"</f>
        <v>10575291</v>
      </c>
      <c r="F473" t="str">
        <f t="shared" si="30"/>
        <v>Affy 1.0 ST</v>
      </c>
      <c r="G473" t="str">
        <f>"MGI:1923121"</f>
        <v>MGI:1923121</v>
      </c>
      <c r="H473" t="str">
        <f>"Zfp821"</f>
        <v>Zfp821</v>
      </c>
      <c r="I473" t="str">
        <f>"zinc finger protein 821"</f>
        <v>zinc finger protein 821</v>
      </c>
      <c r="J473" t="str">
        <f>"protein coding gene"</f>
        <v>protein coding gene</v>
      </c>
    </row>
    <row r="474" spans="1:10">
      <c r="A474">
        <v>10607062</v>
      </c>
      <c r="B474">
        <v>2.2203651980747701</v>
      </c>
      <c r="C474">
        <v>0.80079374659470004</v>
      </c>
      <c r="E474" t="str">
        <f>"10607062"</f>
        <v>10607062</v>
      </c>
      <c r="F474" t="str">
        <f t="shared" si="30"/>
        <v>Affy 1.0 ST</v>
      </c>
      <c r="G474" t="str">
        <f>"MGI:3708112"</f>
        <v>MGI:3708112</v>
      </c>
      <c r="H474" t="str">
        <f>"Hmgn2l6"</f>
        <v>Hmgn2l6</v>
      </c>
      <c r="I474" t="str">
        <f>"high-mobility group nucleosomal binding domain 2-like 6"</f>
        <v>high-mobility group nucleosomal binding domain 2-like 6</v>
      </c>
      <c r="J474" t="str">
        <f>"pseudogene"</f>
        <v>pseudogene</v>
      </c>
    </row>
    <row r="475" spans="1:10">
      <c r="A475">
        <v>10435075</v>
      </c>
      <c r="B475">
        <v>2.2202420050420599</v>
      </c>
      <c r="C475">
        <v>0.53850798487414597</v>
      </c>
      <c r="E475" t="str">
        <f>"10435075"</f>
        <v>10435075</v>
      </c>
      <c r="F475" t="str">
        <f t="shared" si="30"/>
        <v>Affy 1.0 ST</v>
      </c>
      <c r="G475" t="str">
        <f>"MGI:98822"</f>
        <v>MGI:98822</v>
      </c>
      <c r="H475" t="str">
        <f>"Tfrc"</f>
        <v>Tfrc</v>
      </c>
      <c r="I475" t="str">
        <f>"transferrin receptor"</f>
        <v>transferrin receptor</v>
      </c>
      <c r="J475" t="str">
        <f>"protein coding gene"</f>
        <v>protein coding gene</v>
      </c>
    </row>
    <row r="476" spans="1:10">
      <c r="A476">
        <v>10583697</v>
      </c>
      <c r="B476">
        <v>2.2135427765481799</v>
      </c>
      <c r="C476">
        <v>0.22151047155717099</v>
      </c>
      <c r="E476" t="str">
        <f>"10583697"</f>
        <v>10583697</v>
      </c>
      <c r="F476" t="str">
        <f t="shared" si="30"/>
        <v>Affy 1.0 ST</v>
      </c>
      <c r="G476" t="str">
        <f>"MGI:88192"</f>
        <v>MGI:88192</v>
      </c>
      <c r="H476" t="str">
        <f>"Smarca4"</f>
        <v>Smarca4</v>
      </c>
      <c r="I476" t="s">
        <v>139</v>
      </c>
      <c r="J476" t="s">
        <v>50</v>
      </c>
    </row>
    <row r="477" spans="1:10">
      <c r="A477">
        <v>10604199</v>
      </c>
      <c r="B477">
        <v>2.21051384860449</v>
      </c>
      <c r="C477">
        <v>0.51254199601054595</v>
      </c>
      <c r="E477" t="str">
        <f>"10604199"</f>
        <v>10604199</v>
      </c>
      <c r="F477" t="str">
        <f t="shared" si="30"/>
        <v>Affy 1.0 ST</v>
      </c>
      <c r="G477" t="str">
        <f>"MGI:1919834"</f>
        <v>MGI:1919834</v>
      </c>
      <c r="H477" t="str">
        <f>"Cul4b"</f>
        <v>Cul4b</v>
      </c>
      <c r="I477" t="str">
        <f>"cullin 4B"</f>
        <v>cullin 4B</v>
      </c>
      <c r="J477" t="str">
        <f>"protein coding gene"</f>
        <v>protein coding gene</v>
      </c>
    </row>
    <row r="478" spans="1:10">
      <c r="A478">
        <v>10568758</v>
      </c>
      <c r="B478">
        <v>2.2087338323149801</v>
      </c>
      <c r="C478">
        <v>0.175552389625311</v>
      </c>
      <c r="E478" t="str">
        <f>"10568758"</f>
        <v>10568758</v>
      </c>
      <c r="F478" t="str">
        <f t="shared" si="30"/>
        <v>Affy 1.0 ST</v>
      </c>
      <c r="G478" t="str">
        <f>"MGI:1924502"</f>
        <v>MGI:1924502</v>
      </c>
      <c r="H478" t="str">
        <f>"9430038I01Rik"</f>
        <v>9430038I01Rik</v>
      </c>
      <c r="I478" t="str">
        <f>"RIKEN cDNA 9430038I01 gene"</f>
        <v>RIKEN cDNA 9430038I01 gene</v>
      </c>
      <c r="J478" t="str">
        <f>"protein coding gene"</f>
        <v>protein coding gene</v>
      </c>
    </row>
    <row r="479" spans="1:10">
      <c r="A479">
        <v>10418846</v>
      </c>
      <c r="B479">
        <v>2.2016631401073998</v>
      </c>
      <c r="C479">
        <v>0.38876465718103997</v>
      </c>
      <c r="E479" t="str">
        <f>"10418846"</f>
        <v>10418846</v>
      </c>
      <c r="F479" t="str">
        <f t="shared" si="30"/>
        <v>Affy 1.0 ST</v>
      </c>
      <c r="G479" t="str">
        <f>"MGI:3588196"</f>
        <v>MGI:3588196</v>
      </c>
      <c r="H479" t="str">
        <f>"3425401B19Rik"</f>
        <v>3425401B19Rik</v>
      </c>
      <c r="I479" t="str">
        <f>"RIKEN cDNA 3425401B19 gene"</f>
        <v>RIKEN cDNA 3425401B19 gene</v>
      </c>
      <c r="J479" t="str">
        <f>"protein coding gene"</f>
        <v>protein coding gene</v>
      </c>
    </row>
    <row r="480" spans="1:10">
      <c r="A480">
        <v>10466818</v>
      </c>
      <c r="B480">
        <v>2.2001738476924402</v>
      </c>
      <c r="C480">
        <v>0.30925578949815402</v>
      </c>
      <c r="E480" t="str">
        <f>"10466818"</f>
        <v>10466818</v>
      </c>
      <c r="F480" t="str">
        <f t="shared" si="30"/>
        <v>Affy 1.0 ST</v>
      </c>
      <c r="G480" t="str">
        <f>"MGI:2385089"</f>
        <v>MGI:2385089</v>
      </c>
      <c r="H480" t="str">
        <f>"Cbwd1"</f>
        <v>Cbwd1</v>
      </c>
      <c r="I480" t="str">
        <f>"COBW domain containing 1"</f>
        <v>COBW domain containing 1</v>
      </c>
      <c r="J480" t="str">
        <f>"protein coding gene"</f>
        <v>protein coding gene</v>
      </c>
    </row>
    <row r="481" spans="1:10">
      <c r="A481">
        <v>10415875</v>
      </c>
      <c r="B481">
        <v>2.1990382433451101</v>
      </c>
      <c r="C481">
        <v>0.35196477199258502</v>
      </c>
      <c r="E481" t="str">
        <f>"10415875"</f>
        <v>10415875</v>
      </c>
      <c r="F481" t="str">
        <f t="shared" si="30"/>
        <v>Affy 1.0 ST</v>
      </c>
      <c r="G481" t="str">
        <f>"MGI:1919650"</f>
        <v>MGI:1919650</v>
      </c>
      <c r="H481" t="str">
        <f>"Pinx1"</f>
        <v>Pinx1</v>
      </c>
      <c r="I481" t="s">
        <v>140</v>
      </c>
      <c r="J481" t="s">
        <v>50</v>
      </c>
    </row>
    <row r="482" spans="1:10">
      <c r="A482">
        <v>10601326</v>
      </c>
      <c r="B482">
        <v>2.1980378941855898</v>
      </c>
      <c r="C482">
        <v>0.45969544658528</v>
      </c>
      <c r="E482" t="str">
        <f>"10601326"</f>
        <v>10601326</v>
      </c>
      <c r="F482" t="str">
        <f t="shared" si="30"/>
        <v>Affy 1.0 ST</v>
      </c>
      <c r="G482" t="str">
        <f>"MGI:2685620"</f>
        <v>MGI:2685620</v>
      </c>
      <c r="H482" t="str">
        <f>"Uprt"</f>
        <v>Uprt</v>
      </c>
      <c r="I482" t="str">
        <f>"uracil phosphoribosyltransferase (FUR1) homolog (S. cerevisiae)"</f>
        <v>uracil phosphoribosyltransferase (FUR1) homolog (S. cerevisiae)</v>
      </c>
      <c r="J482" t="str">
        <f>"protein coding gene"</f>
        <v>protein coding gene</v>
      </c>
    </row>
    <row r="483" spans="1:10">
      <c r="A483">
        <v>10598654</v>
      </c>
      <c r="B483">
        <v>2.19731611510558</v>
      </c>
      <c r="C483">
        <v>0.19974173380416699</v>
      </c>
      <c r="E483" t="str">
        <f>"10598654"</f>
        <v>10598654</v>
      </c>
      <c r="F483" t="str">
        <f t="shared" si="30"/>
        <v>Affy 1.0 ST</v>
      </c>
      <c r="G483" t="str">
        <f>"MGI:3714114"</f>
        <v>MGI:3714114</v>
      </c>
      <c r="H483" t="str">
        <f>"Gm14483"</f>
        <v>Gm14483</v>
      </c>
      <c r="I483" t="str">
        <f>"predicted gene 14483"</f>
        <v>predicted gene 14483</v>
      </c>
      <c r="J483" t="str">
        <f>"protein coding gene"</f>
        <v>protein coding gene</v>
      </c>
    </row>
    <row r="484" spans="1:10">
      <c r="A484">
        <v>10467091</v>
      </c>
      <c r="B484">
        <v>2.1943989559510699</v>
      </c>
      <c r="C484">
        <v>0.26367670721333503</v>
      </c>
      <c r="E484" t="str">
        <f>"10467091"</f>
        <v>10467091</v>
      </c>
      <c r="F484" t="str">
        <f t="shared" si="30"/>
        <v>Affy 1.0 ST</v>
      </c>
      <c r="G484" t="str">
        <f>"MGI:1915229"</f>
        <v>MGI:1915229</v>
      </c>
      <c r="H484" t="str">
        <f>"Atad1"</f>
        <v>Atad1</v>
      </c>
      <c r="I484" t="s">
        <v>67</v>
      </c>
      <c r="J484" t="s">
        <v>50</v>
      </c>
    </row>
    <row r="485" spans="1:10">
      <c r="A485">
        <v>10577655</v>
      </c>
      <c r="B485">
        <v>2.1933131702899198</v>
      </c>
      <c r="C485">
        <v>0.17728606158926</v>
      </c>
      <c r="E485" t="str">
        <f>"10577655"</f>
        <v>10577655</v>
      </c>
      <c r="F485" t="str">
        <f t="shared" si="30"/>
        <v>Affy 1.0 ST</v>
      </c>
      <c r="G485" t="str">
        <f>"MGI:96416"</f>
        <v>MGI:96416</v>
      </c>
      <c r="H485" t="str">
        <f>"Ido1"</f>
        <v>Ido1</v>
      </c>
      <c r="I485" t="s">
        <v>68</v>
      </c>
      <c r="J485" t="s">
        <v>50</v>
      </c>
    </row>
    <row r="486" spans="1:10">
      <c r="A486">
        <v>10510422</v>
      </c>
      <c r="B486">
        <v>2.1923327055481501</v>
      </c>
      <c r="C486">
        <v>0.54247774698243301</v>
      </c>
      <c r="E486" t="str">
        <f>"10510422"</f>
        <v>10510422</v>
      </c>
      <c r="F486" t="str">
        <f t="shared" si="30"/>
        <v>Affy 1.0 ST</v>
      </c>
      <c r="G486" t="str">
        <f>"MGI:1196251"</f>
        <v>MGI:1196251</v>
      </c>
      <c r="H486" t="str">
        <f>"Casz1"</f>
        <v>Casz1</v>
      </c>
      <c r="I486" t="s">
        <v>69</v>
      </c>
      <c r="J486" t="s">
        <v>50</v>
      </c>
    </row>
    <row r="487" spans="1:10">
      <c r="A487">
        <v>10533474</v>
      </c>
      <c r="B487">
        <v>2.1875181358205702</v>
      </c>
      <c r="C487">
        <v>0.32484655337964902</v>
      </c>
      <c r="E487" t="str">
        <f>"10533474"</f>
        <v>10533474</v>
      </c>
      <c r="F487" t="str">
        <f t="shared" si="30"/>
        <v>Affy 1.0 ST</v>
      </c>
      <c r="G487" t="str">
        <f>"MGI:1916198"</f>
        <v>MGI:1916198</v>
      </c>
      <c r="H487" t="str">
        <f>"1500011H22Rik"</f>
        <v>1500011H22Rik</v>
      </c>
      <c r="I487" t="str">
        <f>"RIKEN cDNA 1500011H22 gene"</f>
        <v>RIKEN cDNA 1500011H22 gene</v>
      </c>
      <c r="J487" t="str">
        <f>"protein coding gene"</f>
        <v>protein coding gene</v>
      </c>
    </row>
    <row r="488" spans="1:10">
      <c r="A488">
        <v>10341742</v>
      </c>
      <c r="B488">
        <v>2.1862671372017202</v>
      </c>
      <c r="C488">
        <v>0.57073106432043197</v>
      </c>
      <c r="E488" t="str">
        <f>"10341742"</f>
        <v>10341742</v>
      </c>
      <c r="F488" t="str">
        <f>""</f>
        <v/>
      </c>
      <c r="G488" t="str">
        <f>"No associated gene"</f>
        <v>No associated gene</v>
      </c>
    </row>
    <row r="489" spans="1:10">
      <c r="A489">
        <v>10529741</v>
      </c>
      <c r="B489">
        <v>2.18551137043191</v>
      </c>
      <c r="C489">
        <v>0.51796110608804802</v>
      </c>
      <c r="E489" t="str">
        <f>"10529741"</f>
        <v>10529741</v>
      </c>
      <c r="F489" t="str">
        <f>"Affy 1.0 ST"</f>
        <v>Affy 1.0 ST</v>
      </c>
      <c r="G489" t="str">
        <f>"MGI:1917285"</f>
        <v>MGI:1917285</v>
      </c>
      <c r="H489" t="str">
        <f>"Rab28"</f>
        <v>Rab28</v>
      </c>
      <c r="I489" t="s">
        <v>70</v>
      </c>
      <c r="J489" t="s">
        <v>50</v>
      </c>
    </row>
    <row r="490" spans="1:10">
      <c r="A490">
        <v>10486522</v>
      </c>
      <c r="B490">
        <v>2.1813279009862101</v>
      </c>
      <c r="C490">
        <v>0.59954669700961005</v>
      </c>
      <c r="E490" t="str">
        <f>"10486522"</f>
        <v>10486522</v>
      </c>
      <c r="F490" t="str">
        <f>"Affy 1.0 ST"</f>
        <v>Affy 1.0 ST</v>
      </c>
      <c r="G490" t="str">
        <f>"MGI:1270153"</f>
        <v>MGI:1270153</v>
      </c>
      <c r="H490" t="str">
        <f>"Zfp106"</f>
        <v>Zfp106</v>
      </c>
      <c r="I490" t="str">
        <f>"zinc finger protein 106"</f>
        <v>zinc finger protein 106</v>
      </c>
      <c r="J490" t="str">
        <f>"protein coding gene"</f>
        <v>protein coding gene</v>
      </c>
    </row>
    <row r="491" spans="1:10">
      <c r="A491">
        <v>10600765</v>
      </c>
      <c r="B491">
        <v>2.1708156436513</v>
      </c>
      <c r="C491">
        <v>0.64002686886567195</v>
      </c>
      <c r="E491" t="str">
        <f>"10600765"</f>
        <v>10600765</v>
      </c>
      <c r="F491" t="str">
        <f>"Affy 1.0 ST"</f>
        <v>Affy 1.0 ST</v>
      </c>
      <c r="G491" t="str">
        <f>"MGI:2147987"</f>
        <v>MGI:2147987</v>
      </c>
      <c r="H491" t="str">
        <f>"Pcyt1b"</f>
        <v>Pcyt1b</v>
      </c>
      <c r="I491" t="s">
        <v>71</v>
      </c>
      <c r="J491" t="s">
        <v>50</v>
      </c>
    </row>
    <row r="492" spans="1:10">
      <c r="A492">
        <v>10397717</v>
      </c>
      <c r="B492">
        <v>2.1668555014674502</v>
      </c>
      <c r="C492">
        <v>0.26680880008597102</v>
      </c>
      <c r="E492" t="str">
        <f>"10397717"</f>
        <v>10397717</v>
      </c>
      <c r="F492" t="str">
        <f>"Affy 1.0 ST"</f>
        <v>Affy 1.0 ST</v>
      </c>
      <c r="G492" t="str">
        <f>"MGI:1920036"</f>
        <v>MGI:1920036</v>
      </c>
      <c r="H492" t="str">
        <f>"Tdp1"</f>
        <v>Tdp1</v>
      </c>
      <c r="I492" t="str">
        <f>"tyrosyl-DNA phosphodiesterase 1"</f>
        <v>tyrosyl-DNA phosphodiesterase 1</v>
      </c>
      <c r="J492" t="str">
        <f>"protein coding gene"</f>
        <v>protein coding gene</v>
      </c>
    </row>
    <row r="493" spans="1:10">
      <c r="A493">
        <v>10582599</v>
      </c>
      <c r="B493">
        <v>2.1662056756237602</v>
      </c>
      <c r="C493">
        <v>0.41692669489886602</v>
      </c>
      <c r="E493" t="str">
        <f>"10582599"</f>
        <v>10582599</v>
      </c>
      <c r="F493" t="str">
        <f>"Affy 1.0 ST"</f>
        <v>Affy 1.0 ST</v>
      </c>
      <c r="G493" t="str">
        <f>"MGI:2442620"</f>
        <v>MGI:2442620</v>
      </c>
      <c r="H493" t="str">
        <f>"Nup133"</f>
        <v>Nup133</v>
      </c>
      <c r="I493" t="str">
        <f>"nucleoporin 133"</f>
        <v>nucleoporin 133</v>
      </c>
      <c r="J493" t="str">
        <f>"protein coding gene"</f>
        <v>protein coding gene</v>
      </c>
    </row>
    <row r="494" spans="1:10">
      <c r="A494">
        <v>10389717</v>
      </c>
      <c r="B494">
        <v>2.1619196009436599</v>
      </c>
      <c r="C494">
        <v>0.18499909258741801</v>
      </c>
      <c r="E494" t="str">
        <f>"10389717"</f>
        <v>10389717</v>
      </c>
      <c r="F494" t="str">
        <f>""</f>
        <v/>
      </c>
      <c r="G494" t="str">
        <f>"No associated gene"</f>
        <v>No associated gene</v>
      </c>
    </row>
    <row r="495" spans="1:10">
      <c r="A495">
        <v>10483563</v>
      </c>
      <c r="B495">
        <v>2.1580809589932302</v>
      </c>
      <c r="C495">
        <v>0.430544359133542</v>
      </c>
      <c r="E495" t="str">
        <f>"10483563"</f>
        <v>10483563</v>
      </c>
      <c r="F495" t="str">
        <f>"Affy 1.0 ST"</f>
        <v>Affy 1.0 ST</v>
      </c>
      <c r="G495" t="str">
        <f>"MGI:2441683"</f>
        <v>MGI:2441683</v>
      </c>
      <c r="H495" t="str">
        <f>"Tlk1"</f>
        <v>Tlk1</v>
      </c>
      <c r="I495" t="str">
        <f>"tousled-like kinase 1"</f>
        <v>tousled-like kinase 1</v>
      </c>
      <c r="J495" t="str">
        <f>"protein coding gene"</f>
        <v>protein coding gene</v>
      </c>
    </row>
    <row r="496" spans="1:10">
      <c r="A496">
        <v>10344633</v>
      </c>
      <c r="B496">
        <v>2.1571994023448302</v>
      </c>
      <c r="C496">
        <v>0.66361841845748804</v>
      </c>
      <c r="E496" t="str">
        <f>"10344633"</f>
        <v>10344633</v>
      </c>
      <c r="F496" t="str">
        <f>"Affy 1.0 ST"</f>
        <v>Affy 1.0 ST</v>
      </c>
      <c r="G496" t="str">
        <f>"MGI:1196624"</f>
        <v>MGI:1196624</v>
      </c>
      <c r="H496" t="str">
        <f>"Tcea1"</f>
        <v>Tcea1</v>
      </c>
      <c r="I496" t="str">
        <f>"transcription elongation factor A (SII) 1"</f>
        <v>transcription elongation factor A (SII) 1</v>
      </c>
      <c r="J496" t="str">
        <f>"protein coding gene"</f>
        <v>protein coding gene</v>
      </c>
    </row>
    <row r="497" spans="1:10">
      <c r="A497">
        <v>10450744</v>
      </c>
      <c r="B497">
        <v>2.1542103803816399</v>
      </c>
      <c r="C497">
        <v>0.228726999361893</v>
      </c>
      <c r="E497" t="str">
        <f>"10450744"</f>
        <v>10450744</v>
      </c>
      <c r="F497" t="str">
        <f>"Affy 1.0 ST"</f>
        <v>Affy 1.0 ST</v>
      </c>
      <c r="G497" t="str">
        <f>"MGI:3780121"</f>
        <v>MGI:3780121</v>
      </c>
      <c r="H497" t="str">
        <f>"Gm9713"</f>
        <v>Gm9713</v>
      </c>
      <c r="I497" t="str">
        <f>"predicted gene 9713"</f>
        <v>predicted gene 9713</v>
      </c>
      <c r="J497" t="str">
        <f>"pseudogene"</f>
        <v>pseudogene</v>
      </c>
    </row>
    <row r="498" spans="1:10">
      <c r="A498">
        <v>10431974</v>
      </c>
      <c r="B498">
        <v>2.1507383754287699</v>
      </c>
      <c r="C498">
        <v>0.182427594803834</v>
      </c>
      <c r="E498" t="str">
        <f>"10431974"</f>
        <v>10431974</v>
      </c>
      <c r="F498" t="str">
        <f>"Affy 1.0 ST"</f>
        <v>Affy 1.0 ST</v>
      </c>
      <c r="G498" t="str">
        <f>"MGI:2441741"</f>
        <v>MGI:2441741</v>
      </c>
      <c r="H498" t="str">
        <f>"Rapgef3"</f>
        <v>Rapgef3</v>
      </c>
      <c r="I498" t="str">
        <f>"Rap guanine nucleotide exchange factor (GEF) 3"</f>
        <v>Rap guanine nucleotide exchange factor (GEF) 3</v>
      </c>
      <c r="J498" t="str">
        <f>"protein coding gene"</f>
        <v>protein coding gene</v>
      </c>
    </row>
    <row r="499" spans="1:10">
      <c r="A499">
        <v>10587495</v>
      </c>
      <c r="B499">
        <v>2.1498994239056799</v>
      </c>
      <c r="C499">
        <v>0.34049162022815599</v>
      </c>
      <c r="E499" t="str">
        <f>"10587495"</f>
        <v>10587495</v>
      </c>
      <c r="F499" t="str">
        <f>"Affy 1.0 ST"</f>
        <v>Affy 1.0 ST</v>
      </c>
      <c r="G499" t="str">
        <f>"MGI:1929475"</f>
        <v>MGI:1929475</v>
      </c>
      <c r="H499" t="str">
        <f>"Irak1bp1"</f>
        <v>Irak1bp1</v>
      </c>
      <c r="I499" t="str">
        <f>"interleukin-1 receptor-associated kinase 1 binding protein 1"</f>
        <v>interleukin-1 receptor-associated kinase 1 binding protein 1</v>
      </c>
      <c r="J499" t="str">
        <f>"protein coding gene"</f>
        <v>protein coding gene</v>
      </c>
    </row>
    <row r="500" spans="1:10">
      <c r="A500">
        <v>10365830</v>
      </c>
      <c r="B500">
        <v>2.1472171314944601</v>
      </c>
      <c r="C500">
        <v>0.50448398916890902</v>
      </c>
      <c r="E500" t="str">
        <f>"10365830"</f>
        <v>10365830</v>
      </c>
      <c r="F500" t="str">
        <f>""</f>
        <v/>
      </c>
      <c r="G500" t="str">
        <f>"No associated gene"</f>
        <v>No associated gene</v>
      </c>
    </row>
    <row r="501" spans="1:10">
      <c r="A501">
        <v>10542006</v>
      </c>
      <c r="B501">
        <v>2.1462697503277401</v>
      </c>
      <c r="C501">
        <v>0.91444758084196598</v>
      </c>
      <c r="E501" t="str">
        <f>"10542006"</f>
        <v>10542006</v>
      </c>
      <c r="F501" t="str">
        <f t="shared" ref="F501:F553" si="32">"Affy 1.0 ST"</f>
        <v>Affy 1.0 ST</v>
      </c>
      <c r="G501" t="str">
        <f>"MGI:107893"</f>
        <v>MGI:107893</v>
      </c>
      <c r="H501" t="str">
        <f>"D6Wsu163e"</f>
        <v>D6Wsu163e</v>
      </c>
      <c r="I501" t="s">
        <v>72</v>
      </c>
      <c r="J501" t="s">
        <v>50</v>
      </c>
    </row>
    <row r="502" spans="1:10">
      <c r="A502">
        <v>10571815</v>
      </c>
      <c r="B502">
        <v>2.1396586500894599</v>
      </c>
      <c r="C502">
        <v>0.26074457618858299</v>
      </c>
      <c r="E502" t="str">
        <f>"10571815"</f>
        <v>10571815</v>
      </c>
      <c r="F502" t="str">
        <f t="shared" si="32"/>
        <v>Affy 1.0 ST</v>
      </c>
      <c r="G502" t="str">
        <f>"MGI:107671"</f>
        <v>MGI:107671</v>
      </c>
      <c r="H502" t="str">
        <f>"Gpm6a"</f>
        <v>Gpm6a</v>
      </c>
      <c r="I502" t="str">
        <f>"glycoprotein m6a"</f>
        <v>glycoprotein m6a</v>
      </c>
      <c r="J502" t="str">
        <f>"protein coding gene"</f>
        <v>protein coding gene</v>
      </c>
    </row>
    <row r="503" spans="1:10">
      <c r="A503">
        <v>10549200</v>
      </c>
      <c r="B503">
        <v>2.1390499459772898</v>
      </c>
      <c r="C503">
        <v>0.38043844704980001</v>
      </c>
      <c r="E503" t="str">
        <f>"10549200"</f>
        <v>10549200</v>
      </c>
      <c r="F503" t="str">
        <f t="shared" si="32"/>
        <v>Affy 1.0 ST</v>
      </c>
      <c r="G503" t="str">
        <f>"MGI:98367"</f>
        <v>MGI:98367</v>
      </c>
      <c r="H503" t="str">
        <f>"Sox5"</f>
        <v>Sox5</v>
      </c>
      <c r="I503" t="str">
        <f>"SRY-box containing gene 5"</f>
        <v>SRY-box containing gene 5</v>
      </c>
      <c r="J503" t="str">
        <f>"protein coding gene"</f>
        <v>protein coding gene</v>
      </c>
    </row>
    <row r="504" spans="1:10">
      <c r="A504">
        <v>10352320</v>
      </c>
      <c r="B504">
        <v>2.1381034583248102</v>
      </c>
      <c r="C504">
        <v>0.26206543819797401</v>
      </c>
      <c r="E504" t="str">
        <f>"10352320"</f>
        <v>10352320</v>
      </c>
      <c r="F504" t="str">
        <f t="shared" si="32"/>
        <v>Affy 1.0 ST</v>
      </c>
      <c r="G504" t="str">
        <f>"MGI:2384789"</f>
        <v>MGI:2384789</v>
      </c>
      <c r="H504" t="str">
        <f>"Tmem63a"</f>
        <v>Tmem63a</v>
      </c>
      <c r="I504" t="str">
        <f>"transmembrane protein 63a"</f>
        <v>transmembrane protein 63a</v>
      </c>
      <c r="J504" t="str">
        <f>"protein coding gene"</f>
        <v>protein coding gene</v>
      </c>
    </row>
    <row r="505" spans="1:10">
      <c r="A505">
        <v>10590892</v>
      </c>
      <c r="B505">
        <v>2.13679072572203</v>
      </c>
      <c r="C505">
        <v>0.35445153965475001</v>
      </c>
      <c r="E505" t="str">
        <f>"10590892"</f>
        <v>10590892</v>
      </c>
      <c r="F505" t="str">
        <f t="shared" si="32"/>
        <v>Affy 1.0 ST</v>
      </c>
      <c r="G505" t="str">
        <f>"MGI:1915551"</f>
        <v>MGI:1915551</v>
      </c>
      <c r="H505" t="str">
        <f>"Cep57"</f>
        <v>Cep57</v>
      </c>
      <c r="I505" t="str">
        <f>"centrosomal protein 57"</f>
        <v>centrosomal protein 57</v>
      </c>
      <c r="J505" t="str">
        <f>"protein coding gene"</f>
        <v>protein coding gene</v>
      </c>
    </row>
    <row r="506" spans="1:10">
      <c r="A506">
        <v>10537179</v>
      </c>
      <c r="B506">
        <v>2.1271027771664102</v>
      </c>
      <c r="C506">
        <v>0.51188942010910299</v>
      </c>
      <c r="E506" t="str">
        <f>"10537179"</f>
        <v>10537179</v>
      </c>
      <c r="F506" t="str">
        <f t="shared" si="32"/>
        <v>Affy 1.0 ST</v>
      </c>
      <c r="G506" t="str">
        <f>"MGI:1098242"</f>
        <v>MGI:1098242</v>
      </c>
      <c r="H506" t="str">
        <f>"Bpgm"</f>
        <v>Bpgm</v>
      </c>
      <c r="I506" t="s">
        <v>73</v>
      </c>
      <c r="J506" t="s">
        <v>50</v>
      </c>
    </row>
    <row r="507" spans="1:10">
      <c r="A507">
        <v>10345554</v>
      </c>
      <c r="B507">
        <v>2.1223158695744702</v>
      </c>
      <c r="C507">
        <v>8.2664628729327394E-2</v>
      </c>
      <c r="E507" t="str">
        <f>"10345554"</f>
        <v>10345554</v>
      </c>
      <c r="F507" t="str">
        <f t="shared" si="32"/>
        <v>Affy 1.0 ST</v>
      </c>
      <c r="G507" t="str">
        <f>"MGI:1918103"</f>
        <v>MGI:1918103</v>
      </c>
      <c r="H507" t="str">
        <f>"Vwa3b"</f>
        <v>Vwa3b</v>
      </c>
      <c r="I507" t="str">
        <f>"von Willebrand factor A domain containing 3B"</f>
        <v>von Willebrand factor A domain containing 3B</v>
      </c>
      <c r="J507" t="str">
        <f>"protein coding gene"</f>
        <v>protein coding gene</v>
      </c>
    </row>
    <row r="508" spans="1:10">
      <c r="A508">
        <v>10400795</v>
      </c>
      <c r="B508">
        <v>2.12135517970788</v>
      </c>
      <c r="C508">
        <v>0.44534540531030498</v>
      </c>
      <c r="E508" t="str">
        <f>"10400795"</f>
        <v>10400795</v>
      </c>
      <c r="F508" t="str">
        <f t="shared" si="32"/>
        <v>Affy 1.0 ST</v>
      </c>
      <c r="G508" t="str">
        <f>"MGI:1927144"</f>
        <v>MGI:1927144</v>
      </c>
      <c r="H508" t="str">
        <f>"Sav1"</f>
        <v>Sav1</v>
      </c>
      <c r="I508" t="str">
        <f>"salvador homolog 1 (Drosophila)"</f>
        <v>salvador homolog 1 (Drosophila)</v>
      </c>
      <c r="J508" t="str">
        <f>"protein coding gene"</f>
        <v>protein coding gene</v>
      </c>
    </row>
    <row r="509" spans="1:10">
      <c r="A509">
        <v>10390507</v>
      </c>
      <c r="B509">
        <v>2.11650329600789</v>
      </c>
      <c r="C509">
        <v>0.374433679135668</v>
      </c>
      <c r="E509" t="str">
        <f>"10390507"</f>
        <v>10390507</v>
      </c>
      <c r="F509" t="str">
        <f t="shared" si="32"/>
        <v>Affy 1.0 ST</v>
      </c>
      <c r="G509" t="str">
        <f>"MGI:1920223"</f>
        <v>MGI:1920223</v>
      </c>
      <c r="H509" t="str">
        <f>"Fbxo47"</f>
        <v>Fbxo47</v>
      </c>
      <c r="I509" t="str">
        <f>"F-box protein 47"</f>
        <v>F-box protein 47</v>
      </c>
      <c r="J509" t="str">
        <f>"protein coding gene"</f>
        <v>protein coding gene</v>
      </c>
    </row>
    <row r="510" spans="1:10">
      <c r="A510">
        <v>10421810</v>
      </c>
      <c r="B510">
        <v>2.10986684554807</v>
      </c>
      <c r="C510">
        <v>0.48636094421780202</v>
      </c>
      <c r="E510" t="str">
        <f>"10421810"</f>
        <v>10421810</v>
      </c>
      <c r="F510" t="str">
        <f t="shared" si="32"/>
        <v>Affy 1.0 ST</v>
      </c>
      <c r="G510" t="str">
        <f>"MGI:1913464"</f>
        <v>MGI:1913464</v>
      </c>
      <c r="H510" t="str">
        <f>"1190002H23Rik"</f>
        <v>1190002H23Rik</v>
      </c>
      <c r="I510" t="str">
        <f>"RIKEN cDNA 1190002H23 gene"</f>
        <v>RIKEN cDNA 1190002H23 gene</v>
      </c>
      <c r="J510" t="str">
        <f>"protein coding gene"</f>
        <v>protein coding gene</v>
      </c>
    </row>
    <row r="511" spans="1:10">
      <c r="A511">
        <v>10437594</v>
      </c>
      <c r="B511">
        <v>2.1070189501952301</v>
      </c>
      <c r="C511">
        <v>4.5417755587970801E-2</v>
      </c>
      <c r="E511" t="str">
        <f>"10437594"</f>
        <v>10437594</v>
      </c>
      <c r="F511" t="str">
        <f t="shared" si="32"/>
        <v>Affy 1.0 ST</v>
      </c>
      <c r="G511" t="str">
        <f>"MGI:2182061"</f>
        <v>MGI:2182061</v>
      </c>
      <c r="H511" t="str">
        <f>"Usp7"</f>
        <v>Usp7</v>
      </c>
      <c r="I511" t="str">
        <f>"ubiquitin specific peptidase 7"</f>
        <v>ubiquitin specific peptidase 7</v>
      </c>
      <c r="J511" t="str">
        <f>"protein coding gene"</f>
        <v>protein coding gene</v>
      </c>
    </row>
    <row r="512" spans="1:10">
      <c r="A512">
        <v>10379795</v>
      </c>
      <c r="B512">
        <v>2.1035763749504701</v>
      </c>
      <c r="C512">
        <v>0.16027132383652301</v>
      </c>
      <c r="E512" t="str">
        <f>"10379795"</f>
        <v>10379795</v>
      </c>
      <c r="F512" t="str">
        <f t="shared" si="32"/>
        <v>Affy 1.0 ST</v>
      </c>
      <c r="G512" t="str">
        <f>"MGI:1354742"</f>
        <v>MGI:1354742</v>
      </c>
      <c r="H512" t="str">
        <f>"Synrg"</f>
        <v>Synrg</v>
      </c>
      <c r="I512" t="s">
        <v>74</v>
      </c>
      <c r="J512" t="s">
        <v>50</v>
      </c>
    </row>
    <row r="513" spans="1:10">
      <c r="A513">
        <v>10448803</v>
      </c>
      <c r="B513">
        <v>2.1028859863368901</v>
      </c>
      <c r="C513">
        <v>0.68862885427832998</v>
      </c>
      <c r="E513" t="str">
        <f>"10448803"</f>
        <v>10448803</v>
      </c>
      <c r="F513" t="str">
        <f t="shared" si="32"/>
        <v>Affy 1.0 ST</v>
      </c>
      <c r="G513" t="str">
        <f>"MGI:1196260"</f>
        <v>MGI:1196260</v>
      </c>
      <c r="H513" t="str">
        <f>"Hn1l"</f>
        <v>Hn1l</v>
      </c>
      <c r="I513" t="str">
        <f>"hematological and neurological expressed 1-like"</f>
        <v>hematological and neurological expressed 1-like</v>
      </c>
      <c r="J513" t="str">
        <f>"protein coding gene"</f>
        <v>protein coding gene</v>
      </c>
    </row>
    <row r="514" spans="1:10">
      <c r="A514">
        <v>10535273</v>
      </c>
      <c r="B514">
        <v>2.1003411565181</v>
      </c>
      <c r="C514">
        <v>0.133616667769478</v>
      </c>
      <c r="E514" t="str">
        <f>"10535273"</f>
        <v>10535273</v>
      </c>
      <c r="F514" t="str">
        <f t="shared" si="32"/>
        <v>Affy 1.0 ST</v>
      </c>
      <c r="G514" t="str">
        <f>"MGI:95767"</f>
        <v>MGI:95767</v>
      </c>
      <c r="H514" t="str">
        <f>"Gna12"</f>
        <v>Gna12</v>
      </c>
      <c r="I514" t="s">
        <v>75</v>
      </c>
      <c r="J514" t="s">
        <v>50</v>
      </c>
    </row>
    <row r="515" spans="1:10">
      <c r="A515">
        <v>10352133</v>
      </c>
      <c r="B515">
        <v>2.1000980377499698</v>
      </c>
      <c r="C515">
        <v>0.48248769057983798</v>
      </c>
      <c r="E515" t="str">
        <f>"10352133"</f>
        <v>10352133</v>
      </c>
      <c r="F515" t="str">
        <f t="shared" si="32"/>
        <v>Affy 1.0 ST</v>
      </c>
      <c r="G515" t="str">
        <f>"MGI:1915476"</f>
        <v>MGI:1915476</v>
      </c>
      <c r="H515" t="str">
        <f>"Efcab2"</f>
        <v>Efcab2</v>
      </c>
      <c r="I515" t="str">
        <f>"EF-hand calcium binding domain 2"</f>
        <v>EF-hand calcium binding domain 2</v>
      </c>
      <c r="J515" t="str">
        <f>"protein coding gene"</f>
        <v>protein coding gene</v>
      </c>
    </row>
    <row r="516" spans="1:10">
      <c r="A516">
        <v>10364093</v>
      </c>
      <c r="B516">
        <v>2.0932497319739198</v>
      </c>
      <c r="C516">
        <v>0.482608665439343</v>
      </c>
      <c r="E516" t="str">
        <f>"10364093"</f>
        <v>10364093</v>
      </c>
      <c r="F516" t="str">
        <f t="shared" si="32"/>
        <v>Affy 1.0 ST</v>
      </c>
      <c r="G516" t="str">
        <f>"MGI:1917627"</f>
        <v>MGI:1917627</v>
      </c>
      <c r="H516" t="str">
        <f>"Derl3"</f>
        <v>Derl3</v>
      </c>
      <c r="I516" t="s">
        <v>76</v>
      </c>
      <c r="J516" t="s">
        <v>50</v>
      </c>
    </row>
    <row r="517" spans="1:10">
      <c r="A517">
        <v>10496015</v>
      </c>
      <c r="B517">
        <v>2.0927917573252</v>
      </c>
      <c r="C517">
        <v>3.5041121353926501E-2</v>
      </c>
      <c r="E517" t="str">
        <f>"10496015"</f>
        <v>10496015</v>
      </c>
      <c r="F517" t="str">
        <f t="shared" si="32"/>
        <v>Affy 1.0 ST</v>
      </c>
      <c r="G517" t="str">
        <f>"MGI:1913600"</f>
        <v>MGI:1913600</v>
      </c>
      <c r="H517" t="str">
        <f>"Pla2g12a"</f>
        <v>Pla2g12a</v>
      </c>
      <c r="I517" t="s">
        <v>77</v>
      </c>
      <c r="J517" t="s">
        <v>50</v>
      </c>
    </row>
    <row r="518" spans="1:10">
      <c r="A518">
        <v>10516823</v>
      </c>
      <c r="B518">
        <v>2.0893763912410099</v>
      </c>
      <c r="C518">
        <v>0.46188280719793001</v>
      </c>
      <c r="E518" t="str">
        <f>"10516823"</f>
        <v>10516823</v>
      </c>
      <c r="F518" t="str">
        <f t="shared" si="32"/>
        <v>Affy 1.0 ST</v>
      </c>
      <c r="G518" t="str">
        <f>"MGI:95401"</f>
        <v>MGI:95401</v>
      </c>
      <c r="H518" t="str">
        <f>"Epb4.1"</f>
        <v>Epb4.1</v>
      </c>
      <c r="I518" t="str">
        <f>"erythrocyte protein band 4.1"</f>
        <v>erythrocyte protein band 4.1</v>
      </c>
      <c r="J518" t="str">
        <f>"protein coding gene"</f>
        <v>protein coding gene</v>
      </c>
    </row>
    <row r="519" spans="1:10">
      <c r="A519">
        <v>10489364</v>
      </c>
      <c r="B519">
        <v>2.0792718012215001</v>
      </c>
      <c r="C519">
        <v>0.50770447705229604</v>
      </c>
      <c r="E519" t="str">
        <f>"10489364"</f>
        <v>10489364</v>
      </c>
      <c r="F519" t="str">
        <f t="shared" si="32"/>
        <v>Affy 1.0 ST</v>
      </c>
      <c r="G519" t="str">
        <f>"MGI:1913930"</f>
        <v>MGI:1913930</v>
      </c>
      <c r="H519" t="str">
        <f>"3230401D17Rik"</f>
        <v>3230401D17Rik</v>
      </c>
      <c r="I519" t="str">
        <f>"RIKEN cDNA 3230401D17 gene"</f>
        <v>RIKEN cDNA 3230401D17 gene</v>
      </c>
      <c r="J519" t="str">
        <f>"protein coding gene"</f>
        <v>protein coding gene</v>
      </c>
    </row>
    <row r="520" spans="1:10">
      <c r="A520">
        <v>10566050</v>
      </c>
      <c r="B520">
        <v>2.076974412632</v>
      </c>
      <c r="C520">
        <v>0.30302642712781502</v>
      </c>
      <c r="E520" t="str">
        <f>"10566050"</f>
        <v>10566050</v>
      </c>
      <c r="F520" t="str">
        <f t="shared" si="32"/>
        <v>Affy 1.0 ST</v>
      </c>
      <c r="G520" t="str">
        <f>"MGI:1333800"</f>
        <v>MGI:1333800</v>
      </c>
      <c r="H520" t="str">
        <f>"Il18bp"</f>
        <v>Il18bp</v>
      </c>
      <c r="I520" t="str">
        <f>"interleukin 18 binding protein"</f>
        <v>interleukin 18 binding protein</v>
      </c>
      <c r="J520" t="str">
        <f>"protein coding gene"</f>
        <v>protein coding gene</v>
      </c>
    </row>
    <row r="521" spans="1:10">
      <c r="A521">
        <v>10574087</v>
      </c>
      <c r="B521">
        <v>2.07356081742661</v>
      </c>
      <c r="C521">
        <v>0.458963239670583</v>
      </c>
      <c r="E521" t="str">
        <f>"10574087"</f>
        <v>10574087</v>
      </c>
      <c r="F521" t="str">
        <f t="shared" si="32"/>
        <v>Affy 1.0 ST</v>
      </c>
      <c r="G521" t="str">
        <f>"MGI:1927406"</f>
        <v>MGI:1927406</v>
      </c>
      <c r="H521" t="str">
        <f>"Herpud1"</f>
        <v>Herpud1</v>
      </c>
      <c r="I521" t="s">
        <v>78</v>
      </c>
      <c r="J521" t="s">
        <v>50</v>
      </c>
    </row>
    <row r="522" spans="1:10">
      <c r="A522">
        <v>10373202</v>
      </c>
      <c r="B522">
        <v>2.06947532850505</v>
      </c>
      <c r="C522">
        <v>0.516726360274404</v>
      </c>
      <c r="E522" t="str">
        <f>"10373202"</f>
        <v>10373202</v>
      </c>
      <c r="F522" t="str">
        <f t="shared" si="32"/>
        <v>Affy 1.0 ST</v>
      </c>
      <c r="G522" t="str">
        <f>"MGI:1277989"</f>
        <v>MGI:1277989</v>
      </c>
      <c r="H522" t="str">
        <f>"Shmt2"</f>
        <v>Shmt2</v>
      </c>
      <c r="I522" t="str">
        <f>"serine hydroxymethyltransferase 2 (mitochondrial)"</f>
        <v>serine hydroxymethyltransferase 2 (mitochondrial)</v>
      </c>
      <c r="J522" t="str">
        <f t="shared" ref="J522:J537" si="33">"protein coding gene"</f>
        <v>protein coding gene</v>
      </c>
    </row>
    <row r="523" spans="1:10">
      <c r="A523">
        <v>10351465</v>
      </c>
      <c r="B523">
        <v>2.0659428619732001</v>
      </c>
      <c r="C523">
        <v>0.332927363637608</v>
      </c>
      <c r="E523" t="str">
        <f>"10351465"</f>
        <v>10351465</v>
      </c>
      <c r="F523" t="str">
        <f t="shared" si="32"/>
        <v>Affy 1.0 ST</v>
      </c>
      <c r="G523" t="str">
        <f>"MGI:1925715"</f>
        <v>MGI:1925715</v>
      </c>
      <c r="H523" t="str">
        <f>"1700084C01Rik"</f>
        <v>1700084C01Rik</v>
      </c>
      <c r="I523" t="str">
        <f>"RIKEN cDNA 1700084C01 gene"</f>
        <v>RIKEN cDNA 1700084C01 gene</v>
      </c>
      <c r="J523" t="str">
        <f t="shared" si="33"/>
        <v>protein coding gene</v>
      </c>
    </row>
    <row r="524" spans="1:10">
      <c r="A524">
        <v>10410877</v>
      </c>
      <c r="B524">
        <v>2.0645829059815899</v>
      </c>
      <c r="C524">
        <v>0.43603761369346999</v>
      </c>
      <c r="E524" t="str">
        <f>"10410877"</f>
        <v>10410877</v>
      </c>
      <c r="F524" t="str">
        <f t="shared" si="32"/>
        <v>Affy 1.0 ST</v>
      </c>
      <c r="G524" t="str">
        <f>"MGI:1914736"</f>
        <v>MGI:1914736</v>
      </c>
      <c r="H524" t="str">
        <f>"Polr3g"</f>
        <v>Polr3g</v>
      </c>
      <c r="I524" t="str">
        <f>"polymerase (RNA) III (DNA directed) polypeptide G"</f>
        <v>polymerase (RNA) III (DNA directed) polypeptide G</v>
      </c>
      <c r="J524" t="str">
        <f t="shared" si="33"/>
        <v>protein coding gene</v>
      </c>
    </row>
    <row r="525" spans="1:10">
      <c r="A525">
        <v>10409330</v>
      </c>
      <c r="B525">
        <v>2.0611322357821602</v>
      </c>
      <c r="C525">
        <v>0.27754078114178299</v>
      </c>
      <c r="E525" t="str">
        <f>"10409330"</f>
        <v>10409330</v>
      </c>
      <c r="F525" t="str">
        <f t="shared" si="32"/>
        <v>Affy 1.0 ST</v>
      </c>
      <c r="G525" t="str">
        <f>"MGI:1921162"</f>
        <v>MGI:1921162</v>
      </c>
      <c r="H525" t="str">
        <f>"4833439L19Rik"</f>
        <v>4833439L19Rik</v>
      </c>
      <c r="I525" t="str">
        <f>"RIKEN cDNA 4833439L19 gene"</f>
        <v>RIKEN cDNA 4833439L19 gene</v>
      </c>
      <c r="J525" t="str">
        <f t="shared" si="33"/>
        <v>protein coding gene</v>
      </c>
    </row>
    <row r="526" spans="1:10">
      <c r="A526">
        <v>10590690</v>
      </c>
      <c r="B526">
        <v>2.05934507055035</v>
      </c>
      <c r="C526">
        <v>0.53320965842499501</v>
      </c>
      <c r="E526" t="str">
        <f>"10590690"</f>
        <v>10590690</v>
      </c>
      <c r="F526" t="str">
        <f t="shared" si="32"/>
        <v>Affy 1.0 ST</v>
      </c>
      <c r="G526" t="str">
        <f>"MGI:107736"</f>
        <v>MGI:107736</v>
      </c>
      <c r="H526" t="str">
        <f>"Dync2h1"</f>
        <v>Dync2h1</v>
      </c>
      <c r="I526" t="str">
        <f>"dynein cytoplasmic 2 heavy chain 1"</f>
        <v>dynein cytoplasmic 2 heavy chain 1</v>
      </c>
      <c r="J526" t="str">
        <f t="shared" si="33"/>
        <v>protein coding gene</v>
      </c>
    </row>
    <row r="527" spans="1:10">
      <c r="A527">
        <v>10409508</v>
      </c>
      <c r="B527">
        <v>2.056391042525</v>
      </c>
      <c r="C527">
        <v>0.51127807552026805</v>
      </c>
      <c r="E527" t="str">
        <f>"10409508"</f>
        <v>10409508</v>
      </c>
      <c r="F527" t="str">
        <f t="shared" si="32"/>
        <v>Affy 1.0 ST</v>
      </c>
      <c r="G527" t="str">
        <f>"MGI:1920185"</f>
        <v>MGI:1920185</v>
      </c>
      <c r="H527" t="str">
        <f>"Ddx41"</f>
        <v>Ddx41</v>
      </c>
      <c r="I527" t="str">
        <f>"DEAD (Asp-Glu-Ala-Asp) box polypeptide 41"</f>
        <v>DEAD (Asp-Glu-Ala-Asp) box polypeptide 41</v>
      </c>
      <c r="J527" t="str">
        <f t="shared" si="33"/>
        <v>protein coding gene</v>
      </c>
    </row>
    <row r="528" spans="1:10">
      <c r="A528">
        <v>10407126</v>
      </c>
      <c r="B528">
        <v>2.0560289109994598</v>
      </c>
      <c r="C528">
        <v>0.35928732159547899</v>
      </c>
      <c r="E528" t="str">
        <f>"10407126"</f>
        <v>10407126</v>
      </c>
      <c r="F528" t="str">
        <f t="shared" si="32"/>
        <v>Affy 1.0 ST</v>
      </c>
      <c r="G528" t="str">
        <f>"MGI:1099790"</f>
        <v>MGI:1099790</v>
      </c>
      <c r="H528" t="str">
        <f>"Plk2"</f>
        <v>Plk2</v>
      </c>
      <c r="I528" t="str">
        <f>"polo-like kinase 2 (Drosophila)"</f>
        <v>polo-like kinase 2 (Drosophila)</v>
      </c>
      <c r="J528" t="str">
        <f t="shared" si="33"/>
        <v>protein coding gene</v>
      </c>
    </row>
    <row r="529" spans="1:10">
      <c r="A529">
        <v>10522784</v>
      </c>
      <c r="B529">
        <v>2.0553526677543301</v>
      </c>
      <c r="C529">
        <v>0.65384322064335898</v>
      </c>
      <c r="E529" t="str">
        <f>"10522784"</f>
        <v>10522784</v>
      </c>
      <c r="F529" t="str">
        <f t="shared" si="32"/>
        <v>Affy 1.0 ST</v>
      </c>
      <c r="G529" t="str">
        <f>"MGI:96136"</f>
        <v>MGI:96136</v>
      </c>
      <c r="H529" t="str">
        <f>"Hmgn2"</f>
        <v>Hmgn2</v>
      </c>
      <c r="I529" t="str">
        <f>"high mobility group nucleosomal binding domain 2"</f>
        <v>high mobility group nucleosomal binding domain 2</v>
      </c>
      <c r="J529" t="str">
        <f t="shared" si="33"/>
        <v>protein coding gene</v>
      </c>
    </row>
    <row r="530" spans="1:10">
      <c r="A530">
        <v>10357164</v>
      </c>
      <c r="B530">
        <v>2.0542372311391301</v>
      </c>
      <c r="C530">
        <v>0.18047564063900701</v>
      </c>
      <c r="E530" t="str">
        <f>"10357164"</f>
        <v>10357164</v>
      </c>
      <c r="F530" t="str">
        <f t="shared" si="32"/>
        <v>Affy 1.0 ST</v>
      </c>
      <c r="G530" t="str">
        <f>"MGI:103006"</f>
        <v>MGI:103006</v>
      </c>
      <c r="H530" t="str">
        <f>"Epb4.1l5"</f>
        <v>Epb4.1l5</v>
      </c>
      <c r="I530" t="str">
        <f>"erythrocyte protein band 4.1-like 5"</f>
        <v>erythrocyte protein band 4.1-like 5</v>
      </c>
      <c r="J530" t="str">
        <f t="shared" si="33"/>
        <v>protein coding gene</v>
      </c>
    </row>
    <row r="531" spans="1:10">
      <c r="A531">
        <v>10456556</v>
      </c>
      <c r="B531">
        <v>2.0531172651533698</v>
      </c>
      <c r="C531">
        <v>0.27486669507299299</v>
      </c>
      <c r="E531" t="str">
        <f>"10456556"</f>
        <v>10456556</v>
      </c>
      <c r="F531" t="str">
        <f t="shared" si="32"/>
        <v>Affy 1.0 ST</v>
      </c>
      <c r="G531" t="str">
        <f>"MGI:2156774"</f>
        <v>MGI:2156774</v>
      </c>
      <c r="H531" t="str">
        <f>"Stard6"</f>
        <v>Stard6</v>
      </c>
      <c r="I531" t="str">
        <f>"StAR-related lipid transfer (START) domain containing 6"</f>
        <v>StAR-related lipid transfer (START) domain containing 6</v>
      </c>
      <c r="J531" t="str">
        <f t="shared" si="33"/>
        <v>protein coding gene</v>
      </c>
    </row>
    <row r="532" spans="1:10">
      <c r="A532">
        <v>10441706</v>
      </c>
      <c r="B532">
        <v>2.0480292854536502</v>
      </c>
      <c r="C532">
        <v>0.23790719632558599</v>
      </c>
      <c r="E532" t="str">
        <f>"10441706"</f>
        <v>10441706</v>
      </c>
      <c r="F532" t="str">
        <f t="shared" si="32"/>
        <v>Affy 1.0 ST</v>
      </c>
      <c r="G532" t="str">
        <f>"MGI:1914181"</f>
        <v>MGI:1914181</v>
      </c>
      <c r="H532" t="str">
        <f>"1700010I14Rik"</f>
        <v>1700010I14Rik</v>
      </c>
      <c r="I532" t="str">
        <f>"RIKEN cDNA 1700010I14 gene"</f>
        <v>RIKEN cDNA 1700010I14 gene</v>
      </c>
      <c r="J532" t="str">
        <f t="shared" si="33"/>
        <v>protein coding gene</v>
      </c>
    </row>
    <row r="533" spans="1:10">
      <c r="A533">
        <v>10344723</v>
      </c>
      <c r="B533">
        <v>2.04648517150684</v>
      </c>
      <c r="C533">
        <v>0.215356336781068</v>
      </c>
      <c r="E533" t="str">
        <f>"10344723"</f>
        <v>10344723</v>
      </c>
      <c r="F533" t="str">
        <f t="shared" si="32"/>
        <v>Affy 1.0 ST</v>
      </c>
      <c r="G533" t="str">
        <f>"MGI:1929721"</f>
        <v>MGI:1929721</v>
      </c>
      <c r="H533" t="str">
        <f>"Rrs1"</f>
        <v>Rrs1</v>
      </c>
      <c r="I533" t="str">
        <f>"RRS1 ribosome biogenesis regulator homolog (S. cerevisiae)"</f>
        <v>RRS1 ribosome biogenesis regulator homolog (S. cerevisiae)</v>
      </c>
      <c r="J533" t="str">
        <f t="shared" si="33"/>
        <v>protein coding gene</v>
      </c>
    </row>
    <row r="534" spans="1:10">
      <c r="A534">
        <v>10458138</v>
      </c>
      <c r="B534">
        <v>2.0426857559501999</v>
      </c>
      <c r="C534">
        <v>0.62758715238472795</v>
      </c>
      <c r="E534" t="str">
        <f>"10458138"</f>
        <v>10458138</v>
      </c>
      <c r="F534" t="str">
        <f t="shared" si="32"/>
        <v>Affy 1.0 ST</v>
      </c>
      <c r="G534" t="str">
        <f>"MGI:1925906"</f>
        <v>MGI:1925906</v>
      </c>
      <c r="H534" t="str">
        <f>"Brd8"</f>
        <v>Brd8</v>
      </c>
      <c r="I534" t="str">
        <f>"bromodomain containing 8"</f>
        <v>bromodomain containing 8</v>
      </c>
      <c r="J534" t="str">
        <f t="shared" si="33"/>
        <v>protein coding gene</v>
      </c>
    </row>
    <row r="535" spans="1:10">
      <c r="A535">
        <v>10553993</v>
      </c>
      <c r="B535">
        <v>2.0415066775763302</v>
      </c>
      <c r="C535">
        <v>0.34063728311666902</v>
      </c>
      <c r="E535" t="str">
        <f>"10553993"</f>
        <v>10553993</v>
      </c>
      <c r="F535" t="str">
        <f t="shared" si="32"/>
        <v>Affy 1.0 ST</v>
      </c>
      <c r="G535" t="str">
        <f>"MGI:1916231"</f>
        <v>MGI:1916231</v>
      </c>
      <c r="H535" t="str">
        <f>"Snrpa1"</f>
        <v>Snrpa1</v>
      </c>
      <c r="I535" t="str">
        <f>"small nuclear ribonucleoprotein polypeptide A'"</f>
        <v>small nuclear ribonucleoprotein polypeptide A'</v>
      </c>
      <c r="J535" t="str">
        <f t="shared" si="33"/>
        <v>protein coding gene</v>
      </c>
    </row>
    <row r="536" spans="1:10">
      <c r="A536">
        <v>10445702</v>
      </c>
      <c r="B536">
        <v>2.0404440668007702</v>
      </c>
      <c r="C536">
        <v>0.50906785389924403</v>
      </c>
      <c r="E536" t="str">
        <f>"10445702"</f>
        <v>10445702</v>
      </c>
      <c r="F536" t="str">
        <f t="shared" si="32"/>
        <v>Affy 1.0 ST</v>
      </c>
      <c r="G536" t="str">
        <f>"MGI:2685391"</f>
        <v>MGI:2685391</v>
      </c>
      <c r="H536" t="str">
        <f>"Usp49"</f>
        <v>Usp49</v>
      </c>
      <c r="I536" t="str">
        <f>"ubiquitin specific peptidase 49"</f>
        <v>ubiquitin specific peptidase 49</v>
      </c>
      <c r="J536" t="str">
        <f t="shared" si="33"/>
        <v>protein coding gene</v>
      </c>
    </row>
    <row r="537" spans="1:10">
      <c r="A537">
        <v>10481474</v>
      </c>
      <c r="B537">
        <v>2.0376247640824299</v>
      </c>
      <c r="C537">
        <v>0.43039093007851797</v>
      </c>
      <c r="E537" t="str">
        <f>"10481474"</f>
        <v>10481474</v>
      </c>
      <c r="F537" t="str">
        <f t="shared" si="32"/>
        <v>Affy 1.0 ST</v>
      </c>
      <c r="G537" t="str">
        <f>"MGI:109501"</f>
        <v>MGI:109501</v>
      </c>
      <c r="H537" t="str">
        <f>"Crat"</f>
        <v>Crat</v>
      </c>
      <c r="I537" t="str">
        <f>"carnitine acetyltransferase"</f>
        <v>carnitine acetyltransferase</v>
      </c>
      <c r="J537" t="str">
        <f t="shared" si="33"/>
        <v>protein coding gene</v>
      </c>
    </row>
    <row r="538" spans="1:10">
      <c r="A538">
        <v>10352306</v>
      </c>
      <c r="B538">
        <v>2.0359548861552499</v>
      </c>
      <c r="C538">
        <v>0.42756306378758502</v>
      </c>
      <c r="E538" t="str">
        <f>"10352306"</f>
        <v>10352306</v>
      </c>
      <c r="F538" t="str">
        <f t="shared" si="32"/>
        <v>Affy 1.0 ST</v>
      </c>
      <c r="G538" t="str">
        <f>"MGI:1277956"</f>
        <v>MGI:1277956</v>
      </c>
      <c r="H538" t="str">
        <f>"Pycr2"</f>
        <v>Pycr2</v>
      </c>
      <c r="I538" t="s">
        <v>79</v>
      </c>
      <c r="J538" t="s">
        <v>50</v>
      </c>
    </row>
    <row r="539" spans="1:10">
      <c r="A539">
        <v>10525374</v>
      </c>
      <c r="B539">
        <v>2.0315571161950299</v>
      </c>
      <c r="C539">
        <v>0.31112322559295003</v>
      </c>
      <c r="E539" t="str">
        <f>"10525374"</f>
        <v>10525374</v>
      </c>
      <c r="F539" t="str">
        <f t="shared" si="32"/>
        <v>Affy 1.0 ST</v>
      </c>
      <c r="G539" t="str">
        <f>"MGI:2444593"</f>
        <v>MGI:2444593</v>
      </c>
      <c r="H539" t="str">
        <f>"Pptc7"</f>
        <v>Pptc7</v>
      </c>
      <c r="I539" t="str">
        <f>"PTC7 protein phosphatase homolog (S. cerevisiae)"</f>
        <v>PTC7 protein phosphatase homolog (S. cerevisiae)</v>
      </c>
      <c r="J539" t="str">
        <f>"protein coding gene"</f>
        <v>protein coding gene</v>
      </c>
    </row>
    <row r="540" spans="1:10">
      <c r="A540">
        <v>10406733</v>
      </c>
      <c r="B540">
        <v>2.0300322378061999</v>
      </c>
      <c r="C540">
        <v>0.25128577857033102</v>
      </c>
      <c r="E540" t="str">
        <f>"10406733"</f>
        <v>10406733</v>
      </c>
      <c r="F540" t="str">
        <f t="shared" si="32"/>
        <v>Affy 1.0 ST</v>
      </c>
      <c r="G540" t="str">
        <f>"MGI:1919364"</f>
        <v>MGI:1919364</v>
      </c>
      <c r="H540" t="str">
        <f>"Zbed3"</f>
        <v>Zbed3</v>
      </c>
      <c r="I540" t="s">
        <v>80</v>
      </c>
      <c r="J540" t="s">
        <v>50</v>
      </c>
    </row>
    <row r="541" spans="1:10">
      <c r="A541">
        <v>10488892</v>
      </c>
      <c r="B541">
        <v>2.0263968694691799</v>
      </c>
      <c r="C541">
        <v>0.63109260198215</v>
      </c>
      <c r="E541" t="str">
        <f>"10488892"</f>
        <v>10488892</v>
      </c>
      <c r="F541" t="str">
        <f t="shared" si="32"/>
        <v>Affy 1.0 ST</v>
      </c>
      <c r="G541" t="str">
        <f>"MGI:1930751"</f>
        <v>MGI:1930751</v>
      </c>
      <c r="H541" t="str">
        <f>"Trpc4ap"</f>
        <v>Trpc4ap</v>
      </c>
      <c r="I541" t="s">
        <v>81</v>
      </c>
      <c r="J541" t="s">
        <v>50</v>
      </c>
    </row>
    <row r="542" spans="1:10">
      <c r="A542">
        <v>10344803</v>
      </c>
      <c r="B542">
        <v>2.0262592274765701</v>
      </c>
      <c r="C542">
        <v>0.20916591588463901</v>
      </c>
      <c r="E542" t="str">
        <f>"10344803"</f>
        <v>10344803</v>
      </c>
      <c r="F542" t="str">
        <f t="shared" si="32"/>
        <v>Affy 1.0 ST</v>
      </c>
      <c r="G542" t="str">
        <f>"MGI:2681832"</f>
        <v>MGI:2681832</v>
      </c>
      <c r="H542" t="str">
        <f>"Cspp1"</f>
        <v>Cspp1</v>
      </c>
      <c r="I542" t="str">
        <f>"centrosome and spindle pole associated protein 1"</f>
        <v>centrosome and spindle pole associated protein 1</v>
      </c>
      <c r="J542" t="str">
        <f>"protein coding gene"</f>
        <v>protein coding gene</v>
      </c>
    </row>
    <row r="543" spans="1:10">
      <c r="A543">
        <v>10384150</v>
      </c>
      <c r="B543">
        <v>2.0171653910412402</v>
      </c>
      <c r="C543">
        <v>0.35897170952478002</v>
      </c>
      <c r="E543" t="str">
        <f>"10384150"</f>
        <v>10384150</v>
      </c>
      <c r="F543" t="str">
        <f t="shared" si="32"/>
        <v>Affy 1.0 ST</v>
      </c>
      <c r="G543" t="str">
        <f>"MGI:1338779"</f>
        <v>MGI:1338779</v>
      </c>
      <c r="H543" t="str">
        <f>"Purb"</f>
        <v>Purb</v>
      </c>
      <c r="I543" t="str">
        <f>"purine rich element binding protein B"</f>
        <v>purine rich element binding protein B</v>
      </c>
      <c r="J543" t="str">
        <f>"protein coding gene"</f>
        <v>protein coding gene</v>
      </c>
    </row>
    <row r="544" spans="1:10">
      <c r="A544">
        <v>10401181</v>
      </c>
      <c r="B544">
        <v>2.0165594321821301</v>
      </c>
      <c r="C544">
        <v>0.46939539934734398</v>
      </c>
      <c r="E544" t="str">
        <f>"10401181"</f>
        <v>10401181</v>
      </c>
      <c r="F544" t="str">
        <f t="shared" si="32"/>
        <v>Affy 1.0 ST</v>
      </c>
      <c r="G544" t="str">
        <f>"MGI:102581"</f>
        <v>MGI:102581</v>
      </c>
      <c r="H544" t="str">
        <f>"Rdh11"</f>
        <v>Rdh11</v>
      </c>
      <c r="I544" t="str">
        <f>"retinol dehydrogenase 11"</f>
        <v>retinol dehydrogenase 11</v>
      </c>
      <c r="J544" t="str">
        <f>"protein coding gene"</f>
        <v>protein coding gene</v>
      </c>
    </row>
    <row r="545" spans="1:10">
      <c r="A545">
        <v>10385790</v>
      </c>
      <c r="B545">
        <v>2.0163231732464699</v>
      </c>
      <c r="C545">
        <v>9.9718712354697203E-2</v>
      </c>
      <c r="E545" t="str">
        <f>"10385790"</f>
        <v>10385790</v>
      </c>
      <c r="F545" t="str">
        <f t="shared" si="32"/>
        <v>Affy 1.0 ST</v>
      </c>
      <c r="G545" t="str">
        <f>"MGI:1342292"</f>
        <v>MGI:1342292</v>
      </c>
      <c r="H545" t="str">
        <f>"Hspa4"</f>
        <v>Hspa4</v>
      </c>
      <c r="I545" t="str">
        <f>"heat shock protein 4"</f>
        <v>heat shock protein 4</v>
      </c>
      <c r="J545" t="str">
        <f>"protein coding gene"</f>
        <v>protein coding gene</v>
      </c>
    </row>
    <row r="546" spans="1:10">
      <c r="A546">
        <v>10473356</v>
      </c>
      <c r="B546">
        <v>2.01438968099241</v>
      </c>
      <c r="C546">
        <v>0.10203467865141599</v>
      </c>
      <c r="E546" t="str">
        <f>"10473356"</f>
        <v>10473356</v>
      </c>
      <c r="F546" t="str">
        <f t="shared" si="32"/>
        <v>Affy 1.0 ST</v>
      </c>
      <c r="G546" t="str">
        <f>"MGI:1914500"</f>
        <v>MGI:1914500</v>
      </c>
      <c r="H546" t="str">
        <f>"Ube2l6"</f>
        <v>Ube2l6</v>
      </c>
      <c r="I546" t="str">
        <f>"ubiquitin-conjugating enzyme E2L 6"</f>
        <v>ubiquitin-conjugating enzyme E2L 6</v>
      </c>
      <c r="J546" t="str">
        <f>"protein coding gene"</f>
        <v>protein coding gene</v>
      </c>
    </row>
    <row r="547" spans="1:10">
      <c r="A547">
        <v>10403066</v>
      </c>
      <c r="B547">
        <v>2.0059528359725198</v>
      </c>
      <c r="C547">
        <v>0.42928825113374602</v>
      </c>
      <c r="E547" t="str">
        <f>"10403066"</f>
        <v>10403066</v>
      </c>
      <c r="F547" t="str">
        <f t="shared" si="32"/>
        <v>Affy 1.0 ST</v>
      </c>
      <c r="G547" t="str">
        <f>"MGI:4439634"</f>
        <v>MGI:4439634</v>
      </c>
      <c r="H547" t="str">
        <f>"Gm16710"</f>
        <v>Gm16710</v>
      </c>
      <c r="I547" t="s">
        <v>82</v>
      </c>
      <c r="J547" t="s">
        <v>10</v>
      </c>
    </row>
    <row r="548" spans="1:10">
      <c r="A548">
        <v>10479765</v>
      </c>
      <c r="B548">
        <v>2.00574214626895</v>
      </c>
      <c r="C548">
        <v>0.59015066487812995</v>
      </c>
      <c r="E548" t="str">
        <f>"10479765"</f>
        <v>10479765</v>
      </c>
      <c r="F548" t="str">
        <f t="shared" si="32"/>
        <v>Affy 1.0 ST</v>
      </c>
      <c r="G548" t="str">
        <f>"MGI:1890396"</f>
        <v>MGI:1890396</v>
      </c>
      <c r="H548" t="str">
        <f>"Suv39h2"</f>
        <v>Suv39h2</v>
      </c>
      <c r="I548" t="str">
        <f>"suppressor of variegation 3-9 homolog 2 (Drosophila)"</f>
        <v>suppressor of variegation 3-9 homolog 2 (Drosophila)</v>
      </c>
      <c r="J548" t="str">
        <f>"protein coding gene"</f>
        <v>protein coding gene</v>
      </c>
    </row>
    <row r="549" spans="1:10">
      <c r="A549">
        <v>10369086</v>
      </c>
      <c r="B549">
        <v>2.00539035587293</v>
      </c>
      <c r="C549">
        <v>0.43232884724401099</v>
      </c>
      <c r="E549" t="str">
        <f>"10369086"</f>
        <v>10369086</v>
      </c>
      <c r="F549" t="str">
        <f t="shared" si="32"/>
        <v>Affy 1.0 ST</v>
      </c>
      <c r="G549" t="str">
        <f>"MGI:2149946"</f>
        <v>MGI:2149946</v>
      </c>
      <c r="H549" t="str">
        <f>"Gopc"</f>
        <v>Gopc</v>
      </c>
      <c r="I549" t="str">
        <f>"golgi associated PDZ and coiled-coil motif containing"</f>
        <v>golgi associated PDZ and coiled-coil motif containing</v>
      </c>
      <c r="J549" t="str">
        <f>"protein coding gene"</f>
        <v>protein coding gene</v>
      </c>
    </row>
    <row r="550" spans="1:10">
      <c r="A550">
        <v>10510219</v>
      </c>
      <c r="B550">
        <v>2.0053069786964701</v>
      </c>
      <c r="C550">
        <v>0.65560828807596006</v>
      </c>
      <c r="E550" t="str">
        <f>"10510219"</f>
        <v>10510219</v>
      </c>
      <c r="F550" t="str">
        <f t="shared" si="32"/>
        <v>Affy 1.0 ST</v>
      </c>
      <c r="G550" t="str">
        <f>"MGI:2448759"</f>
        <v>MGI:2448759</v>
      </c>
      <c r="H550" t="str">
        <f>"Cdv3"</f>
        <v>Cdv3</v>
      </c>
      <c r="I550" t="str">
        <f>"carnitine deficiency-associated gene expressed in ventricle 3"</f>
        <v>carnitine deficiency-associated gene expressed in ventricle 3</v>
      </c>
      <c r="J550" t="str">
        <f>"protein coding gene"</f>
        <v>protein coding gene</v>
      </c>
    </row>
    <row r="551" spans="1:10">
      <c r="A551">
        <v>10458262</v>
      </c>
      <c r="B551">
        <v>2.0026486686494298</v>
      </c>
      <c r="C551">
        <v>0.40831047641358997</v>
      </c>
      <c r="E551" t="str">
        <f>"10458262"</f>
        <v>10458262</v>
      </c>
      <c r="F551" t="str">
        <f t="shared" si="32"/>
        <v>Affy 1.0 ST</v>
      </c>
      <c r="G551" t="str">
        <f>"MGI:1341903"</f>
        <v>MGI:1341903</v>
      </c>
      <c r="H551" t="str">
        <f>"Slc23a1"</f>
        <v>Slc23a1</v>
      </c>
      <c r="I551" t="s">
        <v>83</v>
      </c>
      <c r="J551" t="s">
        <v>50</v>
      </c>
    </row>
    <row r="552" spans="1:10">
      <c r="A552">
        <v>10595059</v>
      </c>
      <c r="B552">
        <v>2.00229948569651</v>
      </c>
      <c r="C552">
        <v>7.2592015940552299E-2</v>
      </c>
      <c r="E552" t="str">
        <f>"10595059"</f>
        <v>10595059</v>
      </c>
      <c r="F552" t="str">
        <f t="shared" si="32"/>
        <v>Affy 1.0 ST</v>
      </c>
      <c r="G552" t="str">
        <f>"MGI:2680765"</f>
        <v>MGI:2680765</v>
      </c>
      <c r="H552" t="str">
        <f>"Hcrtr2"</f>
        <v>Hcrtr2</v>
      </c>
      <c r="I552" t="str">
        <f>"hypocretin (orexin) receptor 2"</f>
        <v>hypocretin (orexin) receptor 2</v>
      </c>
      <c r="J552" t="str">
        <f>"protein coding gene"</f>
        <v>protein coding gene</v>
      </c>
    </row>
    <row r="553" spans="1:10">
      <c r="A553">
        <v>10386743</v>
      </c>
      <c r="B553">
        <v>1.9955113066561401</v>
      </c>
      <c r="C553">
        <v>0.246768372167328</v>
      </c>
      <c r="E553" t="str">
        <f>"10386743"</f>
        <v>10386743</v>
      </c>
      <c r="F553" t="str">
        <f t="shared" si="32"/>
        <v>Affy 1.0 ST</v>
      </c>
      <c r="G553" t="str">
        <f>"MGI:1333766"</f>
        <v>MGI:1333766</v>
      </c>
      <c r="H553" t="str">
        <f>"Epn2"</f>
        <v>Epn2</v>
      </c>
      <c r="I553" t="str">
        <f>"epsin 2"</f>
        <v>epsin 2</v>
      </c>
      <c r="J553" t="str">
        <f>"protein coding gene"</f>
        <v>protein coding gene</v>
      </c>
    </row>
    <row r="554" spans="1:10">
      <c r="A554">
        <v>10409202</v>
      </c>
      <c r="B554">
        <v>1.9947227329849899</v>
      </c>
      <c r="C554">
        <v>0.16094405002973999</v>
      </c>
      <c r="E554" t="str">
        <f>"10409202"</f>
        <v>10409202</v>
      </c>
      <c r="F554" t="str">
        <f>""</f>
        <v/>
      </c>
      <c r="G554" t="str">
        <f>"No associated gene"</f>
        <v>No associated gene</v>
      </c>
    </row>
    <row r="555" spans="1:10">
      <c r="A555">
        <v>10594315</v>
      </c>
      <c r="B555">
        <v>1.99264166535073</v>
      </c>
      <c r="C555">
        <v>0.61281937456684499</v>
      </c>
      <c r="E555" t="str">
        <f>"10594315"</f>
        <v>10594315</v>
      </c>
      <c r="F555" t="str">
        <f>"Affy 1.0 ST"</f>
        <v>Affy 1.0 ST</v>
      </c>
      <c r="G555" t="str">
        <f>"MGI:1335087"</f>
        <v>MGI:1335087</v>
      </c>
      <c r="H555" t="str">
        <f>"Fem1b"</f>
        <v>Fem1b</v>
      </c>
      <c r="I555" t="str">
        <f>"feminization 1 homolog b (C. elegans)"</f>
        <v>feminization 1 homolog b (C. elegans)</v>
      </c>
      <c r="J555" t="str">
        <f>"protein coding gene"</f>
        <v>protein coding gene</v>
      </c>
    </row>
    <row r="556" spans="1:10">
      <c r="A556">
        <v>10340531</v>
      </c>
      <c r="B556">
        <v>1.9905445034220599</v>
      </c>
      <c r="C556">
        <v>0.56125963054221795</v>
      </c>
      <c r="E556" t="str">
        <f>"10340531"</f>
        <v>10340531</v>
      </c>
      <c r="F556" t="str">
        <f>""</f>
        <v/>
      </c>
      <c r="G556" t="str">
        <f>"No associated gene"</f>
        <v>No associated gene</v>
      </c>
    </row>
    <row r="557" spans="1:10">
      <c r="A557">
        <v>10437160</v>
      </c>
      <c r="B557">
        <v>1.9879265209337</v>
      </c>
      <c r="C557">
        <v>0.50081139740976899</v>
      </c>
      <c r="E557" t="str">
        <f>"10437160"</f>
        <v>10437160</v>
      </c>
      <c r="F557" t="str">
        <f>"Affy 1.0 ST"</f>
        <v>Affy 1.0 ST</v>
      </c>
      <c r="G557" t="str">
        <f>"MGI:95456"</f>
        <v>MGI:95456</v>
      </c>
      <c r="H557" t="str">
        <f>"Ets2"</f>
        <v>Ets2</v>
      </c>
      <c r="I557" t="s">
        <v>84</v>
      </c>
      <c r="J557" t="s">
        <v>50</v>
      </c>
    </row>
    <row r="558" spans="1:10">
      <c r="A558">
        <v>10409660</v>
      </c>
      <c r="B558">
        <v>1.9843840163944899</v>
      </c>
      <c r="C558">
        <v>0.35649841593973702</v>
      </c>
      <c r="E558" t="str">
        <f>"10409660"</f>
        <v>10409660</v>
      </c>
      <c r="F558" t="str">
        <f>"Affy 1.0 ST"</f>
        <v>Affy 1.0 ST</v>
      </c>
      <c r="G558" t="str">
        <f>"MGI:1891694"</f>
        <v>MGI:1891694</v>
      </c>
      <c r="H558" t="str">
        <f>"Gkap1"</f>
        <v>Gkap1</v>
      </c>
      <c r="I558" t="str">
        <f>"G kinase anchoring protein 1"</f>
        <v>G kinase anchoring protein 1</v>
      </c>
      <c r="J558" t="str">
        <f>"protein coding gene"</f>
        <v>protein coding gene</v>
      </c>
    </row>
    <row r="559" spans="1:10">
      <c r="A559">
        <v>10526217</v>
      </c>
      <c r="B559">
        <v>1.9837100653486699</v>
      </c>
      <c r="C559">
        <v>0.43371437995183998</v>
      </c>
      <c r="E559" t="str">
        <f>"10526217"</f>
        <v>10526217</v>
      </c>
      <c r="F559" t="str">
        <f>"Affy 1.0 ST"</f>
        <v>Affy 1.0 ST</v>
      </c>
      <c r="G559" t="str">
        <f>"MGI:1341868"</f>
        <v>MGI:1341868</v>
      </c>
      <c r="H559" t="str">
        <f>"Rfc2"</f>
        <v>Rfc2</v>
      </c>
      <c r="I559" t="str">
        <f>"replication factor C (activator 1) 2"</f>
        <v>replication factor C (activator 1) 2</v>
      </c>
      <c r="J559" t="str">
        <f>"protein coding gene"</f>
        <v>protein coding gene</v>
      </c>
    </row>
    <row r="560" spans="1:10">
      <c r="A560">
        <v>10543686</v>
      </c>
      <c r="B560">
        <v>1.9835622686648899</v>
      </c>
      <c r="C560">
        <v>0.29501182357962402</v>
      </c>
      <c r="E560" t="str">
        <f>"10543686"</f>
        <v>10543686</v>
      </c>
      <c r="F560" t="str">
        <f>"Affy 1.0 ST"</f>
        <v>Affy 1.0 ST</v>
      </c>
      <c r="G560" t="str">
        <f>"MGI:104632"</f>
        <v>MGI:104632</v>
      </c>
      <c r="H560" t="str">
        <f>"Ube2h"</f>
        <v>Ube2h</v>
      </c>
      <c r="I560" t="str">
        <f>"ubiquitin-conjugating enzyme E2H"</f>
        <v>ubiquitin-conjugating enzyme E2H</v>
      </c>
      <c r="J560" t="str">
        <f>"protein coding gene"</f>
        <v>protein coding gene</v>
      </c>
    </row>
    <row r="561" spans="1:10">
      <c r="A561">
        <v>10406519</v>
      </c>
      <c r="B561">
        <v>1.9811260092455401</v>
      </c>
      <c r="C561">
        <v>0.25300662058808199</v>
      </c>
      <c r="E561" t="str">
        <f>"10406519"</f>
        <v>10406519</v>
      </c>
      <c r="F561" t="str">
        <f>"Affy 1.0 ST"</f>
        <v>Affy 1.0 ST</v>
      </c>
      <c r="G561" t="str">
        <f>"MGI:1337006"</f>
        <v>MGI:1337006</v>
      </c>
      <c r="H561" t="str">
        <f>"Hapln1"</f>
        <v>Hapln1</v>
      </c>
      <c r="I561" t="str">
        <f>"hyaluronan and proteoglycan link protein 1"</f>
        <v>hyaluronan and proteoglycan link protein 1</v>
      </c>
      <c r="J561" t="str">
        <f>"protein coding gene"</f>
        <v>protein coding gene</v>
      </c>
    </row>
    <row r="562" spans="1:10">
      <c r="A562">
        <v>10564220</v>
      </c>
      <c r="B562">
        <v>1.9784678047204201</v>
      </c>
      <c r="C562">
        <v>0.156697884373624</v>
      </c>
      <c r="E562" t="str">
        <f>"10564220"</f>
        <v>10564220</v>
      </c>
      <c r="F562" t="str">
        <f>""</f>
        <v/>
      </c>
      <c r="G562" t="str">
        <f>"No associated gene"</f>
        <v>No associated gene</v>
      </c>
    </row>
    <row r="563" spans="1:10">
      <c r="A563">
        <v>10511498</v>
      </c>
      <c r="B563">
        <v>1.9755397347160899</v>
      </c>
      <c r="C563">
        <v>0.32223595890061402</v>
      </c>
      <c r="E563" t="str">
        <f>"10511498"</f>
        <v>10511498</v>
      </c>
      <c r="F563" t="str">
        <f t="shared" ref="F563:F568" si="34">"Affy 1.0 ST"</f>
        <v>Affy 1.0 ST</v>
      </c>
      <c r="G563" t="str">
        <f>"MGI:1919051"</f>
        <v>MGI:1919051</v>
      </c>
      <c r="H563" t="str">
        <f>"Plekhf2"</f>
        <v>Plekhf2</v>
      </c>
      <c r="I563" t="s">
        <v>85</v>
      </c>
      <c r="J563" t="s">
        <v>50</v>
      </c>
    </row>
    <row r="564" spans="1:10">
      <c r="A564">
        <v>10353750</v>
      </c>
      <c r="B564">
        <v>1.9753033724984199</v>
      </c>
      <c r="C564">
        <v>0.47244135341566101</v>
      </c>
      <c r="E564" t="str">
        <f>"10353750"</f>
        <v>10353750</v>
      </c>
      <c r="F564" t="str">
        <f t="shared" si="34"/>
        <v>Affy 1.0 ST</v>
      </c>
      <c r="G564" t="str">
        <f>"MGI:1891254"</f>
        <v>MGI:1891254</v>
      </c>
      <c r="H564" t="str">
        <f>"Bag2"</f>
        <v>Bag2</v>
      </c>
      <c r="I564" t="str">
        <f>"BCL2-associated athanogene 2"</f>
        <v>BCL2-associated athanogene 2</v>
      </c>
      <c r="J564" t="str">
        <f>"protein coding gene"</f>
        <v>protein coding gene</v>
      </c>
    </row>
    <row r="565" spans="1:10">
      <c r="A565">
        <v>10536369</v>
      </c>
      <c r="B565">
        <v>1.97406491255502</v>
      </c>
      <c r="C565">
        <v>0.351622746606923</v>
      </c>
      <c r="E565" t="str">
        <f>"10536369"</f>
        <v>10536369</v>
      </c>
      <c r="F565" t="str">
        <f t="shared" si="34"/>
        <v>Affy 1.0 ST</v>
      </c>
      <c r="G565" t="str">
        <f>"MGI:2151071"</f>
        <v>MGI:2151071</v>
      </c>
      <c r="H565" t="str">
        <f>"C1galt1"</f>
        <v>C1galt1</v>
      </c>
      <c r="I565" t="s">
        <v>86</v>
      </c>
      <c r="J565" t="s">
        <v>50</v>
      </c>
    </row>
    <row r="566" spans="1:10">
      <c r="A566">
        <v>10401852</v>
      </c>
      <c r="B566">
        <v>1.9715941054397399</v>
      </c>
      <c r="C566">
        <v>0.38413450047685899</v>
      </c>
      <c r="E566" t="str">
        <f>"10401852"</f>
        <v>10401852</v>
      </c>
      <c r="F566" t="str">
        <f t="shared" si="34"/>
        <v>Affy 1.0 ST</v>
      </c>
      <c r="G566" t="str">
        <f>"MGI:1922466"</f>
        <v>MGI:1922466</v>
      </c>
      <c r="H566" t="str">
        <f>"4930534B04Rik"</f>
        <v>4930534B04Rik</v>
      </c>
      <c r="I566" t="str">
        <f>"RIKEN cDNA 4930534B04 gene"</f>
        <v>RIKEN cDNA 4930534B04 gene</v>
      </c>
      <c r="J566" t="str">
        <f>"protein coding gene"</f>
        <v>protein coding gene</v>
      </c>
    </row>
    <row r="567" spans="1:10">
      <c r="A567">
        <v>10474223</v>
      </c>
      <c r="B567">
        <v>1.96777147993855</v>
      </c>
      <c r="C567">
        <v>0.33626785519981001</v>
      </c>
      <c r="E567" t="str">
        <f>"10474223"</f>
        <v>10474223</v>
      </c>
      <c r="F567" t="str">
        <f t="shared" si="34"/>
        <v>Affy 1.0 ST</v>
      </c>
      <c r="G567" t="str">
        <f>"MGI:1888996"</f>
        <v>MGI:1888996</v>
      </c>
      <c r="H567" t="str">
        <f>"Cd59b"</f>
        <v>Cd59b</v>
      </c>
      <c r="I567" t="str">
        <f>"CD59b antigen"</f>
        <v>CD59b antigen</v>
      </c>
      <c r="J567" t="str">
        <f>"protein coding gene"</f>
        <v>protein coding gene</v>
      </c>
    </row>
    <row r="568" spans="1:10">
      <c r="A568">
        <v>10407145</v>
      </c>
      <c r="B568">
        <v>1.9646946384919901</v>
      </c>
      <c r="C568">
        <v>0.10083629219587099</v>
      </c>
      <c r="E568" t="str">
        <f>"10407145"</f>
        <v>10407145</v>
      </c>
      <c r="F568" t="str">
        <f t="shared" si="34"/>
        <v>Affy 1.0 ST</v>
      </c>
      <c r="G568" t="str">
        <f>"MGI:2442317"</f>
        <v>MGI:2442317</v>
      </c>
      <c r="H568" t="str">
        <f>"Mier3"</f>
        <v>Mier3</v>
      </c>
      <c r="I568" t="s">
        <v>87</v>
      </c>
      <c r="J568" t="s">
        <v>50</v>
      </c>
    </row>
    <row r="569" spans="1:10">
      <c r="A569">
        <v>10538873</v>
      </c>
      <c r="B569">
        <v>1.9642599719303599</v>
      </c>
      <c r="C569">
        <v>0.39270653580743797</v>
      </c>
      <c r="E569" t="str">
        <f>"10538873"</f>
        <v>10538873</v>
      </c>
      <c r="F569" t="str">
        <f>""</f>
        <v/>
      </c>
      <c r="G569" t="str">
        <f>"No associated gene"</f>
        <v>No associated gene</v>
      </c>
    </row>
    <row r="570" spans="1:10">
      <c r="A570">
        <v>10382701</v>
      </c>
      <c r="B570">
        <v>1.96268583490534</v>
      </c>
      <c r="C570">
        <v>0.15164980943114001</v>
      </c>
      <c r="E570" t="str">
        <f>"10382701"</f>
        <v>10382701</v>
      </c>
      <c r="F570" t="str">
        <f>"Affy 1.0 ST"</f>
        <v>Affy 1.0 ST</v>
      </c>
      <c r="G570" t="str">
        <f>"MGI:1927479"</f>
        <v>MGI:1927479</v>
      </c>
      <c r="H570" t="str">
        <f>"Sap30bp"</f>
        <v>Sap30bp</v>
      </c>
      <c r="I570" t="str">
        <f>"SAP30 binding protein"</f>
        <v>SAP30 binding protein</v>
      </c>
      <c r="J570" t="str">
        <f>"protein coding gene"</f>
        <v>protein coding gene</v>
      </c>
    </row>
    <row r="571" spans="1:10">
      <c r="A571">
        <v>10502780</v>
      </c>
      <c r="B571">
        <v>1.9602071774867</v>
      </c>
      <c r="C571">
        <v>0.14979085152114099</v>
      </c>
      <c r="E571" t="str">
        <f>"10502780"</f>
        <v>10502780</v>
      </c>
      <c r="F571" t="str">
        <f>"Affy 1.0 ST"</f>
        <v>Affy 1.0 ST</v>
      </c>
      <c r="G571" t="str">
        <f>"MGI:2139714"</f>
        <v>MGI:2139714</v>
      </c>
      <c r="H571" t="str">
        <f>"Lphn2"</f>
        <v>Lphn2</v>
      </c>
      <c r="I571" t="str">
        <f>"latrophilin 2"</f>
        <v>latrophilin 2</v>
      </c>
      <c r="J571" t="str">
        <f>"protein coding gene"</f>
        <v>protein coding gene</v>
      </c>
    </row>
    <row r="572" spans="1:10">
      <c r="A572">
        <v>10403258</v>
      </c>
      <c r="B572">
        <v>1.95694719150253</v>
      </c>
      <c r="C572">
        <v>0.58486102134950901</v>
      </c>
      <c r="E572" t="str">
        <f>"10403258"</f>
        <v>10403258</v>
      </c>
      <c r="F572" t="str">
        <f>"Affy 1.0 ST"</f>
        <v>Affy 1.0 ST</v>
      </c>
      <c r="G572" t="str">
        <f>"MGI:99845"</f>
        <v>MGI:99845</v>
      </c>
      <c r="H572" t="str">
        <f>"Gdi2"</f>
        <v>Gdi2</v>
      </c>
      <c r="I572" t="str">
        <f>"guanosine diphosphate (GDP) dissociation inhibitor 2"</f>
        <v>guanosine diphosphate (GDP) dissociation inhibitor 2</v>
      </c>
      <c r="J572" t="str">
        <f>"protein coding gene"</f>
        <v>protein coding gene</v>
      </c>
    </row>
    <row r="573" spans="1:10">
      <c r="A573">
        <v>10338402</v>
      </c>
      <c r="B573">
        <v>1.95621288935793</v>
      </c>
      <c r="C573">
        <v>0.43473902843376599</v>
      </c>
      <c r="E573" t="str">
        <f>"10338402"</f>
        <v>10338402</v>
      </c>
      <c r="F573" t="str">
        <f>""</f>
        <v/>
      </c>
      <c r="G573" t="str">
        <f>"No associated gene"</f>
        <v>No associated gene</v>
      </c>
    </row>
    <row r="574" spans="1:10">
      <c r="A574">
        <v>10359339</v>
      </c>
      <c r="B574">
        <v>1.9548644467704199</v>
      </c>
      <c r="C574">
        <v>7.6859602023789997E-2</v>
      </c>
      <c r="E574" t="str">
        <f>"10359339"</f>
        <v>10359339</v>
      </c>
      <c r="F574" t="str">
        <f t="shared" ref="F574:F581" si="35">"Affy 1.0 ST"</f>
        <v>Affy 1.0 ST</v>
      </c>
      <c r="G574" t="str">
        <f>"MGI:1352507"</f>
        <v>MGI:1352507</v>
      </c>
      <c r="H574" t="str">
        <f>"Rabgap1l"</f>
        <v>Rabgap1l</v>
      </c>
      <c r="I574" t="str">
        <f>"RAB GTPase activating protein 1-like"</f>
        <v>RAB GTPase activating protein 1-like</v>
      </c>
      <c r="J574" t="str">
        <f>"protein coding gene"</f>
        <v>protein coding gene</v>
      </c>
    </row>
    <row r="575" spans="1:10">
      <c r="A575">
        <v>10453062</v>
      </c>
      <c r="B575">
        <v>1.9541071150693901</v>
      </c>
      <c r="C575">
        <v>0.24547413871490101</v>
      </c>
      <c r="E575" t="str">
        <f>"10453062"</f>
        <v>10453062</v>
      </c>
      <c r="F575" t="str">
        <f t="shared" si="35"/>
        <v>Affy 1.0 ST</v>
      </c>
      <c r="G575" t="str">
        <f>"MGI:1929492"</f>
        <v>MGI:1929492</v>
      </c>
      <c r="H575" t="str">
        <f>"Atl2"</f>
        <v>Atl2</v>
      </c>
      <c r="I575" t="str">
        <f>"atlastin GTPase 2"</f>
        <v>atlastin GTPase 2</v>
      </c>
      <c r="J575" t="str">
        <f>"protein coding gene"</f>
        <v>protein coding gene</v>
      </c>
    </row>
    <row r="576" spans="1:10">
      <c r="A576">
        <v>10495685</v>
      </c>
      <c r="B576">
        <v>1.95388714144951</v>
      </c>
      <c r="C576">
        <v>0.15798282503011801</v>
      </c>
      <c r="E576" t="str">
        <f>"10495685"</f>
        <v>10495685</v>
      </c>
      <c r="F576" t="str">
        <f t="shared" si="35"/>
        <v>Affy 1.0 ST</v>
      </c>
      <c r="G576" t="str">
        <f>"MGI:2443818"</f>
        <v>MGI:2443818</v>
      </c>
      <c r="H576" t="str">
        <f>"Arhgap29"</f>
        <v>Arhgap29</v>
      </c>
      <c r="I576" t="str">
        <f>"Rho GTPase activating protein 29"</f>
        <v>Rho GTPase activating protein 29</v>
      </c>
      <c r="J576" t="str">
        <f>"protein coding gene"</f>
        <v>protein coding gene</v>
      </c>
    </row>
    <row r="577" spans="1:10">
      <c r="A577">
        <v>10502776</v>
      </c>
      <c r="B577">
        <v>1.9479947289847099</v>
      </c>
      <c r="C577">
        <v>0.28759303569764999</v>
      </c>
      <c r="E577" t="str">
        <f>"10502776"</f>
        <v>10502776</v>
      </c>
      <c r="F577" t="str">
        <f t="shared" si="35"/>
        <v>Affy 1.0 ST</v>
      </c>
      <c r="G577" t="str">
        <f>"MGI:2139714"</f>
        <v>MGI:2139714</v>
      </c>
      <c r="H577" t="str">
        <f>"Lphn2"</f>
        <v>Lphn2</v>
      </c>
      <c r="I577" t="str">
        <f>"latrophilin 2"</f>
        <v>latrophilin 2</v>
      </c>
      <c r="J577" t="str">
        <f>"protein coding gene"</f>
        <v>protein coding gene</v>
      </c>
    </row>
    <row r="578" spans="1:10">
      <c r="A578">
        <v>10514713</v>
      </c>
      <c r="B578">
        <v>1.9471313839598701</v>
      </c>
      <c r="C578">
        <v>0.16475113925517201</v>
      </c>
      <c r="E578" t="str">
        <f>"10514713"</f>
        <v>10514713</v>
      </c>
      <c r="F578" t="str">
        <f t="shared" si="35"/>
        <v>Affy 1.0 ST</v>
      </c>
      <c r="G578" t="str">
        <f>"MGI:2385328"</f>
        <v>MGI:2385328</v>
      </c>
      <c r="H578" t="str">
        <f>"Wdr78"</f>
        <v>Wdr78</v>
      </c>
      <c r="I578" t="str">
        <f>"WD repeat domain 78"</f>
        <v>WD repeat domain 78</v>
      </c>
      <c r="J578" t="str">
        <f>"protein coding gene"</f>
        <v>protein coding gene</v>
      </c>
    </row>
    <row r="579" spans="1:10">
      <c r="A579">
        <v>10597714</v>
      </c>
      <c r="B579">
        <v>1.94635801367534</v>
      </c>
      <c r="C579">
        <v>0.248375565881823</v>
      </c>
      <c r="E579" t="str">
        <f>"10597714"</f>
        <v>10597714</v>
      </c>
      <c r="F579" t="str">
        <f t="shared" si="35"/>
        <v>Affy 1.0 ST</v>
      </c>
      <c r="G579" t="str">
        <f>"MGI:1345149"</f>
        <v>MGI:1345149</v>
      </c>
      <c r="H579" t="str">
        <f>"Scn11a"</f>
        <v>Scn11a</v>
      </c>
      <c r="I579" t="s">
        <v>106</v>
      </c>
      <c r="J579" t="s">
        <v>50</v>
      </c>
    </row>
    <row r="580" spans="1:10">
      <c r="A580">
        <v>10370837</v>
      </c>
      <c r="B580">
        <v>1.9423356425767999</v>
      </c>
      <c r="C580">
        <v>0.75054764790226502</v>
      </c>
      <c r="E580" t="str">
        <f>"10370837"</f>
        <v>10370837</v>
      </c>
      <c r="F580" t="str">
        <f t="shared" si="35"/>
        <v>Affy 1.0 ST</v>
      </c>
      <c r="G580" t="str">
        <f>"MGI:98510"</f>
        <v>MGI:98510</v>
      </c>
      <c r="H580" t="str">
        <f>"Tcf3"</f>
        <v>Tcf3</v>
      </c>
      <c r="I580" t="str">
        <f>"transcription factor 3"</f>
        <v>transcription factor 3</v>
      </c>
      <c r="J580" t="str">
        <f>"protein coding gene"</f>
        <v>protein coding gene</v>
      </c>
    </row>
    <row r="581" spans="1:10">
      <c r="A581">
        <v>10408677</v>
      </c>
      <c r="B581">
        <v>1.9383779072312399</v>
      </c>
      <c r="C581">
        <v>0.393737347711546</v>
      </c>
      <c r="E581" t="str">
        <f>"10408677"</f>
        <v>10408677</v>
      </c>
      <c r="F581" t="str">
        <f t="shared" si="35"/>
        <v>Affy 1.0 ST</v>
      </c>
      <c r="G581" t="str">
        <f>"MGI:2683538"</f>
        <v>MGI:2683538</v>
      </c>
      <c r="H581" t="str">
        <f>"Lyrm4"</f>
        <v>Lyrm4</v>
      </c>
      <c r="I581" t="str">
        <f>"LYR motif containing 4"</f>
        <v>LYR motif containing 4</v>
      </c>
      <c r="J581" t="str">
        <f>"protein coding gene"</f>
        <v>protein coding gene</v>
      </c>
    </row>
    <row r="582" spans="1:10">
      <c r="A582">
        <v>10340420</v>
      </c>
      <c r="B582">
        <v>1.9278364087116999</v>
      </c>
      <c r="C582">
        <v>0.267649784940584</v>
      </c>
      <c r="E582" t="str">
        <f>"10340420"</f>
        <v>10340420</v>
      </c>
      <c r="F582" t="str">
        <f>""</f>
        <v/>
      </c>
      <c r="G582" t="str">
        <f>"No associated gene"</f>
        <v>No associated gene</v>
      </c>
    </row>
    <row r="583" spans="1:10">
      <c r="A583">
        <v>10434281</v>
      </c>
      <c r="B583">
        <v>1.92617859340221</v>
      </c>
      <c r="C583">
        <v>0.16529457724819599</v>
      </c>
      <c r="E583" t="str">
        <f>"10434281"</f>
        <v>10434281</v>
      </c>
      <c r="F583" t="str">
        <f>"Affy 1.0 ST"</f>
        <v>Affy 1.0 ST</v>
      </c>
      <c r="G583" t="str">
        <f>"MGI:3641695"</f>
        <v>MGI:3641695</v>
      </c>
      <c r="H583" t="str">
        <f>"Gm10088"</f>
        <v>Gm10088</v>
      </c>
      <c r="I583" t="str">
        <f>"predicted gene 10088"</f>
        <v>predicted gene 10088</v>
      </c>
      <c r="J583" t="str">
        <f>"protein coding gene"</f>
        <v>protein coding gene</v>
      </c>
    </row>
    <row r="584" spans="1:10">
      <c r="A584">
        <v>10567743</v>
      </c>
      <c r="B584">
        <v>1.9241236417672001</v>
      </c>
      <c r="C584">
        <v>0.26060821801232498</v>
      </c>
      <c r="E584" t="str">
        <f>"10567743"</f>
        <v>10567743</v>
      </c>
      <c r="F584" t="str">
        <f>"Affy 1.0 ST"</f>
        <v>Affy 1.0 ST</v>
      </c>
      <c r="G584" t="str">
        <f>"MGI:1914961"</f>
        <v>MGI:1914961</v>
      </c>
      <c r="H584" t="str">
        <f>"Nsmce1"</f>
        <v>Nsmce1</v>
      </c>
      <c r="I584" t="str">
        <f>"non-SMC element 1 homolog (S. cerevisiae)"</f>
        <v>non-SMC element 1 homolog (S. cerevisiae)</v>
      </c>
      <c r="J584" t="str">
        <f>"protein coding gene"</f>
        <v>protein coding gene</v>
      </c>
    </row>
    <row r="585" spans="1:10">
      <c r="A585">
        <v>10411690</v>
      </c>
      <c r="B585">
        <v>1.9186083737711599</v>
      </c>
      <c r="C585">
        <v>0.132644129003891</v>
      </c>
      <c r="E585" t="str">
        <f>"10411690"</f>
        <v>10411690</v>
      </c>
      <c r="F585" t="str">
        <f>"Affy 1.0 ST"</f>
        <v>Affy 1.0 ST</v>
      </c>
      <c r="G585" t="str">
        <f>"MGI:1333807"</f>
        <v>MGI:1333807</v>
      </c>
      <c r="H585" t="str">
        <f>"Rad17"</f>
        <v>Rad17</v>
      </c>
      <c r="I585" t="str">
        <f>"RAD17 homolog (S. pombe)"</f>
        <v>RAD17 homolog (S. pombe)</v>
      </c>
      <c r="J585" t="str">
        <f>"protein coding gene"</f>
        <v>protein coding gene</v>
      </c>
    </row>
    <row r="586" spans="1:10">
      <c r="A586">
        <v>10382565</v>
      </c>
      <c r="B586">
        <v>1.9157679438430499</v>
      </c>
      <c r="C586">
        <v>0.33397028065508799</v>
      </c>
      <c r="E586" t="str">
        <f>"10382565"</f>
        <v>10382565</v>
      </c>
      <c r="F586" t="str">
        <f>"Affy 1.0 ST"</f>
        <v>Affy 1.0 ST</v>
      </c>
      <c r="G586" t="str">
        <f>"MGI:1354367"</f>
        <v>MGI:1354367</v>
      </c>
      <c r="H586" t="str">
        <f>"Mrps7"</f>
        <v>Mrps7</v>
      </c>
      <c r="I586" t="str">
        <f>"mitchondrial ribosomal protein S7"</f>
        <v>mitchondrial ribosomal protein S7</v>
      </c>
      <c r="J586" t="str">
        <f>"protein coding gene"</f>
        <v>protein coding gene</v>
      </c>
    </row>
    <row r="587" spans="1:10">
      <c r="A587">
        <v>10338514</v>
      </c>
      <c r="B587">
        <v>1.9157666586214801</v>
      </c>
      <c r="C587">
        <v>0.34973934581670202</v>
      </c>
      <c r="E587" t="str">
        <f>"10338514"</f>
        <v>10338514</v>
      </c>
      <c r="F587" t="str">
        <f>""</f>
        <v/>
      </c>
      <c r="G587" t="str">
        <f>"No associated gene"</f>
        <v>No associated gene</v>
      </c>
    </row>
    <row r="588" spans="1:10">
      <c r="A588">
        <v>10359190</v>
      </c>
      <c r="B588">
        <v>1.9132904040558401</v>
      </c>
      <c r="C588">
        <v>0.155196408941387</v>
      </c>
      <c r="E588" t="str">
        <f>"10359190"</f>
        <v>10359190</v>
      </c>
      <c r="F588" t="str">
        <f t="shared" ref="F588:F604" si="36">"Affy 1.0 ST"</f>
        <v>Affy 1.0 ST</v>
      </c>
      <c r="G588" t="str">
        <f>"MGI:2443990"</f>
        <v>MGI:2443990</v>
      </c>
      <c r="H588" t="str">
        <f>"Fam20b"</f>
        <v>Fam20b</v>
      </c>
      <c r="I588" t="s">
        <v>107</v>
      </c>
      <c r="J588" t="s">
        <v>50</v>
      </c>
    </row>
    <row r="589" spans="1:10">
      <c r="A589">
        <v>10486112</v>
      </c>
      <c r="B589">
        <v>1.9131710620612501</v>
      </c>
      <c r="C589">
        <v>0.34976272003567299</v>
      </c>
      <c r="E589" t="str">
        <f>"10486112"</f>
        <v>10486112</v>
      </c>
      <c r="F589" t="str">
        <f t="shared" si="36"/>
        <v>Affy 1.0 ST</v>
      </c>
      <c r="G589" t="str">
        <f>"MGI:2176433"</f>
        <v>MGI:2176433</v>
      </c>
      <c r="H589" t="str">
        <f>"Bmf"</f>
        <v>Bmf</v>
      </c>
      <c r="I589" t="str">
        <f>"BCL2 modifying factor"</f>
        <v>BCL2 modifying factor</v>
      </c>
      <c r="J589" t="str">
        <f t="shared" ref="J589:J594" si="37">"protein coding gene"</f>
        <v>protein coding gene</v>
      </c>
    </row>
    <row r="590" spans="1:10">
      <c r="A590">
        <v>10395394</v>
      </c>
      <c r="B590">
        <v>1.9131321281604099</v>
      </c>
      <c r="C590">
        <v>0.23049085246126</v>
      </c>
      <c r="E590" t="str">
        <f>"10395394"</f>
        <v>10395394</v>
      </c>
      <c r="F590" t="str">
        <f t="shared" si="36"/>
        <v>Affy 1.0 ST</v>
      </c>
      <c r="G590" t="str">
        <f>"MGI:1923097"</f>
        <v>MGI:1923097</v>
      </c>
      <c r="H590" t="str">
        <f>"Ispd"</f>
        <v>Ispd</v>
      </c>
      <c r="I590" t="str">
        <f>"isoprenoid synthase domain containing"</f>
        <v>isoprenoid synthase domain containing</v>
      </c>
      <c r="J590" t="str">
        <f t="shared" si="37"/>
        <v>protein coding gene</v>
      </c>
    </row>
    <row r="591" spans="1:10">
      <c r="A591">
        <v>10411287</v>
      </c>
      <c r="B591">
        <v>1.9125147506704701</v>
      </c>
      <c r="C591">
        <v>0.28363046318928198</v>
      </c>
      <c r="E591" t="str">
        <f>"10411287"</f>
        <v>10411287</v>
      </c>
      <c r="F591" t="str">
        <f t="shared" si="36"/>
        <v>Affy 1.0 ST</v>
      </c>
      <c r="G591" t="str">
        <f>"MGI:1915312"</f>
        <v>MGI:1915312</v>
      </c>
      <c r="H591" t="str">
        <f>"Btf3l4"</f>
        <v>Btf3l4</v>
      </c>
      <c r="I591" t="str">
        <f>"basic transcription factor 3-like 4"</f>
        <v>basic transcription factor 3-like 4</v>
      </c>
      <c r="J591" t="str">
        <f t="shared" si="37"/>
        <v>protein coding gene</v>
      </c>
    </row>
    <row r="592" spans="1:10">
      <c r="A592">
        <v>10565250</v>
      </c>
      <c r="B592">
        <v>1.9039573503149201</v>
      </c>
      <c r="C592">
        <v>0.20972405482811901</v>
      </c>
      <c r="E592" t="str">
        <f>"10565250"</f>
        <v>10565250</v>
      </c>
      <c r="F592" t="str">
        <f t="shared" si="36"/>
        <v>Affy 1.0 ST</v>
      </c>
      <c r="G592" t="str">
        <f>"MGI:1891420"</f>
        <v>MGI:1891420</v>
      </c>
      <c r="H592" t="str">
        <f>"Mesdc1"</f>
        <v>Mesdc1</v>
      </c>
      <c r="I592" t="str">
        <f>"mesoderm development candidate 1"</f>
        <v>mesoderm development candidate 1</v>
      </c>
      <c r="J592" t="str">
        <f t="shared" si="37"/>
        <v>protein coding gene</v>
      </c>
    </row>
    <row r="593" spans="1:10">
      <c r="A593">
        <v>10463164</v>
      </c>
      <c r="B593">
        <v>1.9037848801056501</v>
      </c>
      <c r="C593">
        <v>0.28992475149142199</v>
      </c>
      <c r="E593" t="str">
        <f>"10463164"</f>
        <v>10463164</v>
      </c>
      <c r="F593" t="str">
        <f t="shared" si="36"/>
        <v>Affy 1.0 ST</v>
      </c>
      <c r="G593" t="str">
        <f>"MGI:109450"</f>
        <v>MGI:109450</v>
      </c>
      <c r="H593" t="str">
        <f>"Frat1"</f>
        <v>Frat1</v>
      </c>
      <c r="I593" t="str">
        <f>"frequently rearranged in advanced T-cell lymphomas"</f>
        <v>frequently rearranged in advanced T-cell lymphomas</v>
      </c>
      <c r="J593" t="str">
        <f t="shared" si="37"/>
        <v>protein coding gene</v>
      </c>
    </row>
    <row r="594" spans="1:10">
      <c r="A594">
        <v>10515051</v>
      </c>
      <c r="B594">
        <v>1.9037295994025101</v>
      </c>
      <c r="C594">
        <v>0.39009019068234002</v>
      </c>
      <c r="E594" t="str">
        <f>"10515051"</f>
        <v>10515051</v>
      </c>
      <c r="F594" t="str">
        <f t="shared" si="36"/>
        <v>Affy 1.0 ST</v>
      </c>
      <c r="G594" t="str">
        <f>"MGI:1923784"</f>
        <v>MGI:1923784</v>
      </c>
      <c r="H594" t="str">
        <f>"Osbpl9"</f>
        <v>Osbpl9</v>
      </c>
      <c r="I594" t="str">
        <f>"oxysterol binding protein-like 9"</f>
        <v>oxysterol binding protein-like 9</v>
      </c>
      <c r="J594" t="str">
        <f t="shared" si="37"/>
        <v>protein coding gene</v>
      </c>
    </row>
    <row r="595" spans="1:10">
      <c r="A595">
        <v>10406898</v>
      </c>
      <c r="B595">
        <v>1.89892181195305</v>
      </c>
      <c r="C595">
        <v>0.28774629240629401</v>
      </c>
      <c r="E595" t="str">
        <f>"10406898"</f>
        <v>10406898</v>
      </c>
      <c r="F595" t="str">
        <f t="shared" si="36"/>
        <v>Affy 1.0 ST</v>
      </c>
      <c r="G595" t="str">
        <f>"MGI:1888697"</f>
        <v>MGI:1888697</v>
      </c>
      <c r="H595" t="str">
        <f>"Taf9"</f>
        <v>Taf9</v>
      </c>
      <c r="I595" t="s">
        <v>108</v>
      </c>
      <c r="J595" t="s">
        <v>50</v>
      </c>
    </row>
    <row r="596" spans="1:10">
      <c r="A596">
        <v>10457250</v>
      </c>
      <c r="B596">
        <v>1.89828599810136</v>
      </c>
      <c r="C596">
        <v>0.117984572372522</v>
      </c>
      <c r="E596" t="str">
        <f>"10457250"</f>
        <v>10457250</v>
      </c>
      <c r="F596" t="str">
        <f t="shared" si="36"/>
        <v>Affy 1.0 ST</v>
      </c>
      <c r="G596" t="str">
        <f>"MGI:1922665"</f>
        <v>MGI:1922665</v>
      </c>
      <c r="H596" t="str">
        <f>"Arhgap12"</f>
        <v>Arhgap12</v>
      </c>
      <c r="I596" t="str">
        <f>"Rho GTPase activating protein 12"</f>
        <v>Rho GTPase activating protein 12</v>
      </c>
      <c r="J596" t="str">
        <f t="shared" ref="J596:J604" si="38">"protein coding gene"</f>
        <v>protein coding gene</v>
      </c>
    </row>
    <row r="597" spans="1:10">
      <c r="A597">
        <v>10493670</v>
      </c>
      <c r="B597">
        <v>1.8978466777421901</v>
      </c>
      <c r="C597">
        <v>0.18479655043681101</v>
      </c>
      <c r="E597" t="str">
        <f>"10493670"</f>
        <v>10493670</v>
      </c>
      <c r="F597" t="str">
        <f t="shared" si="36"/>
        <v>Affy 1.0 ST</v>
      </c>
      <c r="G597" t="str">
        <f>"MGI:1924845"</f>
        <v>MGI:1924845</v>
      </c>
      <c r="H597" t="str">
        <f>"Nup210l"</f>
        <v>Nup210l</v>
      </c>
      <c r="I597" t="str">
        <f>"nucleoporin 210-like"</f>
        <v>nucleoporin 210-like</v>
      </c>
      <c r="J597" t="str">
        <f t="shared" si="38"/>
        <v>protein coding gene</v>
      </c>
    </row>
    <row r="598" spans="1:10">
      <c r="A598">
        <v>10466000</v>
      </c>
      <c r="B598">
        <v>1.89626823126739</v>
      </c>
      <c r="C598">
        <v>0.55336222801848001</v>
      </c>
      <c r="E598" t="str">
        <f>"10466000"</f>
        <v>10466000</v>
      </c>
      <c r="F598" t="str">
        <f t="shared" si="36"/>
        <v>Affy 1.0 ST</v>
      </c>
      <c r="G598" t="str">
        <f>"MGI:1920232"</f>
        <v>MGI:1920232</v>
      </c>
      <c r="H598" t="str">
        <f>"Tmem138"</f>
        <v>Tmem138</v>
      </c>
      <c r="I598" t="str">
        <f>"transmembrane protein 138"</f>
        <v>transmembrane protein 138</v>
      </c>
      <c r="J598" t="str">
        <f t="shared" si="38"/>
        <v>protein coding gene</v>
      </c>
    </row>
    <row r="599" spans="1:10">
      <c r="A599">
        <v>10458757</v>
      </c>
      <c r="B599">
        <v>1.88641098064635</v>
      </c>
      <c r="C599">
        <v>0.25091574098344599</v>
      </c>
      <c r="E599" t="str">
        <f>"10458757"</f>
        <v>10458757</v>
      </c>
      <c r="F599" t="str">
        <f t="shared" si="36"/>
        <v>Affy 1.0 ST</v>
      </c>
      <c r="G599" t="str">
        <f>"MGI:1096551"</f>
        <v>MGI:1096551</v>
      </c>
      <c r="H599" t="str">
        <f>"Morf4l1"</f>
        <v>Morf4l1</v>
      </c>
      <c r="I599" t="str">
        <f>"mortality factor 4 like 1"</f>
        <v>mortality factor 4 like 1</v>
      </c>
      <c r="J599" t="str">
        <f t="shared" si="38"/>
        <v>protein coding gene</v>
      </c>
    </row>
    <row r="600" spans="1:10">
      <c r="A600">
        <v>10516551</v>
      </c>
      <c r="B600">
        <v>1.8856094567834101</v>
      </c>
      <c r="C600">
        <v>0.31509382626068899</v>
      </c>
      <c r="E600" t="str">
        <f>"10516551"</f>
        <v>10516551</v>
      </c>
      <c r="F600" t="str">
        <f t="shared" si="36"/>
        <v>Affy 1.0 ST</v>
      </c>
      <c r="G600" t="str">
        <f>"MGI:1921898"</f>
        <v>MGI:1921898</v>
      </c>
      <c r="H600" t="str">
        <f>"S100pbp"</f>
        <v>S100pbp</v>
      </c>
      <c r="I600" t="str">
        <f>"S100P binding protein"</f>
        <v>S100P binding protein</v>
      </c>
      <c r="J600" t="str">
        <f t="shared" si="38"/>
        <v>protein coding gene</v>
      </c>
    </row>
    <row r="601" spans="1:10">
      <c r="A601">
        <v>10384782</v>
      </c>
      <c r="B601">
        <v>1.8855185506549099</v>
      </c>
      <c r="C601">
        <v>0.123499929073988</v>
      </c>
      <c r="E601" t="str">
        <f>"10384782"</f>
        <v>10384782</v>
      </c>
      <c r="F601" t="str">
        <f t="shared" si="36"/>
        <v>Affy 1.0 ST</v>
      </c>
      <c r="G601" t="str">
        <f>"MGI:1917172"</f>
        <v>MGI:1917172</v>
      </c>
      <c r="H601" t="str">
        <f>"Vrk2"</f>
        <v>Vrk2</v>
      </c>
      <c r="I601" t="str">
        <f>"vaccinia related kinase 2"</f>
        <v>vaccinia related kinase 2</v>
      </c>
      <c r="J601" t="str">
        <f t="shared" si="38"/>
        <v>protein coding gene</v>
      </c>
    </row>
    <row r="602" spans="1:10">
      <c r="A602">
        <v>10406865</v>
      </c>
      <c r="B602">
        <v>1.88511044544421</v>
      </c>
      <c r="C602">
        <v>0.15115496895123301</v>
      </c>
      <c r="E602" t="str">
        <f>"10406865"</f>
        <v>10406865</v>
      </c>
      <c r="F602" t="str">
        <f t="shared" si="36"/>
        <v>Affy 1.0 ST</v>
      </c>
      <c r="G602" t="str">
        <f>"MGI:1919064"</f>
        <v>MGI:1919064</v>
      </c>
      <c r="H602" t="str">
        <f>"Mrps27"</f>
        <v>Mrps27</v>
      </c>
      <c r="I602" t="str">
        <f>"mitochondrial ribosomal protein S27"</f>
        <v>mitochondrial ribosomal protein S27</v>
      </c>
      <c r="J602" t="str">
        <f t="shared" si="38"/>
        <v>protein coding gene</v>
      </c>
    </row>
    <row r="603" spans="1:10">
      <c r="A603">
        <v>10539882</v>
      </c>
      <c r="B603">
        <v>1.8811319561656299</v>
      </c>
      <c r="C603">
        <v>0.226740547742322</v>
      </c>
      <c r="E603" t="str">
        <f>"10539882"</f>
        <v>10539882</v>
      </c>
      <c r="F603" t="str">
        <f t="shared" si="36"/>
        <v>Affy 1.0 ST</v>
      </c>
      <c r="G603" t="str">
        <f>"MGI:1928760"</f>
        <v>MGI:1928760</v>
      </c>
      <c r="H603" t="str">
        <f>"Ruvbl1"</f>
        <v>Ruvbl1</v>
      </c>
      <c r="I603" t="str">
        <f>"RuvB-like protein 1"</f>
        <v>RuvB-like protein 1</v>
      </c>
      <c r="J603" t="str">
        <f t="shared" si="38"/>
        <v>protein coding gene</v>
      </c>
    </row>
    <row r="604" spans="1:10">
      <c r="A604">
        <v>10392990</v>
      </c>
      <c r="B604">
        <v>1.8777570625973801</v>
      </c>
      <c r="C604">
        <v>0.39855475940437801</v>
      </c>
      <c r="E604" t="str">
        <f>"10392990"</f>
        <v>10392990</v>
      </c>
      <c r="F604" t="str">
        <f t="shared" si="36"/>
        <v>Affy 1.0 ST</v>
      </c>
      <c r="G604" t="str">
        <f>"MGI:95805"</f>
        <v>MGI:95805</v>
      </c>
      <c r="H604" t="str">
        <f>"Grb2"</f>
        <v>Grb2</v>
      </c>
      <c r="I604" t="str">
        <f>"growth factor receptor bound protein 2"</f>
        <v>growth factor receptor bound protein 2</v>
      </c>
      <c r="J604" t="str">
        <f t="shared" si="38"/>
        <v>protein coding gene</v>
      </c>
    </row>
    <row r="605" spans="1:10">
      <c r="A605">
        <v>10409992</v>
      </c>
      <c r="B605">
        <v>1.8762348114733201</v>
      </c>
      <c r="C605">
        <v>0.22480502459042301</v>
      </c>
      <c r="E605" t="str">
        <f>"10409992"</f>
        <v>10409992</v>
      </c>
      <c r="F605" t="str">
        <f>""</f>
        <v/>
      </c>
      <c r="G605" t="str">
        <f>"No associated gene"</f>
        <v>No associated gene</v>
      </c>
    </row>
    <row r="606" spans="1:10">
      <c r="A606">
        <v>10489463</v>
      </c>
      <c r="B606">
        <v>1.87449889763063</v>
      </c>
      <c r="C606">
        <v>8.9697235829983804E-2</v>
      </c>
      <c r="E606" t="str">
        <f>"10489463"</f>
        <v>10489463</v>
      </c>
      <c r="F606" t="str">
        <f t="shared" ref="F606:F613" si="39">"Affy 1.0 ST"</f>
        <v>Affy 1.0 ST</v>
      </c>
      <c r="G606" t="str">
        <f>"MGI:109297"</f>
        <v>MGI:109297</v>
      </c>
      <c r="H606" t="str">
        <f>"Slpi"</f>
        <v>Slpi</v>
      </c>
      <c r="I606" t="str">
        <f>"secretory leukocyte peptidase inhibitor"</f>
        <v>secretory leukocyte peptidase inhibitor</v>
      </c>
      <c r="J606" t="str">
        <f>"protein coding gene"</f>
        <v>protein coding gene</v>
      </c>
    </row>
    <row r="607" spans="1:10">
      <c r="A607">
        <v>10564736</v>
      </c>
      <c r="B607">
        <v>1.8723974182755301</v>
      </c>
      <c r="C607">
        <v>0.38914372523077001</v>
      </c>
      <c r="E607" t="str">
        <f>"10564736"</f>
        <v>10564736</v>
      </c>
      <c r="F607" t="str">
        <f t="shared" si="39"/>
        <v>Affy 1.0 ST</v>
      </c>
      <c r="G607" t="str">
        <f>"MGI:1196389"</f>
        <v>MGI:1196389</v>
      </c>
      <c r="H607" t="str">
        <f>"Polg"</f>
        <v>Polg</v>
      </c>
      <c r="I607" t="s">
        <v>109</v>
      </c>
      <c r="J607" t="s">
        <v>50</v>
      </c>
    </row>
    <row r="608" spans="1:10">
      <c r="A608">
        <v>10494924</v>
      </c>
      <c r="B608">
        <v>1.8701502471011699</v>
      </c>
      <c r="C608">
        <v>0.266130876025854</v>
      </c>
      <c r="E608" t="str">
        <f>"10494924"</f>
        <v>10494924</v>
      </c>
      <c r="F608" t="str">
        <f t="shared" si="39"/>
        <v>Affy 1.0 ST</v>
      </c>
      <c r="G608" t="str">
        <f>"MGI:2137357"</f>
        <v>MGI:2137357</v>
      </c>
      <c r="H608" t="str">
        <f>"Trim33"</f>
        <v>Trim33</v>
      </c>
      <c r="I608" t="str">
        <f>"tripartite motif-containing 33"</f>
        <v>tripartite motif-containing 33</v>
      </c>
      <c r="J608" t="str">
        <f t="shared" ref="J608:J613" si="40">"protein coding gene"</f>
        <v>protein coding gene</v>
      </c>
    </row>
    <row r="609" spans="1:10">
      <c r="A609">
        <v>10493640</v>
      </c>
      <c r="B609">
        <v>1.86621536325808</v>
      </c>
      <c r="C609">
        <v>0.33228281636763501</v>
      </c>
      <c r="E609" t="str">
        <f>"10493640"</f>
        <v>10493640</v>
      </c>
      <c r="F609" t="str">
        <f t="shared" si="39"/>
        <v>Affy 1.0 ST</v>
      </c>
      <c r="G609" t="str">
        <f>"MGI:1924845"</f>
        <v>MGI:1924845</v>
      </c>
      <c r="H609" t="str">
        <f>"Nup210l"</f>
        <v>Nup210l</v>
      </c>
      <c r="I609" t="str">
        <f>"nucleoporin 210-like"</f>
        <v>nucleoporin 210-like</v>
      </c>
      <c r="J609" t="str">
        <f t="shared" si="40"/>
        <v>protein coding gene</v>
      </c>
    </row>
    <row r="610" spans="1:10">
      <c r="A610">
        <v>10539894</v>
      </c>
      <c r="B610">
        <v>1.8638286511781399</v>
      </c>
      <c r="C610">
        <v>0.15604011223962599</v>
      </c>
      <c r="E610" t="str">
        <f>"10539894"</f>
        <v>10539894</v>
      </c>
      <c r="F610" t="str">
        <f t="shared" si="39"/>
        <v>Affy 1.0 ST</v>
      </c>
      <c r="G610" t="str">
        <f>"MGI:1346042"</f>
        <v>MGI:1346042</v>
      </c>
      <c r="H610" t="str">
        <f>"Mgll"</f>
        <v>Mgll</v>
      </c>
      <c r="I610" t="str">
        <f>"monoglyceride lipase"</f>
        <v>monoglyceride lipase</v>
      </c>
      <c r="J610" t="str">
        <f t="shared" si="40"/>
        <v>protein coding gene</v>
      </c>
    </row>
    <row r="611" spans="1:10">
      <c r="A611">
        <v>10431410</v>
      </c>
      <c r="B611">
        <v>1.8627893026482201</v>
      </c>
      <c r="C611">
        <v>0.29509395264653399</v>
      </c>
      <c r="E611" t="str">
        <f>"10431410"</f>
        <v>10431410</v>
      </c>
      <c r="F611" t="str">
        <f t="shared" si="39"/>
        <v>Affy 1.0 ST</v>
      </c>
      <c r="G611" t="str">
        <f>"MGI:1338024"</f>
        <v>MGI:1338024</v>
      </c>
      <c r="H611" t="str">
        <f>"Mapk11"</f>
        <v>Mapk11</v>
      </c>
      <c r="I611" t="str">
        <f>"mitogen-activated protein kinase 11"</f>
        <v>mitogen-activated protein kinase 11</v>
      </c>
      <c r="J611" t="str">
        <f t="shared" si="40"/>
        <v>protein coding gene</v>
      </c>
    </row>
    <row r="612" spans="1:10">
      <c r="A612">
        <v>10468231</v>
      </c>
      <c r="B612">
        <v>1.8622752656083601</v>
      </c>
      <c r="C612">
        <v>0.33259898514556802</v>
      </c>
      <c r="E612" t="str">
        <f>"10468231"</f>
        <v>10468231</v>
      </c>
      <c r="F612" t="str">
        <f t="shared" si="39"/>
        <v>Affy 1.0 ST</v>
      </c>
      <c r="G612" t="str">
        <f>"MGI:1929699"</f>
        <v>MGI:1929699</v>
      </c>
      <c r="H612" t="str">
        <f>"Arl3"</f>
        <v>Arl3</v>
      </c>
      <c r="I612" t="str">
        <f>"ADP-ribosylation factor-like 3"</f>
        <v>ADP-ribosylation factor-like 3</v>
      </c>
      <c r="J612" t="str">
        <f t="shared" si="40"/>
        <v>protein coding gene</v>
      </c>
    </row>
    <row r="613" spans="1:10">
      <c r="A613">
        <v>10535247</v>
      </c>
      <c r="B613">
        <v>1.8615326066378901</v>
      </c>
      <c r="C613">
        <v>0.26743666409863598</v>
      </c>
      <c r="E613" t="str">
        <f>"10535247"</f>
        <v>10535247</v>
      </c>
      <c r="F613" t="str">
        <f t="shared" si="39"/>
        <v>Affy 1.0 ST</v>
      </c>
      <c r="G613" t="str">
        <f>"MGI:1921489"</f>
        <v>MGI:1921489</v>
      </c>
      <c r="H613" t="str">
        <f>"Iqce"</f>
        <v>Iqce</v>
      </c>
      <c r="I613" t="str">
        <f>"IQ motif containing E"</f>
        <v>IQ motif containing E</v>
      </c>
      <c r="J613" t="str">
        <f t="shared" si="40"/>
        <v>protein coding gene</v>
      </c>
    </row>
    <row r="614" spans="1:10">
      <c r="A614">
        <v>10408329</v>
      </c>
      <c r="B614">
        <v>1.8574032385875201</v>
      </c>
      <c r="C614">
        <v>0.32344912465780101</v>
      </c>
      <c r="E614" t="str">
        <f>"10408329"</f>
        <v>10408329</v>
      </c>
      <c r="F614" t="str">
        <f>""</f>
        <v/>
      </c>
      <c r="G614" t="str">
        <f>"No associated gene"</f>
        <v>No associated gene</v>
      </c>
    </row>
    <row r="615" spans="1:10">
      <c r="A615">
        <v>10600326</v>
      </c>
      <c r="B615">
        <v>1.8543682941123401</v>
      </c>
      <c r="C615">
        <v>4.7554318640027599E-2</v>
      </c>
      <c r="E615" t="str">
        <f>"10600326"</f>
        <v>10600326</v>
      </c>
      <c r="F615" t="str">
        <f>"Affy 1.0 ST"</f>
        <v>Affy 1.0 ST</v>
      </c>
      <c r="G615" t="str">
        <f>"MGI:1933244"</f>
        <v>MGI:1933244</v>
      </c>
      <c r="H615" t="str">
        <f>"Tktl1"</f>
        <v>Tktl1</v>
      </c>
      <c r="I615" t="str">
        <f>"transketolase-like 1"</f>
        <v>transketolase-like 1</v>
      </c>
      <c r="J615" t="str">
        <f>"protein coding gene"</f>
        <v>protein coding gene</v>
      </c>
    </row>
    <row r="616" spans="1:10">
      <c r="A616">
        <v>10601903</v>
      </c>
      <c r="B616">
        <v>1.8518414984009901</v>
      </c>
      <c r="C616">
        <v>0.14963673742099601</v>
      </c>
      <c r="E616" t="str">
        <f>"10601903"</f>
        <v>10601903</v>
      </c>
      <c r="F616" t="str">
        <f>"Affy 1.0 ST"</f>
        <v>Affy 1.0 ST</v>
      </c>
      <c r="G616" t="str">
        <f>"MGI:1914245"</f>
        <v>MGI:1914245</v>
      </c>
      <c r="H616" t="str">
        <f>"Zcchc18"</f>
        <v>Zcchc18</v>
      </c>
      <c r="I616" t="s">
        <v>110</v>
      </c>
      <c r="J616" t="s">
        <v>50</v>
      </c>
    </row>
    <row r="617" spans="1:10">
      <c r="A617">
        <v>10426439</v>
      </c>
      <c r="B617">
        <v>1.8513579902898101</v>
      </c>
      <c r="C617">
        <v>6.2456506703328703E-2</v>
      </c>
      <c r="E617" t="str">
        <f>"10426439"</f>
        <v>10426439</v>
      </c>
      <c r="F617" t="str">
        <f>"Affy 1.0 ST"</f>
        <v>Affy 1.0 ST</v>
      </c>
      <c r="G617" t="str">
        <f>"MGI:1917029"</f>
        <v>MGI:1917029</v>
      </c>
      <c r="H617" t="str">
        <f>"Pphln1"</f>
        <v>Pphln1</v>
      </c>
      <c r="I617" t="str">
        <f>"periphilin 1"</f>
        <v>periphilin 1</v>
      </c>
      <c r="J617" t="str">
        <f>"protein coding gene"</f>
        <v>protein coding gene</v>
      </c>
    </row>
    <row r="618" spans="1:10">
      <c r="A618">
        <v>10586920</v>
      </c>
      <c r="B618">
        <v>1.8466358537699801</v>
      </c>
      <c r="C618">
        <v>0.18682007786334801</v>
      </c>
      <c r="E618" t="str">
        <f>"10586920"</f>
        <v>10586920</v>
      </c>
      <c r="F618" t="str">
        <f>"Affy 1.0 ST"</f>
        <v>Affy 1.0 ST</v>
      </c>
      <c r="G618" t="str">
        <f>"MGI:2442675"</f>
        <v>MGI:2442675</v>
      </c>
      <c r="H618" t="str">
        <f>"Rfx7"</f>
        <v>Rfx7</v>
      </c>
      <c r="I618" t="s">
        <v>111</v>
      </c>
      <c r="J618" t="s">
        <v>50</v>
      </c>
    </row>
    <row r="619" spans="1:10">
      <c r="A619">
        <v>10549544</v>
      </c>
      <c r="B619">
        <v>1.8465498435260901</v>
      </c>
      <c r="C619">
        <v>0.40837682112812301</v>
      </c>
      <c r="E619" t="str">
        <f>"10549544"</f>
        <v>10549544</v>
      </c>
      <c r="F619" t="str">
        <f>"Affy 1.0 ST"</f>
        <v>Affy 1.0 ST</v>
      </c>
      <c r="G619" t="str">
        <f>"MGI:3641777"</f>
        <v>MGI:3641777</v>
      </c>
      <c r="H619" t="str">
        <f>"Gm10388"</f>
        <v>Gm10388</v>
      </c>
      <c r="I619" t="str">
        <f>"predicted gene 10388"</f>
        <v>predicted gene 10388</v>
      </c>
      <c r="J619" t="str">
        <f>"protein coding gene"</f>
        <v>protein coding gene</v>
      </c>
    </row>
    <row r="620" spans="1:10">
      <c r="A620">
        <v>10362630</v>
      </c>
      <c r="B620">
        <v>1.8455040340190401</v>
      </c>
      <c r="C620">
        <v>0.26065031929847898</v>
      </c>
      <c r="E620" t="str">
        <f>"10362630"</f>
        <v>10362630</v>
      </c>
      <c r="F620" t="str">
        <f>""</f>
        <v/>
      </c>
      <c r="G620" t="str">
        <f>"No associated gene"</f>
        <v>No associated gene</v>
      </c>
    </row>
    <row r="621" spans="1:10">
      <c r="A621">
        <v>10525877</v>
      </c>
      <c r="B621">
        <v>1.84274596470333</v>
      </c>
      <c r="C621">
        <v>8.1381383023529E-2</v>
      </c>
      <c r="E621" t="str">
        <f>"10525877"</f>
        <v>10525877</v>
      </c>
      <c r="F621" t="str">
        <f>"Affy 1.0 ST"</f>
        <v>Affy 1.0 ST</v>
      </c>
      <c r="G621" t="str">
        <f>"MGI:2442505"</f>
        <v>MGI:2442505</v>
      </c>
      <c r="H621" t="str">
        <f>"Zfp664"</f>
        <v>Zfp664</v>
      </c>
      <c r="I621" t="str">
        <f>"zinc finger protein 664"</f>
        <v>zinc finger protein 664</v>
      </c>
      <c r="J621" t="str">
        <f>"protein coding gene"</f>
        <v>protein coding gene</v>
      </c>
    </row>
    <row r="622" spans="1:10">
      <c r="A622">
        <v>10362633</v>
      </c>
      <c r="B622">
        <v>1.84026059730745</v>
      </c>
      <c r="C622">
        <v>0.19993775046823201</v>
      </c>
      <c r="E622" t="str">
        <f>"10362633"</f>
        <v>10362633</v>
      </c>
      <c r="F622" t="str">
        <f>"Affy 1.0 ST"</f>
        <v>Affy 1.0 ST</v>
      </c>
      <c r="G622" t="str">
        <f>"MGI:1337131"</f>
        <v>MGI:1337131</v>
      </c>
      <c r="H622" t="str">
        <f>"Rev3l"</f>
        <v>Rev3l</v>
      </c>
      <c r="I622" t="s">
        <v>112</v>
      </c>
      <c r="J622" t="s">
        <v>50</v>
      </c>
    </row>
    <row r="623" spans="1:10">
      <c r="A623">
        <v>10503281</v>
      </c>
      <c r="B623">
        <v>1.8337682870016501</v>
      </c>
      <c r="C623">
        <v>0.25380022195226298</v>
      </c>
      <c r="E623" t="str">
        <f>"10503281"</f>
        <v>10503281</v>
      </c>
      <c r="F623" t="str">
        <f>"Affy 1.0 ST"</f>
        <v>Affy 1.0 ST</v>
      </c>
      <c r="G623" t="str">
        <f>"MGI:3649777"</f>
        <v>MGI:3649777</v>
      </c>
      <c r="H623" t="str">
        <f>"Gm11821"</f>
        <v>Gm11821</v>
      </c>
      <c r="I623" t="str">
        <f>"predicted gene 11821"</f>
        <v>predicted gene 11821</v>
      </c>
      <c r="J623" t="str">
        <f>"pseudogene"</f>
        <v>pseudogene</v>
      </c>
    </row>
    <row r="624" spans="1:10">
      <c r="A624">
        <v>10344049</v>
      </c>
      <c r="B624">
        <v>1.8287438432596901</v>
      </c>
      <c r="C624">
        <v>0.101398833286987</v>
      </c>
      <c r="E624" t="str">
        <f>"10344049"</f>
        <v>10344049</v>
      </c>
      <c r="F624" t="str">
        <f>""</f>
        <v/>
      </c>
      <c r="G624" t="str">
        <f>"No associated gene"</f>
        <v>No associated gene</v>
      </c>
    </row>
    <row r="625" spans="1:10">
      <c r="A625">
        <v>10606876</v>
      </c>
      <c r="B625">
        <v>1.8176565327748599</v>
      </c>
      <c r="C625">
        <v>0.14466116911868501</v>
      </c>
      <c r="E625" t="str">
        <f>"10606876"</f>
        <v>10606876</v>
      </c>
      <c r="F625" t="str">
        <f t="shared" ref="F625:F630" si="41">"Affy 1.0 ST"</f>
        <v>Affy 1.0 ST</v>
      </c>
      <c r="G625" t="str">
        <f>"MGI:1927167"</f>
        <v>MGI:1927167</v>
      </c>
      <c r="H625" t="str">
        <f>"Morf4l2"</f>
        <v>Morf4l2</v>
      </c>
      <c r="I625" t="str">
        <f>"mortality factor 4 like 2"</f>
        <v>mortality factor 4 like 2</v>
      </c>
      <c r="J625" t="str">
        <f t="shared" ref="J625:J630" si="42">"protein coding gene"</f>
        <v>protein coding gene</v>
      </c>
    </row>
    <row r="626" spans="1:10">
      <c r="A626">
        <v>10444665</v>
      </c>
      <c r="B626">
        <v>1.8148992027544</v>
      </c>
      <c r="C626">
        <v>0.30039586893172898</v>
      </c>
      <c r="E626" t="str">
        <f>"10444665"</f>
        <v>10444665</v>
      </c>
      <c r="F626" t="str">
        <f t="shared" si="41"/>
        <v>Affy 1.0 ST</v>
      </c>
      <c r="G626" t="str">
        <f>"MGI:1859016"</f>
        <v>MGI:1859016</v>
      </c>
      <c r="H626" t="str">
        <f>"Ddah2"</f>
        <v>Ddah2</v>
      </c>
      <c r="I626" t="str">
        <f>"dimethylarginine dimethylaminohydrolase 2"</f>
        <v>dimethylarginine dimethylaminohydrolase 2</v>
      </c>
      <c r="J626" t="str">
        <f t="shared" si="42"/>
        <v>protein coding gene</v>
      </c>
    </row>
    <row r="627" spans="1:10">
      <c r="A627">
        <v>10487564</v>
      </c>
      <c r="B627">
        <v>1.8110138994543401</v>
      </c>
      <c r="C627">
        <v>0.18756631967444401</v>
      </c>
      <c r="E627" t="str">
        <f>"10487564"</f>
        <v>10487564</v>
      </c>
      <c r="F627" t="str">
        <f t="shared" si="41"/>
        <v>Affy 1.0 ST</v>
      </c>
      <c r="G627" t="str">
        <f>"MGI:1930128"</f>
        <v>MGI:1930128</v>
      </c>
      <c r="H627" t="str">
        <f>"Zc3h8"</f>
        <v>Zc3h8</v>
      </c>
      <c r="I627" t="str">
        <f>"zinc finger CCCH type containing 8"</f>
        <v>zinc finger CCCH type containing 8</v>
      </c>
      <c r="J627" t="str">
        <f t="shared" si="42"/>
        <v>protein coding gene</v>
      </c>
    </row>
    <row r="628" spans="1:10">
      <c r="A628">
        <v>10592763</v>
      </c>
      <c r="B628">
        <v>1.8109348060449799</v>
      </c>
      <c r="C628">
        <v>8.8282211972791194E-2</v>
      </c>
      <c r="E628" t="str">
        <f>"10592763"</f>
        <v>10592763</v>
      </c>
      <c r="F628" t="str">
        <f t="shared" si="41"/>
        <v>Affy 1.0 ST</v>
      </c>
      <c r="G628" t="str">
        <f>"MGI:2429611"</f>
        <v>MGI:2429611</v>
      </c>
      <c r="H628" t="str">
        <f>"Nlrx1"</f>
        <v>Nlrx1</v>
      </c>
      <c r="I628" t="str">
        <f>"NLR family member X1"</f>
        <v>NLR family member X1</v>
      </c>
      <c r="J628" t="str">
        <f t="shared" si="42"/>
        <v>protein coding gene</v>
      </c>
    </row>
    <row r="629" spans="1:10">
      <c r="A629">
        <v>10453575</v>
      </c>
      <c r="B629">
        <v>1.80980472568085</v>
      </c>
      <c r="C629">
        <v>0.36999531275817099</v>
      </c>
      <c r="E629" t="str">
        <f>"10453575"</f>
        <v>10453575</v>
      </c>
      <c r="F629" t="str">
        <f t="shared" si="41"/>
        <v>Affy 1.0 ST</v>
      </c>
      <c r="G629" t="str">
        <f>"MGI:1918995"</f>
        <v>MGI:1918995</v>
      </c>
      <c r="H629" t="str">
        <f>"Cul2"</f>
        <v>Cul2</v>
      </c>
      <c r="I629" t="str">
        <f>"cullin 2"</f>
        <v>cullin 2</v>
      </c>
      <c r="J629" t="str">
        <f t="shared" si="42"/>
        <v>protein coding gene</v>
      </c>
    </row>
    <row r="630" spans="1:10">
      <c r="A630">
        <v>10347036</v>
      </c>
      <c r="B630">
        <v>1.80652782728252</v>
      </c>
      <c r="C630">
        <v>0.19933351124057</v>
      </c>
      <c r="E630" t="str">
        <f>"10347036"</f>
        <v>10347036</v>
      </c>
      <c r="F630" t="str">
        <f t="shared" si="41"/>
        <v>Affy 1.0 ST</v>
      </c>
      <c r="G630" t="str">
        <f>"MGI:97175"</f>
        <v>MGI:97175</v>
      </c>
      <c r="H630" t="str">
        <f>"Mtap2"</f>
        <v>Mtap2</v>
      </c>
      <c r="I630" t="str">
        <f>"microtubule-associated protein 2"</f>
        <v>microtubule-associated protein 2</v>
      </c>
      <c r="J630" t="str">
        <f t="shared" si="42"/>
        <v>protein coding gene</v>
      </c>
    </row>
    <row r="631" spans="1:10">
      <c r="A631">
        <v>10543695</v>
      </c>
      <c r="B631">
        <v>1.80600127777009</v>
      </c>
      <c r="C631">
        <v>0.31680694627503703</v>
      </c>
      <c r="E631" t="str">
        <f>"10543695"</f>
        <v>10543695</v>
      </c>
      <c r="F631" t="str">
        <f>""</f>
        <v/>
      </c>
      <c r="G631" t="str">
        <f>"No associated gene"</f>
        <v>No associated gene</v>
      </c>
    </row>
    <row r="632" spans="1:10">
      <c r="A632">
        <v>10509820</v>
      </c>
      <c r="B632">
        <v>1.8012383916597701</v>
      </c>
      <c r="C632">
        <v>0.31298536768831497</v>
      </c>
      <c r="E632" t="str">
        <f>"10509820"</f>
        <v>10509820</v>
      </c>
      <c r="F632" t="str">
        <f t="shared" ref="F632:F646" si="43">"Affy 1.0 ST"</f>
        <v>Affy 1.0 ST</v>
      </c>
      <c r="G632" t="str">
        <f>"MGI:1919784"</f>
        <v>MGI:1919784</v>
      </c>
      <c r="H632" t="str">
        <f>"Rcc2"</f>
        <v>Rcc2</v>
      </c>
      <c r="I632" t="str">
        <f>"regulator of chromosome condensation 2"</f>
        <v>regulator of chromosome condensation 2</v>
      </c>
      <c r="J632" t="str">
        <f t="shared" ref="J632:J645" si="44">"protein coding gene"</f>
        <v>protein coding gene</v>
      </c>
    </row>
    <row r="633" spans="1:10">
      <c r="A633">
        <v>10445373</v>
      </c>
      <c r="B633">
        <v>1.79552614281142</v>
      </c>
      <c r="C633">
        <v>0.14410972862956001</v>
      </c>
      <c r="E633" t="str">
        <f>"10445373"</f>
        <v>10445373</v>
      </c>
      <c r="F633" t="str">
        <f t="shared" si="43"/>
        <v>Affy 1.0 ST</v>
      </c>
      <c r="G633" t="str">
        <f>"MGI:2443272"</f>
        <v>MGI:2443272</v>
      </c>
      <c r="H633" t="str">
        <f>"B230354K17Rik"</f>
        <v>B230354K17Rik</v>
      </c>
      <c r="I633" t="str">
        <f>"RIKEN cDNA B230354K17 gene"</f>
        <v>RIKEN cDNA B230354K17 gene</v>
      </c>
      <c r="J633" t="str">
        <f t="shared" si="44"/>
        <v>protein coding gene</v>
      </c>
    </row>
    <row r="634" spans="1:10">
      <c r="A634">
        <v>10438702</v>
      </c>
      <c r="B634">
        <v>1.79416381532291</v>
      </c>
      <c r="C634">
        <v>0.24389678406825499</v>
      </c>
      <c r="E634" t="str">
        <f>"10438702"</f>
        <v>10438702</v>
      </c>
      <c r="F634" t="str">
        <f t="shared" si="43"/>
        <v>Affy 1.0 ST</v>
      </c>
      <c r="G634" t="str">
        <f>"MGI:3702726"</f>
        <v>MGI:3702726</v>
      </c>
      <c r="H634" t="str">
        <f>"BC106179"</f>
        <v>BC106179</v>
      </c>
      <c r="I634" t="str">
        <f>"cDNA sequence BC106179"</f>
        <v>cDNA sequence BC106179</v>
      </c>
      <c r="J634" t="str">
        <f t="shared" si="44"/>
        <v>protein coding gene</v>
      </c>
    </row>
    <row r="635" spans="1:10">
      <c r="A635">
        <v>10458428</v>
      </c>
      <c r="B635">
        <v>1.79225188973552</v>
      </c>
      <c r="C635">
        <v>0.14571848286584599</v>
      </c>
      <c r="E635" t="str">
        <f>"10458428"</f>
        <v>10458428</v>
      </c>
      <c r="F635" t="str">
        <f t="shared" si="43"/>
        <v>Affy 1.0 ST</v>
      </c>
      <c r="G635" t="str">
        <f>"MGI:1277988"</f>
        <v>MGI:1277988</v>
      </c>
      <c r="H635" t="str">
        <f>"Uxt"</f>
        <v>Uxt</v>
      </c>
      <c r="I635" t="str">
        <f>"ubiquitously expressed transcript"</f>
        <v>ubiquitously expressed transcript</v>
      </c>
      <c r="J635" t="str">
        <f t="shared" si="44"/>
        <v>protein coding gene</v>
      </c>
    </row>
    <row r="636" spans="1:10">
      <c r="A636">
        <v>10498800</v>
      </c>
      <c r="B636">
        <v>1.7904045260938699</v>
      </c>
      <c r="C636">
        <v>0.160885458965012</v>
      </c>
      <c r="E636" t="str">
        <f>"10498800"</f>
        <v>10498800</v>
      </c>
      <c r="F636" t="str">
        <f t="shared" si="43"/>
        <v>Affy 1.0 ST</v>
      </c>
      <c r="G636" t="str">
        <f>"MGI:1930715"</f>
        <v>MGI:1930715</v>
      </c>
      <c r="H636" t="str">
        <f>"Ube2d2"</f>
        <v>Ube2d2</v>
      </c>
      <c r="I636" t="str">
        <f>"ubiquitin-conjugating enzyme E2D 2"</f>
        <v>ubiquitin-conjugating enzyme E2D 2</v>
      </c>
      <c r="J636" t="str">
        <f t="shared" si="44"/>
        <v>protein coding gene</v>
      </c>
    </row>
    <row r="637" spans="1:10">
      <c r="A637">
        <v>10357590</v>
      </c>
      <c r="B637">
        <v>1.7900451299736799</v>
      </c>
      <c r="C637">
        <v>0.178655708848344</v>
      </c>
      <c r="E637" t="str">
        <f>"10357590"</f>
        <v>10357590</v>
      </c>
      <c r="F637" t="str">
        <f t="shared" si="43"/>
        <v>Affy 1.0 ST</v>
      </c>
      <c r="G637" t="str">
        <f>"MGI:1330300"</f>
        <v>MGI:1330300</v>
      </c>
      <c r="H637" t="str">
        <f>"Dyrk3"</f>
        <v>Dyrk3</v>
      </c>
      <c r="I637" t="str">
        <f>"dual-specificity tyrosine-(Y)-phosphorylation regulated kinase 3"</f>
        <v>dual-specificity tyrosine-(Y)-phosphorylation regulated kinase 3</v>
      </c>
      <c r="J637" t="str">
        <f t="shared" si="44"/>
        <v>protein coding gene</v>
      </c>
    </row>
    <row r="638" spans="1:10">
      <c r="A638">
        <v>10493548</v>
      </c>
      <c r="B638">
        <v>1.7879344822394101</v>
      </c>
      <c r="C638">
        <v>0.188308072521089</v>
      </c>
      <c r="E638" t="str">
        <f>"10493548"</f>
        <v>10493548</v>
      </c>
      <c r="F638" t="str">
        <f t="shared" si="43"/>
        <v>Affy 1.0 ST</v>
      </c>
      <c r="G638" t="str">
        <f>"MGI:1915853"</f>
        <v>MGI:1915853</v>
      </c>
      <c r="H638" t="str">
        <f>"Pmvk"</f>
        <v>Pmvk</v>
      </c>
      <c r="I638" t="str">
        <f>"phosphomevalonate kinase"</f>
        <v>phosphomevalonate kinase</v>
      </c>
      <c r="J638" t="str">
        <f t="shared" si="44"/>
        <v>protein coding gene</v>
      </c>
    </row>
    <row r="639" spans="1:10">
      <c r="A639">
        <v>10444394</v>
      </c>
      <c r="B639">
        <v>1.78561365495706</v>
      </c>
      <c r="C639">
        <v>0.225919420651922</v>
      </c>
      <c r="E639" t="str">
        <f>"10444394"</f>
        <v>10444394</v>
      </c>
      <c r="F639" t="str">
        <f t="shared" si="43"/>
        <v>Affy 1.0 ST</v>
      </c>
      <c r="G639" t="str">
        <f>"MGI:1341793"</f>
        <v>MGI:1341793</v>
      </c>
      <c r="H639" t="str">
        <f>"Pbx2"</f>
        <v>Pbx2</v>
      </c>
      <c r="I639" t="str">
        <f>"pre B-cell leukemia transcription factor 2"</f>
        <v>pre B-cell leukemia transcription factor 2</v>
      </c>
      <c r="J639" t="str">
        <f t="shared" si="44"/>
        <v>protein coding gene</v>
      </c>
    </row>
    <row r="640" spans="1:10">
      <c r="A640">
        <v>10376787</v>
      </c>
      <c r="B640">
        <v>1.7854656906003299</v>
      </c>
      <c r="C640">
        <v>5.5697772104029299E-2</v>
      </c>
      <c r="E640" t="str">
        <f>"10376787"</f>
        <v>10376787</v>
      </c>
      <c r="F640" t="str">
        <f t="shared" si="43"/>
        <v>Affy 1.0 ST</v>
      </c>
      <c r="G640" t="str">
        <f>"MGI:1351471"</f>
        <v>MGI:1351471</v>
      </c>
      <c r="H640" t="str">
        <f>"B9d1"</f>
        <v>B9d1</v>
      </c>
      <c r="I640" t="str">
        <f>"B9 protein domain 1"</f>
        <v>B9 protein domain 1</v>
      </c>
      <c r="J640" t="str">
        <f t="shared" si="44"/>
        <v>protein coding gene</v>
      </c>
    </row>
    <row r="641" spans="1:10">
      <c r="A641">
        <v>10353438</v>
      </c>
      <c r="B641">
        <v>1.7838530300725799</v>
      </c>
      <c r="C641">
        <v>0.20661712622752701</v>
      </c>
      <c r="E641" t="str">
        <f>"10353438"</f>
        <v>10353438</v>
      </c>
      <c r="F641" t="str">
        <f t="shared" si="43"/>
        <v>Affy 1.0 ST</v>
      </c>
      <c r="G641" t="str">
        <f>"MGI:1924817"</f>
        <v>MGI:1924817</v>
      </c>
      <c r="H641" t="str">
        <f>"Tram2"</f>
        <v>Tram2</v>
      </c>
      <c r="I641" t="str">
        <f>"translocating chain-associating membrane protein 2"</f>
        <v>translocating chain-associating membrane protein 2</v>
      </c>
      <c r="J641" t="str">
        <f t="shared" si="44"/>
        <v>protein coding gene</v>
      </c>
    </row>
    <row r="642" spans="1:10">
      <c r="A642">
        <v>10449687</v>
      </c>
      <c r="B642">
        <v>1.7797859389391399</v>
      </c>
      <c r="C642">
        <v>0.13583535016866299</v>
      </c>
      <c r="E642" t="str">
        <f>"10449687"</f>
        <v>10449687</v>
      </c>
      <c r="F642" t="str">
        <f t="shared" si="43"/>
        <v>Affy 1.0 ST</v>
      </c>
      <c r="G642" t="str">
        <f>"MGI:1194909"</f>
        <v>MGI:1194909</v>
      </c>
      <c r="H642" t="str">
        <f>"Rsph1"</f>
        <v>Rsph1</v>
      </c>
      <c r="I642" t="str">
        <f>"radial spoke head 1 homolog (Chlamydomonas)"</f>
        <v>radial spoke head 1 homolog (Chlamydomonas)</v>
      </c>
      <c r="J642" t="str">
        <f t="shared" si="44"/>
        <v>protein coding gene</v>
      </c>
    </row>
    <row r="643" spans="1:10">
      <c r="A643">
        <v>10550564</v>
      </c>
      <c r="B643">
        <v>1.77910794514063</v>
      </c>
      <c r="C643">
        <v>0.247193080773769</v>
      </c>
      <c r="E643" t="str">
        <f>"10550564"</f>
        <v>10550564</v>
      </c>
      <c r="F643" t="str">
        <f t="shared" si="43"/>
        <v>Affy 1.0 ST</v>
      </c>
      <c r="G643" t="str">
        <f>"MGI:94907"</f>
        <v>MGI:94907</v>
      </c>
      <c r="H643" t="str">
        <f>"Dmwd"</f>
        <v>Dmwd</v>
      </c>
      <c r="I643" t="str">
        <f>"dystrophia myotonica-containing WD repeat motif"</f>
        <v>dystrophia myotonica-containing WD repeat motif</v>
      </c>
      <c r="J643" t="str">
        <f t="shared" si="44"/>
        <v>protein coding gene</v>
      </c>
    </row>
    <row r="644" spans="1:10">
      <c r="A644">
        <v>10429178</v>
      </c>
      <c r="B644">
        <v>1.7745126478782001</v>
      </c>
      <c r="C644">
        <v>5.5087284087617802E-2</v>
      </c>
      <c r="E644" t="str">
        <f>"10429178"</f>
        <v>10429178</v>
      </c>
      <c r="F644" t="str">
        <f t="shared" si="43"/>
        <v>Affy 1.0 ST</v>
      </c>
      <c r="G644" t="str">
        <f>"MGI:2681865"</f>
        <v>MGI:2681865</v>
      </c>
      <c r="H644" t="str">
        <f>"Zfat"</f>
        <v>Zfat</v>
      </c>
      <c r="I644" t="str">
        <f>"zinc finger and AT hook domain containing"</f>
        <v>zinc finger and AT hook domain containing</v>
      </c>
      <c r="J644" t="str">
        <f t="shared" si="44"/>
        <v>protein coding gene</v>
      </c>
    </row>
    <row r="645" spans="1:10">
      <c r="A645">
        <v>10409645</v>
      </c>
      <c r="B645">
        <v>1.77198861666289</v>
      </c>
      <c r="C645">
        <v>0.218967985203253</v>
      </c>
      <c r="E645" t="str">
        <f>"10409645"</f>
        <v>10409645</v>
      </c>
      <c r="F645" t="str">
        <f t="shared" si="43"/>
        <v>Affy 1.0 ST</v>
      </c>
      <c r="G645" t="str">
        <f>"MGI:1860276"</f>
        <v>MGI:1860276</v>
      </c>
      <c r="H645" t="str">
        <f>"Ubqln1"</f>
        <v>Ubqln1</v>
      </c>
      <c r="I645" t="str">
        <f>"ubiquilin 1"</f>
        <v>ubiquilin 1</v>
      </c>
      <c r="J645" t="str">
        <f t="shared" si="44"/>
        <v>protein coding gene</v>
      </c>
    </row>
    <row r="646" spans="1:10">
      <c r="A646">
        <v>10418355</v>
      </c>
      <c r="B646">
        <v>1.7653572623057201</v>
      </c>
      <c r="C646">
        <v>6.9286185907569894E-2</v>
      </c>
      <c r="E646" t="str">
        <f>"10418355"</f>
        <v>10418355</v>
      </c>
      <c r="F646" t="str">
        <f t="shared" si="43"/>
        <v>Affy 1.0 ST</v>
      </c>
      <c r="G646" t="str">
        <f>"MGI:88293"</f>
        <v>MGI:88293</v>
      </c>
      <c r="H646" t="str">
        <f>"Cacna1d"</f>
        <v>Cacna1d</v>
      </c>
      <c r="I646" t="s">
        <v>113</v>
      </c>
      <c r="J646" t="s">
        <v>50</v>
      </c>
    </row>
    <row r="647" spans="1:10">
      <c r="A647">
        <v>10524229</v>
      </c>
      <c r="B647">
        <v>1.76452882698906</v>
      </c>
      <c r="C647">
        <v>0.14410029011436801</v>
      </c>
      <c r="E647" t="str">
        <f>"10524229"</f>
        <v>10524229</v>
      </c>
      <c r="F647" t="str">
        <f>""</f>
        <v/>
      </c>
      <c r="G647" t="str">
        <f>"No associated gene"</f>
        <v>No associated gene</v>
      </c>
    </row>
    <row r="648" spans="1:10">
      <c r="A648">
        <v>10445941</v>
      </c>
      <c r="B648">
        <v>1.7556956640871799</v>
      </c>
      <c r="C648">
        <v>0.25408913529037802</v>
      </c>
      <c r="E648" t="str">
        <f>"10445941"</f>
        <v>10445941</v>
      </c>
      <c r="F648" t="str">
        <f>"Affy 1.0 ST"</f>
        <v>Affy 1.0 ST</v>
      </c>
      <c r="G648" t="str">
        <f>"MGI:3782655"</f>
        <v>MGI:3782655</v>
      </c>
      <c r="H648" t="str">
        <f>"Gm4471"</f>
        <v>Gm4471</v>
      </c>
      <c r="I648" t="str">
        <f>"predicted gene 4471"</f>
        <v>predicted gene 4471</v>
      </c>
      <c r="J648" t="str">
        <f>"pseudogene"</f>
        <v>pseudogene</v>
      </c>
    </row>
    <row r="649" spans="1:10">
      <c r="A649">
        <v>10513884</v>
      </c>
      <c r="B649">
        <v>1.7544082933957299</v>
      </c>
      <c r="C649">
        <v>0.13495605284447401</v>
      </c>
      <c r="E649" t="str">
        <f>"10513884"</f>
        <v>10513884</v>
      </c>
      <c r="F649" t="str">
        <f>"Affy 1.0 ST"</f>
        <v>Affy 1.0 ST</v>
      </c>
      <c r="G649" t="str">
        <f>"MGI:104636"</f>
        <v>MGI:104636</v>
      </c>
      <c r="H649" t="str">
        <f>"Tle1"</f>
        <v>Tle1</v>
      </c>
      <c r="I649" t="s">
        <v>114</v>
      </c>
      <c r="J649" t="s">
        <v>50</v>
      </c>
    </row>
    <row r="650" spans="1:10">
      <c r="A650">
        <v>10603598</v>
      </c>
      <c r="B650">
        <v>1.75120122707296</v>
      </c>
      <c r="C650">
        <v>0.24040310287698799</v>
      </c>
      <c r="E650" t="str">
        <f>"10603598"</f>
        <v>10603598</v>
      </c>
      <c r="F650" t="str">
        <f>"Affy 1.0 ST"</f>
        <v>Affy 1.0 ST</v>
      </c>
      <c r="G650" t="str">
        <f>"MGI:1344037"</f>
        <v>MGI:1344037</v>
      </c>
      <c r="H650" t="str">
        <f>"Rpgr"</f>
        <v>Rpgr</v>
      </c>
      <c r="I650" t="str">
        <f>"retinitis pigmentosa GTPase regulator"</f>
        <v>retinitis pigmentosa GTPase regulator</v>
      </c>
      <c r="J650" t="str">
        <f>"protein coding gene"</f>
        <v>protein coding gene</v>
      </c>
    </row>
    <row r="651" spans="1:10">
      <c r="A651">
        <v>10547492</v>
      </c>
      <c r="B651">
        <v>1.75108413056552</v>
      </c>
      <c r="C651">
        <v>0.16910341158424</v>
      </c>
      <c r="E651" t="str">
        <f>"10547492"</f>
        <v>10547492</v>
      </c>
      <c r="F651" t="str">
        <f>"Affy 1.0 ST"</f>
        <v>Affy 1.0 ST</v>
      </c>
      <c r="G651" t="str">
        <f>"MGI:1914450"</f>
        <v>MGI:1914450</v>
      </c>
      <c r="H651" t="str">
        <f>"Ccdc77"</f>
        <v>Ccdc77</v>
      </c>
      <c r="I651" t="str">
        <f>"coiled-coil domain containing 77"</f>
        <v>coiled-coil domain containing 77</v>
      </c>
      <c r="J651" t="str">
        <f>"protein coding gene"</f>
        <v>protein coding gene</v>
      </c>
    </row>
    <row r="652" spans="1:10">
      <c r="A652">
        <v>10343284</v>
      </c>
      <c r="B652">
        <v>1.7477203127648899</v>
      </c>
      <c r="C652">
        <v>0.19789290304028001</v>
      </c>
      <c r="E652" t="str">
        <f>"10343284"</f>
        <v>10343284</v>
      </c>
      <c r="F652" t="str">
        <f>""</f>
        <v/>
      </c>
      <c r="G652" t="str">
        <f>"No associated gene"</f>
        <v>No associated gene</v>
      </c>
    </row>
    <row r="653" spans="1:10">
      <c r="A653">
        <v>10584819</v>
      </c>
      <c r="B653">
        <v>1.74687938045369</v>
      </c>
      <c r="C653">
        <v>0.14455766868782899</v>
      </c>
      <c r="E653" t="str">
        <f>"10584819"</f>
        <v>10584819</v>
      </c>
      <c r="F653" t="str">
        <f>""</f>
        <v/>
      </c>
      <c r="G653" t="str">
        <f>"No associated gene"</f>
        <v>No associated gene</v>
      </c>
    </row>
    <row r="654" spans="1:10">
      <c r="A654">
        <v>10427910</v>
      </c>
      <c r="B654">
        <v>1.74655259293535</v>
      </c>
      <c r="C654">
        <v>9.9452421974472696E-2</v>
      </c>
      <c r="E654" t="str">
        <f>"10427910"</f>
        <v>10427910</v>
      </c>
      <c r="F654" t="str">
        <f t="shared" ref="F654:F694" si="45">"Affy 1.0 ST"</f>
        <v>Affy 1.0 ST</v>
      </c>
      <c r="G654" t="str">
        <f>"MGI:3577015"</f>
        <v>MGI:3577015</v>
      </c>
      <c r="H654" t="str">
        <f>"Fam105b"</f>
        <v>Fam105b</v>
      </c>
      <c r="I654" t="s">
        <v>115</v>
      </c>
      <c r="J654" t="s">
        <v>50</v>
      </c>
    </row>
    <row r="655" spans="1:10">
      <c r="A655">
        <v>10364683</v>
      </c>
      <c r="B655">
        <v>1.7454799299852599</v>
      </c>
      <c r="C655">
        <v>0.13885216177677101</v>
      </c>
      <c r="E655" t="str">
        <f>"10364683"</f>
        <v>10364683</v>
      </c>
      <c r="F655" t="str">
        <f t="shared" si="45"/>
        <v>Affy 1.0 ST</v>
      </c>
      <c r="G655" t="str">
        <f>"MGI:1341870"</f>
        <v>MGI:1341870</v>
      </c>
      <c r="H655" t="str">
        <f>"Stk11"</f>
        <v>Stk11</v>
      </c>
      <c r="I655" t="str">
        <f>"serine/threonine kinase 11"</f>
        <v>serine/threonine kinase 11</v>
      </c>
      <c r="J655" t="str">
        <f>"protein coding gene"</f>
        <v>protein coding gene</v>
      </c>
    </row>
    <row r="656" spans="1:10">
      <c r="A656">
        <v>10569399</v>
      </c>
      <c r="B656">
        <v>1.7449361145643401</v>
      </c>
      <c r="C656">
        <v>0.11791498464269901</v>
      </c>
      <c r="E656" t="str">
        <f>"10569399"</f>
        <v>10569399</v>
      </c>
      <c r="F656" t="str">
        <f t="shared" si="45"/>
        <v>Affy 1.0 ST</v>
      </c>
      <c r="G656" t="str">
        <f>"MGI:1861718"</f>
        <v>MGI:1861718</v>
      </c>
      <c r="H656" t="str">
        <f>"Trpm5"</f>
        <v>Trpm5</v>
      </c>
      <c r="I656" t="s">
        <v>116</v>
      </c>
      <c r="J656" t="s">
        <v>50</v>
      </c>
    </row>
    <row r="657" spans="1:10">
      <c r="A657">
        <v>10522024</v>
      </c>
      <c r="B657">
        <v>1.74425894874523</v>
      </c>
      <c r="C657">
        <v>0.10852449443720499</v>
      </c>
      <c r="E657" t="str">
        <f>"10522024"</f>
        <v>10522024</v>
      </c>
      <c r="F657" t="str">
        <f t="shared" si="45"/>
        <v>Affy 1.0 ST</v>
      </c>
      <c r="G657" t="str">
        <f>"MGI:1889508"</f>
        <v>MGI:1889508</v>
      </c>
      <c r="H657" t="str">
        <f>"Tbc1d1"</f>
        <v>Tbc1d1</v>
      </c>
      <c r="I657" t="s">
        <v>117</v>
      </c>
      <c r="J657" t="s">
        <v>50</v>
      </c>
    </row>
    <row r="658" spans="1:10">
      <c r="A658">
        <v>10558825</v>
      </c>
      <c r="B658">
        <v>1.7440811625278101</v>
      </c>
      <c r="C658">
        <v>0.165852790196962</v>
      </c>
      <c r="E658" t="str">
        <f>"10558825"</f>
        <v>10558825</v>
      </c>
      <c r="F658" t="str">
        <f t="shared" si="45"/>
        <v>Affy 1.0 ST</v>
      </c>
      <c r="G658" t="str">
        <f>"MGI:1917802"</f>
        <v>MGI:1917802</v>
      </c>
      <c r="H658" t="str">
        <f>"Lrrc56"</f>
        <v>Lrrc56</v>
      </c>
      <c r="I658" t="str">
        <f>"leucine rich repeat containing 56"</f>
        <v>leucine rich repeat containing 56</v>
      </c>
      <c r="J658" t="str">
        <f>"protein coding gene"</f>
        <v>protein coding gene</v>
      </c>
    </row>
    <row r="659" spans="1:10">
      <c r="A659">
        <v>10401882</v>
      </c>
      <c r="B659">
        <v>1.7430838527636601</v>
      </c>
      <c r="C659">
        <v>0.28543903119678998</v>
      </c>
      <c r="E659" t="str">
        <f>"10401882"</f>
        <v>10401882</v>
      </c>
      <c r="F659" t="str">
        <f t="shared" si="45"/>
        <v>Affy 1.0 ST</v>
      </c>
      <c r="G659" t="str">
        <f>"MGI:1933277"</f>
        <v>MGI:1933277</v>
      </c>
      <c r="H659" t="str">
        <f>"Gtf2a1"</f>
        <v>Gtf2a1</v>
      </c>
      <c r="I659" t="s">
        <v>118</v>
      </c>
      <c r="J659" t="s">
        <v>50</v>
      </c>
    </row>
    <row r="660" spans="1:10">
      <c r="A660">
        <v>10593095</v>
      </c>
      <c r="B660">
        <v>1.74096447038307</v>
      </c>
      <c r="C660">
        <v>9.1071887029732596E-2</v>
      </c>
      <c r="E660" t="str">
        <f>"10593095"</f>
        <v>10593095</v>
      </c>
      <c r="F660" t="str">
        <f t="shared" si="45"/>
        <v>Affy 1.0 ST</v>
      </c>
      <c r="G660" t="str">
        <f>"MGI:2384878"</f>
        <v>MGI:2384878</v>
      </c>
      <c r="H660" t="str">
        <f>"Cep164"</f>
        <v>Cep164</v>
      </c>
      <c r="I660" t="str">
        <f>"centrosomal protein 164"</f>
        <v>centrosomal protein 164</v>
      </c>
      <c r="J660" t="str">
        <f>"protein coding gene"</f>
        <v>protein coding gene</v>
      </c>
    </row>
    <row r="661" spans="1:10">
      <c r="A661">
        <v>10518344</v>
      </c>
      <c r="B661">
        <v>1.7399763248692299</v>
      </c>
      <c r="C661">
        <v>0.35498184201687499</v>
      </c>
      <c r="E661" t="str">
        <f>"10518344"</f>
        <v>10518344</v>
      </c>
      <c r="F661" t="str">
        <f t="shared" si="45"/>
        <v>Affy 1.0 ST</v>
      </c>
      <c r="G661" t="str">
        <f>"MGI:2448759"</f>
        <v>MGI:2448759</v>
      </c>
      <c r="H661" t="str">
        <f>"Cdv3"</f>
        <v>Cdv3</v>
      </c>
      <c r="I661" t="str">
        <f>"carnitine deficiency-associated gene expressed in ventricle 3"</f>
        <v>carnitine deficiency-associated gene expressed in ventricle 3</v>
      </c>
      <c r="J661" t="str">
        <f>"protein coding gene"</f>
        <v>protein coding gene</v>
      </c>
    </row>
    <row r="662" spans="1:10">
      <c r="A662">
        <v>10383395</v>
      </c>
      <c r="B662">
        <v>1.73829759253657</v>
      </c>
      <c r="C662">
        <v>0.21950359468952299</v>
      </c>
      <c r="E662" t="str">
        <f>"10383395"</f>
        <v>10383395</v>
      </c>
      <c r="F662" t="str">
        <f t="shared" si="45"/>
        <v>Affy 1.0 ST</v>
      </c>
      <c r="G662" t="str">
        <f>"MGI:1353497"</f>
        <v>MGI:1353497</v>
      </c>
      <c r="H662" t="str">
        <f>"Slc25a10"</f>
        <v>Slc25a10</v>
      </c>
      <c r="I662" t="s">
        <v>119</v>
      </c>
      <c r="J662" t="s">
        <v>50</v>
      </c>
    </row>
    <row r="663" spans="1:10">
      <c r="A663">
        <v>10437292</v>
      </c>
      <c r="B663">
        <v>1.7262922704689401</v>
      </c>
      <c r="C663">
        <v>4.21081003297855E-2</v>
      </c>
      <c r="E663" t="str">
        <f>"10437292"</f>
        <v>10437292</v>
      </c>
      <c r="F663" t="str">
        <f t="shared" si="45"/>
        <v>Affy 1.0 ST</v>
      </c>
      <c r="G663" t="str">
        <f>"MGI:106299"</f>
        <v>MGI:106299</v>
      </c>
      <c r="H663" t="str">
        <f>"Slx4"</f>
        <v>Slx4</v>
      </c>
      <c r="I663" t="str">
        <f>"SLX4 structure-specific endonuclease subunit homolog (S. cerevisiae)"</f>
        <v>SLX4 structure-specific endonuclease subunit homolog (S. cerevisiae)</v>
      </c>
      <c r="J663" t="str">
        <f>"protein coding gene"</f>
        <v>protein coding gene</v>
      </c>
    </row>
    <row r="664" spans="1:10">
      <c r="A664">
        <v>10454842</v>
      </c>
      <c r="B664">
        <v>1.72553640023384</v>
      </c>
      <c r="C664">
        <v>0.12097758904407301</v>
      </c>
      <c r="E664" t="str">
        <f>"10454842"</f>
        <v>10454842</v>
      </c>
      <c r="F664" t="str">
        <f t="shared" si="45"/>
        <v>Affy 1.0 ST</v>
      </c>
      <c r="G664" t="str">
        <f>"MGI:1930715"</f>
        <v>MGI:1930715</v>
      </c>
      <c r="H664" t="str">
        <f>"Ube2d2"</f>
        <v>Ube2d2</v>
      </c>
      <c r="I664" t="str">
        <f>"ubiquitin-conjugating enzyme E2D 2"</f>
        <v>ubiquitin-conjugating enzyme E2D 2</v>
      </c>
      <c r="J664" t="str">
        <f>"protein coding gene"</f>
        <v>protein coding gene</v>
      </c>
    </row>
    <row r="665" spans="1:10">
      <c r="A665">
        <v>10474419</v>
      </c>
      <c r="B665">
        <v>1.7253336383437401</v>
      </c>
      <c r="C665">
        <v>7.0808042157749801E-2</v>
      </c>
      <c r="E665" t="str">
        <f>"10474419"</f>
        <v>10474419</v>
      </c>
      <c r="F665" t="str">
        <f t="shared" si="45"/>
        <v>Affy 1.0 ST</v>
      </c>
      <c r="G665" t="str">
        <f>"MGI:1891468"</f>
        <v>MGI:1891468</v>
      </c>
      <c r="H665" t="str">
        <f>"Lgr4"</f>
        <v>Lgr4</v>
      </c>
      <c r="I665" t="str">
        <f>"leucine-rich repeat-containing G protein-coupled receptor 4"</f>
        <v>leucine-rich repeat-containing G protein-coupled receptor 4</v>
      </c>
      <c r="J665" t="str">
        <f>"protein coding gene"</f>
        <v>protein coding gene</v>
      </c>
    </row>
    <row r="666" spans="1:10">
      <c r="A666">
        <v>10602166</v>
      </c>
      <c r="B666">
        <v>1.71240339159091</v>
      </c>
      <c r="C666">
        <v>8.1081287130278207E-2</v>
      </c>
      <c r="E666" t="str">
        <f>"10602166"</f>
        <v>10602166</v>
      </c>
      <c r="F666" t="str">
        <f t="shared" si="45"/>
        <v>Affy 1.0 ST</v>
      </c>
      <c r="G666" t="str">
        <f>"MGI:2147914"</f>
        <v>MGI:2147914</v>
      </c>
      <c r="H666" t="str">
        <f>"Nxt2"</f>
        <v>Nxt2</v>
      </c>
      <c r="I666" t="str">
        <f>"nuclear transport factor 2-like export factor 2"</f>
        <v>nuclear transport factor 2-like export factor 2</v>
      </c>
      <c r="J666" t="str">
        <f>"protein coding gene"</f>
        <v>protein coding gene</v>
      </c>
    </row>
    <row r="667" spans="1:10">
      <c r="A667">
        <v>10403934</v>
      </c>
      <c r="B667">
        <v>1.70980151796683</v>
      </c>
      <c r="C667">
        <v>0.17578514421046301</v>
      </c>
      <c r="E667" t="str">
        <f>"10403934"</f>
        <v>10403934</v>
      </c>
      <c r="F667" t="str">
        <f t="shared" si="45"/>
        <v>Affy 1.0 ST</v>
      </c>
      <c r="G667" t="str">
        <f>"MGI:1916296"</f>
        <v>MGI:1916296</v>
      </c>
      <c r="H667" t="str">
        <f>"Isca1"</f>
        <v>Isca1</v>
      </c>
      <c r="I667" t="str">
        <f>"iron-sulfur cluster assembly 1 homolog (S. cerevisiae)"</f>
        <v>iron-sulfur cluster assembly 1 homolog (S. cerevisiae)</v>
      </c>
      <c r="J667" t="str">
        <f>"protein coding gene"</f>
        <v>protein coding gene</v>
      </c>
    </row>
    <row r="668" spans="1:10">
      <c r="A668">
        <v>10528154</v>
      </c>
      <c r="B668">
        <v>1.70127662556588</v>
      </c>
      <c r="C668">
        <v>0.198093280231078</v>
      </c>
      <c r="E668" t="str">
        <f>"10528154"</f>
        <v>10528154</v>
      </c>
      <c r="F668" t="str">
        <f t="shared" si="45"/>
        <v>Affy 1.0 ST</v>
      </c>
      <c r="G668" t="str">
        <f>"MGI:3648736"</f>
        <v>MGI:3648736</v>
      </c>
      <c r="H668" t="str">
        <f>"Gm6455"</f>
        <v>Gm6455</v>
      </c>
      <c r="I668" t="str">
        <f>"predicted gene 6455"</f>
        <v>predicted gene 6455</v>
      </c>
      <c r="J668" t="str">
        <f>"pseudogene"</f>
        <v>pseudogene</v>
      </c>
    </row>
    <row r="669" spans="1:10">
      <c r="A669">
        <v>10508454</v>
      </c>
      <c r="B669">
        <v>1.6986364860831</v>
      </c>
      <c r="C669">
        <v>0.1540039152621</v>
      </c>
      <c r="E669" t="str">
        <f>"10508454"</f>
        <v>10508454</v>
      </c>
      <c r="F669" t="str">
        <f t="shared" si="45"/>
        <v>Affy 1.0 ST</v>
      </c>
      <c r="G669" t="str">
        <f>"MGI:1913466"</f>
        <v>MGI:1913466</v>
      </c>
      <c r="H669" t="str">
        <f>"Bsdc1"</f>
        <v>Bsdc1</v>
      </c>
      <c r="I669" t="str">
        <f>"BSD domain containing 1"</f>
        <v>BSD domain containing 1</v>
      </c>
      <c r="J669" t="str">
        <f>"protein coding gene"</f>
        <v>protein coding gene</v>
      </c>
    </row>
    <row r="670" spans="1:10">
      <c r="A670">
        <v>10439798</v>
      </c>
      <c r="B670">
        <v>1.69858712968686</v>
      </c>
      <c r="C670">
        <v>0.117234037315465</v>
      </c>
      <c r="E670" t="str">
        <f>"10439798"</f>
        <v>10439798</v>
      </c>
      <c r="F670" t="str">
        <f t="shared" si="45"/>
        <v>Affy 1.0 ST</v>
      </c>
      <c r="G670" t="str">
        <f>"MGI:1917433"</f>
        <v>MGI:1917433</v>
      </c>
      <c r="H670" t="str">
        <f>"Dzip3"</f>
        <v>Dzip3</v>
      </c>
      <c r="I670" t="s">
        <v>120</v>
      </c>
      <c r="J670" t="s">
        <v>50</v>
      </c>
    </row>
    <row r="671" spans="1:10">
      <c r="A671">
        <v>10523001</v>
      </c>
      <c r="B671">
        <v>1.6955871156092801</v>
      </c>
      <c r="C671">
        <v>0.13761521756933501</v>
      </c>
      <c r="E671" t="str">
        <f>"10523001"</f>
        <v>10523001</v>
      </c>
      <c r="F671" t="str">
        <f t="shared" si="45"/>
        <v>Affy 1.0 ST</v>
      </c>
      <c r="G671" t="str">
        <f>"MGI:1915723"</f>
        <v>MGI:1915723</v>
      </c>
      <c r="H671" t="str">
        <f>"Mobkl1a"</f>
        <v>Mobkl1a</v>
      </c>
      <c r="I671" t="s">
        <v>121</v>
      </c>
      <c r="J671" t="s">
        <v>50</v>
      </c>
    </row>
    <row r="672" spans="1:10">
      <c r="A672">
        <v>10409994</v>
      </c>
      <c r="B672">
        <v>1.6922152083736099</v>
      </c>
      <c r="C672">
        <v>3.4623510575406399E-2</v>
      </c>
      <c r="E672" t="str">
        <f>"10409994"</f>
        <v>10409994</v>
      </c>
      <c r="F672" t="str">
        <f t="shared" si="45"/>
        <v>Affy 1.0 ST</v>
      </c>
      <c r="G672" t="str">
        <f>"MGI:3645613"</f>
        <v>MGI:3645613</v>
      </c>
      <c r="H672" t="str">
        <f>"Gm5665"</f>
        <v>Gm5665</v>
      </c>
      <c r="I672" t="str">
        <f>"predicted gene 5665"</f>
        <v>predicted gene 5665</v>
      </c>
      <c r="J672" t="str">
        <f>"unclassified gene"</f>
        <v>unclassified gene</v>
      </c>
    </row>
    <row r="673" spans="1:10">
      <c r="A673">
        <v>10589800</v>
      </c>
      <c r="B673">
        <v>1.69038807810082</v>
      </c>
      <c r="C673">
        <v>0.24177453611267</v>
      </c>
      <c r="E673" t="str">
        <f>"10589800"</f>
        <v>10589800</v>
      </c>
      <c r="F673" t="str">
        <f t="shared" si="45"/>
        <v>Affy 1.0 ST</v>
      </c>
      <c r="G673" t="str">
        <f>"MGI:1923749"</f>
        <v>MGI:1923749</v>
      </c>
      <c r="H673" t="str">
        <f>"Clasp2"</f>
        <v>Clasp2</v>
      </c>
      <c r="I673" t="str">
        <f>"CLIP associating protein 2"</f>
        <v>CLIP associating protein 2</v>
      </c>
      <c r="J673" t="str">
        <f>"protein coding gene"</f>
        <v>protein coding gene</v>
      </c>
    </row>
    <row r="674" spans="1:10">
      <c r="A674">
        <v>10586759</v>
      </c>
      <c r="B674">
        <v>1.67042966166623</v>
      </c>
      <c r="C674">
        <v>8.9879592659781807E-2</v>
      </c>
      <c r="E674" t="str">
        <f>"10586759"</f>
        <v>10586759</v>
      </c>
      <c r="F674" t="str">
        <f t="shared" si="45"/>
        <v>Affy 1.0 ST</v>
      </c>
      <c r="G674" t="str">
        <f>"MGI:109327"</f>
        <v>MGI:109327</v>
      </c>
      <c r="H674" t="str">
        <f>"Bnip2"</f>
        <v>Bnip2</v>
      </c>
      <c r="I674" t="str">
        <f>"BCL2/adenovirus E1B interacting protein 2"</f>
        <v>BCL2/adenovirus E1B interacting protein 2</v>
      </c>
      <c r="J674" t="str">
        <f>"protein coding gene"</f>
        <v>protein coding gene</v>
      </c>
    </row>
    <row r="675" spans="1:10">
      <c r="A675">
        <v>10562784</v>
      </c>
      <c r="B675">
        <v>1.66914875360119</v>
      </c>
      <c r="C675">
        <v>0.13546060699731199</v>
      </c>
      <c r="E675" t="str">
        <f>"10562784"</f>
        <v>10562784</v>
      </c>
      <c r="F675" t="str">
        <f t="shared" si="45"/>
        <v>Affy 1.0 ST</v>
      </c>
      <c r="G675" t="str">
        <f>"MGI:1336170"</f>
        <v>MGI:1336170</v>
      </c>
      <c r="H675" t="str">
        <f>"Mybpc2"</f>
        <v>Mybpc2</v>
      </c>
      <c r="I675" t="s">
        <v>122</v>
      </c>
      <c r="J675" t="s">
        <v>50</v>
      </c>
    </row>
    <row r="676" spans="1:10">
      <c r="A676">
        <v>10463282</v>
      </c>
      <c r="B676">
        <v>1.6689859531422999</v>
      </c>
      <c r="C676">
        <v>6.0637362772835303E-2</v>
      </c>
      <c r="E676" t="str">
        <f>"10463282"</f>
        <v>10463282</v>
      </c>
      <c r="F676" t="str">
        <f t="shared" si="45"/>
        <v>Affy 1.0 ST</v>
      </c>
      <c r="G676" t="str">
        <f>"MGI:2135885"</f>
        <v>MGI:2135885</v>
      </c>
      <c r="H676" t="str">
        <f>"Entpd7"</f>
        <v>Entpd7</v>
      </c>
      <c r="I676" t="str">
        <f>"ectonucleoside triphosphate diphosphohydrolase 7"</f>
        <v>ectonucleoside triphosphate diphosphohydrolase 7</v>
      </c>
      <c r="J676" t="str">
        <f>"protein coding gene"</f>
        <v>protein coding gene</v>
      </c>
    </row>
    <row r="677" spans="1:10">
      <c r="A677">
        <v>10378114</v>
      </c>
      <c r="B677">
        <v>1.6619282714581001</v>
      </c>
      <c r="C677">
        <v>0.197555946399917</v>
      </c>
      <c r="E677" t="str">
        <f>"10378114"</f>
        <v>10378114</v>
      </c>
      <c r="F677" t="str">
        <f t="shared" si="45"/>
        <v>Affy 1.0 ST</v>
      </c>
      <c r="G677" t="str">
        <f>"MGI:1914378"</f>
        <v>MGI:1914378</v>
      </c>
      <c r="H677" t="str">
        <f>"Ube2g1"</f>
        <v>Ube2g1</v>
      </c>
      <c r="I677" t="s">
        <v>123</v>
      </c>
      <c r="J677" t="s">
        <v>50</v>
      </c>
    </row>
    <row r="678" spans="1:10">
      <c r="A678">
        <v>10563275</v>
      </c>
      <c r="B678">
        <v>1.65768669185163</v>
      </c>
      <c r="C678">
        <v>0.13357132716810299</v>
      </c>
      <c r="E678" t="str">
        <f>"10563275"</f>
        <v>10563275</v>
      </c>
      <c r="F678" t="str">
        <f t="shared" si="45"/>
        <v>Affy 1.0 ST</v>
      </c>
      <c r="G678" t="str">
        <f>"MGI:1342299"</f>
        <v>MGI:1342299</v>
      </c>
      <c r="H678" t="str">
        <f>"Ruvbl2"</f>
        <v>Ruvbl2</v>
      </c>
      <c r="I678" t="str">
        <f>"RuvB-like protein 2"</f>
        <v>RuvB-like protein 2</v>
      </c>
      <c r="J678" t="str">
        <f>"protein coding gene"</f>
        <v>protein coding gene</v>
      </c>
    </row>
    <row r="679" spans="1:10">
      <c r="A679">
        <v>10493690</v>
      </c>
      <c r="B679">
        <v>1.65565475687886</v>
      </c>
      <c r="C679">
        <v>3.5367481089244403E-2</v>
      </c>
      <c r="E679" t="str">
        <f>"10493690"</f>
        <v>10493690</v>
      </c>
      <c r="F679" t="str">
        <f t="shared" si="45"/>
        <v>Affy 1.0 ST</v>
      </c>
      <c r="G679" t="str">
        <f>"MGI:1924845"</f>
        <v>MGI:1924845</v>
      </c>
      <c r="H679" t="str">
        <f>"Nup210l"</f>
        <v>Nup210l</v>
      </c>
      <c r="I679" t="str">
        <f>"nucleoporin 210-like"</f>
        <v>nucleoporin 210-like</v>
      </c>
      <c r="J679" t="str">
        <f>"protein coding gene"</f>
        <v>protein coding gene</v>
      </c>
    </row>
    <row r="680" spans="1:10">
      <c r="A680">
        <v>10532052</v>
      </c>
      <c r="B680">
        <v>1.6532447249673701</v>
      </c>
      <c r="C680">
        <v>0.130431471803376</v>
      </c>
      <c r="E680" t="str">
        <f>"10532052"</f>
        <v>10532052</v>
      </c>
      <c r="F680" t="str">
        <f t="shared" si="45"/>
        <v>Affy 1.0 ST</v>
      </c>
      <c r="G680" t="str">
        <f>"MGI:3036246"</f>
        <v>MGI:3036246</v>
      </c>
      <c r="H680" t="str">
        <f>"Hfm1"</f>
        <v>Hfm1</v>
      </c>
      <c r="I680" t="s">
        <v>124</v>
      </c>
      <c r="J680" t="s">
        <v>50</v>
      </c>
    </row>
    <row r="681" spans="1:10">
      <c r="A681">
        <v>10481634</v>
      </c>
      <c r="B681">
        <v>1.6532107668770399</v>
      </c>
      <c r="C681">
        <v>9.7685646397137393E-2</v>
      </c>
      <c r="E681" t="str">
        <f>"10481634"</f>
        <v>10481634</v>
      </c>
      <c r="F681" t="str">
        <f t="shared" si="45"/>
        <v>Affy 1.0 ST</v>
      </c>
      <c r="G681" t="str">
        <f>"MGI:1915913"</f>
        <v>MGI:1915913</v>
      </c>
      <c r="H681" t="str">
        <f>"Slc25a25"</f>
        <v>Slc25a25</v>
      </c>
      <c r="I681" t="s">
        <v>125</v>
      </c>
      <c r="J681" t="s">
        <v>50</v>
      </c>
    </row>
    <row r="682" spans="1:10">
      <c r="A682">
        <v>10606355</v>
      </c>
      <c r="B682">
        <v>1.65231761466393</v>
      </c>
      <c r="C682">
        <v>0.1459972875768</v>
      </c>
      <c r="E682" t="str">
        <f>"10606355"</f>
        <v>10606355</v>
      </c>
      <c r="F682" t="str">
        <f t="shared" si="45"/>
        <v>Affy 1.0 ST</v>
      </c>
      <c r="G682" t="str">
        <f>"MGI:1926218"</f>
        <v>MGI:1926218</v>
      </c>
      <c r="H682" t="str">
        <f>"Cysltr1"</f>
        <v>Cysltr1</v>
      </c>
      <c r="I682" t="str">
        <f>"cysteinyl leukotriene receptor 1"</f>
        <v>cysteinyl leukotriene receptor 1</v>
      </c>
      <c r="J682" t="str">
        <f t="shared" ref="J682:J694" si="46">"protein coding gene"</f>
        <v>protein coding gene</v>
      </c>
    </row>
    <row r="683" spans="1:10">
      <c r="A683">
        <v>10447100</v>
      </c>
      <c r="B683">
        <v>1.6399359811776</v>
      </c>
      <c r="C683">
        <v>0.14459591996951099</v>
      </c>
      <c r="E683" t="str">
        <f>"10447100"</f>
        <v>10447100</v>
      </c>
      <c r="F683" t="str">
        <f t="shared" si="45"/>
        <v>Affy 1.0 ST</v>
      </c>
      <c r="G683" t="str">
        <f>"MGI:2674071"</f>
        <v>MGI:2674071</v>
      </c>
      <c r="H683" t="str">
        <f>"Morn2"</f>
        <v>Morn2</v>
      </c>
      <c r="I683" t="str">
        <f>"MORN repeat containing 2"</f>
        <v>MORN repeat containing 2</v>
      </c>
      <c r="J683" t="str">
        <f t="shared" si="46"/>
        <v>protein coding gene</v>
      </c>
    </row>
    <row r="684" spans="1:10">
      <c r="A684">
        <v>10450496</v>
      </c>
      <c r="B684">
        <v>1.6365490374065499</v>
      </c>
      <c r="C684">
        <v>1.7403942251834E-2</v>
      </c>
      <c r="E684" t="str">
        <f>"10450496"</f>
        <v>10450496</v>
      </c>
      <c r="F684" t="str">
        <f t="shared" si="45"/>
        <v>Affy 1.0 ST</v>
      </c>
      <c r="G684" t="str">
        <f>"MGI:1096324"</f>
        <v>MGI:1096324</v>
      </c>
      <c r="H684" t="str">
        <f>"Lst1"</f>
        <v>Lst1</v>
      </c>
      <c r="I684" t="str">
        <f>"leukocyte specific transcript 1"</f>
        <v>leukocyte specific transcript 1</v>
      </c>
      <c r="J684" t="str">
        <f t="shared" si="46"/>
        <v>protein coding gene</v>
      </c>
    </row>
    <row r="685" spans="1:10">
      <c r="A685">
        <v>10369604</v>
      </c>
      <c r="B685">
        <v>1.6258319054711401</v>
      </c>
      <c r="C685">
        <v>0.13340602304454499</v>
      </c>
      <c r="E685" t="str">
        <f>"10369604"</f>
        <v>10369604</v>
      </c>
      <c r="F685" t="str">
        <f t="shared" si="45"/>
        <v>Affy 1.0 ST</v>
      </c>
      <c r="G685" t="str">
        <f>"MGI:1353654"</f>
        <v>MGI:1353654</v>
      </c>
      <c r="H685" t="str">
        <f>"Vps26a"</f>
        <v>Vps26a</v>
      </c>
      <c r="I685" t="str">
        <f>"vacuolar protein sorting 26 homolog A (yeast)"</f>
        <v>vacuolar protein sorting 26 homolog A (yeast)</v>
      </c>
      <c r="J685" t="str">
        <f t="shared" si="46"/>
        <v>protein coding gene</v>
      </c>
    </row>
    <row r="686" spans="1:10">
      <c r="A686">
        <v>10389373</v>
      </c>
      <c r="B686">
        <v>1.6177514902635799</v>
      </c>
      <c r="C686">
        <v>5.6929797613566098E-2</v>
      </c>
      <c r="E686" t="str">
        <f>"10389373"</f>
        <v>10389373</v>
      </c>
      <c r="F686" t="str">
        <f t="shared" si="45"/>
        <v>Affy 1.0 ST</v>
      </c>
      <c r="G686" t="str">
        <f>"MGI:1914134"</f>
        <v>MGI:1914134</v>
      </c>
      <c r="H686" t="str">
        <f>"Appbp2"</f>
        <v>Appbp2</v>
      </c>
      <c r="I686" t="str">
        <f>"amyloid beta precursor protein (cytoplasmic tail) binding protein 2"</f>
        <v>amyloid beta precursor protein (cytoplasmic tail) binding protein 2</v>
      </c>
      <c r="J686" t="str">
        <f t="shared" si="46"/>
        <v>protein coding gene</v>
      </c>
    </row>
    <row r="687" spans="1:10">
      <c r="A687">
        <v>10524882</v>
      </c>
      <c r="B687">
        <v>1.6151238763097699</v>
      </c>
      <c r="C687">
        <v>7.8667662050417406E-2</v>
      </c>
      <c r="E687" t="str">
        <f>"10524882"</f>
        <v>10524882</v>
      </c>
      <c r="F687" t="str">
        <f t="shared" si="45"/>
        <v>Affy 1.0 ST</v>
      </c>
      <c r="G687" t="str">
        <f>"MGI:2144041"</f>
        <v>MGI:2144041</v>
      </c>
      <c r="H687" t="str">
        <f>"Wsb2"</f>
        <v>Wsb2</v>
      </c>
      <c r="I687" t="str">
        <f>"WD repeat and SOCS box-containing 2"</f>
        <v>WD repeat and SOCS box-containing 2</v>
      </c>
      <c r="J687" t="str">
        <f t="shared" si="46"/>
        <v>protein coding gene</v>
      </c>
    </row>
    <row r="688" spans="1:10">
      <c r="A688">
        <v>10385052</v>
      </c>
      <c r="B688">
        <v>1.61413206127791</v>
      </c>
      <c r="C688">
        <v>4.6178314334627997E-2</v>
      </c>
      <c r="E688" t="str">
        <f>"10385052"</f>
        <v>10385052</v>
      </c>
      <c r="F688" t="str">
        <f t="shared" si="45"/>
        <v>Affy 1.0 ST</v>
      </c>
      <c r="G688" t="str">
        <f>"MGI:1929706"</f>
        <v>MGI:1929706</v>
      </c>
      <c r="H688" t="str">
        <f>"Ranbp17"</f>
        <v>Ranbp17</v>
      </c>
      <c r="I688" t="str">
        <f>"RAN binding protein 17"</f>
        <v>RAN binding protein 17</v>
      </c>
      <c r="J688" t="str">
        <f t="shared" si="46"/>
        <v>protein coding gene</v>
      </c>
    </row>
    <row r="689" spans="1:10">
      <c r="A689">
        <v>10394699</v>
      </c>
      <c r="B689">
        <v>1.6123607616204001</v>
      </c>
      <c r="C689">
        <v>8.0690544564311004E-2</v>
      </c>
      <c r="E689" t="str">
        <f>"10394699"</f>
        <v>10394699</v>
      </c>
      <c r="F689" t="str">
        <f t="shared" si="45"/>
        <v>Affy 1.0 ST</v>
      </c>
      <c r="G689" t="str">
        <f>"MGI:107926"</f>
        <v>MGI:107926</v>
      </c>
      <c r="H689" t="str">
        <f>"Rock2"</f>
        <v>Rock2</v>
      </c>
      <c r="I689" t="str">
        <f>"Rho-associated coiled-coil containing protein kinase 2"</f>
        <v>Rho-associated coiled-coil containing protein kinase 2</v>
      </c>
      <c r="J689" t="str">
        <f t="shared" si="46"/>
        <v>protein coding gene</v>
      </c>
    </row>
    <row r="690" spans="1:10">
      <c r="A690">
        <v>10444320</v>
      </c>
      <c r="B690">
        <v>1.6067620012034001</v>
      </c>
      <c r="C690">
        <v>0.12275810599835001</v>
      </c>
      <c r="E690" t="str">
        <f>"10444320"</f>
        <v>10444320</v>
      </c>
      <c r="F690" t="str">
        <f t="shared" si="45"/>
        <v>Affy 1.0 ST</v>
      </c>
      <c r="G690" t="str">
        <f>"MGI:1932027"</f>
        <v>MGI:1932027</v>
      </c>
      <c r="H690" t="str">
        <f>"Btnl3"</f>
        <v>Btnl3</v>
      </c>
      <c r="I690" t="str">
        <f>"butyrophilin-like 3"</f>
        <v>butyrophilin-like 3</v>
      </c>
      <c r="J690" t="str">
        <f t="shared" si="46"/>
        <v>protein coding gene</v>
      </c>
    </row>
    <row r="691" spans="1:10">
      <c r="A691">
        <v>10569569</v>
      </c>
      <c r="B691">
        <v>1.6006165635051499</v>
      </c>
      <c r="C691">
        <v>7.7219316587908607E-2</v>
      </c>
      <c r="E691" t="str">
        <f>"10569569"</f>
        <v>10569569</v>
      </c>
      <c r="F691" t="str">
        <f t="shared" si="45"/>
        <v>Affy 1.0 ST</v>
      </c>
      <c r="G691" t="str">
        <f>"MGI:99695"</f>
        <v>MGI:99695</v>
      </c>
      <c r="H691" t="str">
        <f>"Cttn"</f>
        <v>Cttn</v>
      </c>
      <c r="I691" t="str">
        <f>"cortactin"</f>
        <v>cortactin</v>
      </c>
      <c r="J691" t="str">
        <f t="shared" si="46"/>
        <v>protein coding gene</v>
      </c>
    </row>
    <row r="692" spans="1:10">
      <c r="A692">
        <v>10430783</v>
      </c>
      <c r="B692">
        <v>1.5887063718746499</v>
      </c>
      <c r="C692">
        <v>8.8914051672951494E-2</v>
      </c>
      <c r="E692" t="str">
        <f>"10430783"</f>
        <v>10430783</v>
      </c>
      <c r="F692" t="str">
        <f t="shared" si="45"/>
        <v>Affy 1.0 ST</v>
      </c>
      <c r="G692" t="str">
        <f>"MGI:1926179"</f>
        <v>MGI:1926179</v>
      </c>
      <c r="H692" t="str">
        <f>"Polr3h"</f>
        <v>Polr3h</v>
      </c>
      <c r="I692" t="str">
        <f>"polymerase (RNA) III (DNA directed) polypeptide H"</f>
        <v>polymerase (RNA) III (DNA directed) polypeptide H</v>
      </c>
      <c r="J692" t="str">
        <f t="shared" si="46"/>
        <v>protein coding gene</v>
      </c>
    </row>
    <row r="693" spans="1:10">
      <c r="A693">
        <v>10468275</v>
      </c>
      <c r="B693">
        <v>1.56728869907993</v>
      </c>
      <c r="C693">
        <v>2.249849616667E-2</v>
      </c>
      <c r="E693" t="str">
        <f>"10468275"</f>
        <v>10468275</v>
      </c>
      <c r="F693" t="str">
        <f t="shared" si="45"/>
        <v>Affy 1.0 ST</v>
      </c>
      <c r="G693" t="str">
        <f>"MGI:1918291"</f>
        <v>MGI:1918291</v>
      </c>
      <c r="H693" t="str">
        <f>"Pcgf6"</f>
        <v>Pcgf6</v>
      </c>
      <c r="I693" t="str">
        <f>"polycomb group ring finger 6"</f>
        <v>polycomb group ring finger 6</v>
      </c>
      <c r="J693" t="str">
        <f t="shared" si="46"/>
        <v>protein coding gene</v>
      </c>
    </row>
    <row r="694" spans="1:10">
      <c r="A694">
        <v>10444911</v>
      </c>
      <c r="B694">
        <v>1.5503397667735099</v>
      </c>
      <c r="C694">
        <v>2.80666140621437E-2</v>
      </c>
      <c r="E694" t="str">
        <f>"10444911"</f>
        <v>10444911</v>
      </c>
      <c r="F694" t="str">
        <f t="shared" si="45"/>
        <v>Affy 1.0 ST</v>
      </c>
      <c r="G694" t="str">
        <f>"MGI:3525201"</f>
        <v>MGI:3525201</v>
      </c>
      <c r="H694" t="str">
        <f>"Mdc1"</f>
        <v>Mdc1</v>
      </c>
      <c r="I694" t="str">
        <f>"mediator of DNA damage checkpoint 1"</f>
        <v>mediator of DNA damage checkpoint 1</v>
      </c>
      <c r="J694" t="str">
        <f t="shared" si="46"/>
        <v>protein coding gene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actMature-mzBvsGCBcell-up-in-on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Meehan</dc:creator>
  <cp:lastModifiedBy>Terry Meehan</cp:lastModifiedBy>
  <dcterms:created xsi:type="dcterms:W3CDTF">2011-02-05T16:30:01Z</dcterms:created>
  <dcterms:modified xsi:type="dcterms:W3CDTF">2011-02-05T16:42:10Z</dcterms:modified>
</cp:coreProperties>
</file>