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-20" yWindow="-20" windowWidth="34400" windowHeight="21760" tabRatio="500"/>
  </bookViews>
  <sheets>
    <sheet name="activatedImmature-up-in-ont.xls" sheetId="1" r:id="rId1"/>
  </sheets>
  <calcPr calcId="0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J875" i="1"/>
  <c r="I875"/>
  <c r="H875"/>
  <c r="G875"/>
  <c r="F875"/>
  <c r="E875"/>
  <c r="H874"/>
  <c r="G874"/>
  <c r="F874"/>
  <c r="E874"/>
  <c r="H873"/>
  <c r="G873"/>
  <c r="F873"/>
  <c r="E873"/>
  <c r="J872"/>
  <c r="I872"/>
  <c r="H872"/>
  <c r="G872"/>
  <c r="F872"/>
  <c r="E872"/>
  <c r="H871"/>
  <c r="G871"/>
  <c r="F871"/>
  <c r="E871"/>
  <c r="J870"/>
  <c r="I870"/>
  <c r="H870"/>
  <c r="G870"/>
  <c r="F870"/>
  <c r="E870"/>
  <c r="G869"/>
  <c r="F869"/>
  <c r="E869"/>
  <c r="J868"/>
  <c r="I868"/>
  <c r="H868"/>
  <c r="G868"/>
  <c r="F868"/>
  <c r="E868"/>
  <c r="G867"/>
  <c r="F867"/>
  <c r="E867"/>
  <c r="J866"/>
  <c r="I866"/>
  <c r="H866"/>
  <c r="G866"/>
  <c r="F866"/>
  <c r="E866"/>
  <c r="G865"/>
  <c r="F865"/>
  <c r="E865"/>
  <c r="J864"/>
  <c r="I864"/>
  <c r="H864"/>
  <c r="G864"/>
  <c r="F864"/>
  <c r="E864"/>
  <c r="J863"/>
  <c r="I863"/>
  <c r="H863"/>
  <c r="G863"/>
  <c r="F863"/>
  <c r="E863"/>
  <c r="J862"/>
  <c r="I862"/>
  <c r="H862"/>
  <c r="G862"/>
  <c r="F862"/>
  <c r="E862"/>
  <c r="J861"/>
  <c r="I861"/>
  <c r="H861"/>
  <c r="G861"/>
  <c r="F861"/>
  <c r="E861"/>
  <c r="H860"/>
  <c r="G860"/>
  <c r="F860"/>
  <c r="E860"/>
  <c r="G859"/>
  <c r="F859"/>
  <c r="E859"/>
  <c r="H858"/>
  <c r="G858"/>
  <c r="F858"/>
  <c r="E858"/>
  <c r="J857"/>
  <c r="I857"/>
  <c r="H857"/>
  <c r="G857"/>
  <c r="F857"/>
  <c r="E857"/>
  <c r="J856"/>
  <c r="I856"/>
  <c r="H856"/>
  <c r="G856"/>
  <c r="F856"/>
  <c r="E856"/>
  <c r="H855"/>
  <c r="G855"/>
  <c r="F855"/>
  <c r="E855"/>
  <c r="J854"/>
  <c r="I854"/>
  <c r="H854"/>
  <c r="G854"/>
  <c r="F854"/>
  <c r="E854"/>
  <c r="J853"/>
  <c r="I853"/>
  <c r="H853"/>
  <c r="G853"/>
  <c r="F853"/>
  <c r="E853"/>
  <c r="J852"/>
  <c r="I852"/>
  <c r="H852"/>
  <c r="G852"/>
  <c r="F852"/>
  <c r="E852"/>
  <c r="J851"/>
  <c r="I851"/>
  <c r="H851"/>
  <c r="G851"/>
  <c r="F851"/>
  <c r="E851"/>
  <c r="J850"/>
  <c r="I850"/>
  <c r="H850"/>
  <c r="G850"/>
  <c r="F850"/>
  <c r="E850"/>
  <c r="H849"/>
  <c r="G849"/>
  <c r="F849"/>
  <c r="E849"/>
  <c r="J848"/>
  <c r="I848"/>
  <c r="H848"/>
  <c r="G848"/>
  <c r="F848"/>
  <c r="E848"/>
  <c r="J847"/>
  <c r="I847"/>
  <c r="H847"/>
  <c r="G847"/>
  <c r="F847"/>
  <c r="E847"/>
  <c r="J846"/>
  <c r="I846"/>
  <c r="H846"/>
  <c r="G846"/>
  <c r="F846"/>
  <c r="E846"/>
  <c r="G845"/>
  <c r="F845"/>
  <c r="E845"/>
  <c r="J844"/>
  <c r="I844"/>
  <c r="H844"/>
  <c r="G844"/>
  <c r="F844"/>
  <c r="E844"/>
  <c r="H843"/>
  <c r="G843"/>
  <c r="F843"/>
  <c r="E843"/>
  <c r="J842"/>
  <c r="I842"/>
  <c r="H842"/>
  <c r="G842"/>
  <c r="F842"/>
  <c r="E842"/>
  <c r="J841"/>
  <c r="I841"/>
  <c r="H841"/>
  <c r="G841"/>
  <c r="F841"/>
  <c r="E841"/>
  <c r="J840"/>
  <c r="I840"/>
  <c r="H840"/>
  <c r="G840"/>
  <c r="F840"/>
  <c r="E840"/>
  <c r="H839"/>
  <c r="G839"/>
  <c r="F839"/>
  <c r="E839"/>
  <c r="J838"/>
  <c r="I838"/>
  <c r="H838"/>
  <c r="G838"/>
  <c r="F838"/>
  <c r="E838"/>
  <c r="J837"/>
  <c r="I837"/>
  <c r="H837"/>
  <c r="G837"/>
  <c r="F837"/>
  <c r="E837"/>
  <c r="J836"/>
  <c r="I836"/>
  <c r="H836"/>
  <c r="G836"/>
  <c r="F836"/>
  <c r="E836"/>
  <c r="H835"/>
  <c r="G835"/>
  <c r="F835"/>
  <c r="E835"/>
  <c r="J834"/>
  <c r="I834"/>
  <c r="H834"/>
  <c r="G834"/>
  <c r="F834"/>
  <c r="E834"/>
  <c r="J833"/>
  <c r="I833"/>
  <c r="H833"/>
  <c r="G833"/>
  <c r="F833"/>
  <c r="E833"/>
  <c r="H832"/>
  <c r="G832"/>
  <c r="F832"/>
  <c r="E832"/>
  <c r="J831"/>
  <c r="I831"/>
  <c r="H831"/>
  <c r="G831"/>
  <c r="F831"/>
  <c r="E831"/>
  <c r="G830"/>
  <c r="F830"/>
  <c r="E830"/>
  <c r="J829"/>
  <c r="I829"/>
  <c r="H829"/>
  <c r="G829"/>
  <c r="F829"/>
  <c r="E829"/>
  <c r="G828"/>
  <c r="F828"/>
  <c r="E828"/>
  <c r="G827"/>
  <c r="F827"/>
  <c r="E827"/>
  <c r="H826"/>
  <c r="G826"/>
  <c r="F826"/>
  <c r="E826"/>
  <c r="J825"/>
  <c r="I825"/>
  <c r="H825"/>
  <c r="G825"/>
  <c r="F825"/>
  <c r="E825"/>
  <c r="H824"/>
  <c r="G824"/>
  <c r="F824"/>
  <c r="E824"/>
  <c r="H823"/>
  <c r="G823"/>
  <c r="F823"/>
  <c r="E823"/>
  <c r="H822"/>
  <c r="G822"/>
  <c r="F822"/>
  <c r="E822"/>
  <c r="J821"/>
  <c r="I821"/>
  <c r="H821"/>
  <c r="G821"/>
  <c r="F821"/>
  <c r="E821"/>
  <c r="G820"/>
  <c r="F820"/>
  <c r="E820"/>
  <c r="J819"/>
  <c r="I819"/>
  <c r="H819"/>
  <c r="G819"/>
  <c r="F819"/>
  <c r="E819"/>
  <c r="J818"/>
  <c r="I818"/>
  <c r="H818"/>
  <c r="G818"/>
  <c r="F818"/>
  <c r="E818"/>
  <c r="J817"/>
  <c r="I817"/>
  <c r="H817"/>
  <c r="G817"/>
  <c r="F817"/>
  <c r="E817"/>
  <c r="H816"/>
  <c r="G816"/>
  <c r="F816"/>
  <c r="E816"/>
  <c r="J815"/>
  <c r="I815"/>
  <c r="H815"/>
  <c r="G815"/>
  <c r="F815"/>
  <c r="E815"/>
  <c r="H814"/>
  <c r="G814"/>
  <c r="F814"/>
  <c r="E814"/>
  <c r="G813"/>
  <c r="F813"/>
  <c r="E813"/>
  <c r="G812"/>
  <c r="F812"/>
  <c r="E812"/>
  <c r="H811"/>
  <c r="G811"/>
  <c r="F811"/>
  <c r="E811"/>
  <c r="H810"/>
  <c r="G810"/>
  <c r="F810"/>
  <c r="E810"/>
  <c r="J809"/>
  <c r="I809"/>
  <c r="H809"/>
  <c r="G809"/>
  <c r="F809"/>
  <c r="E809"/>
  <c r="G808"/>
  <c r="F808"/>
  <c r="E808"/>
  <c r="J807"/>
  <c r="I807"/>
  <c r="H807"/>
  <c r="G807"/>
  <c r="F807"/>
  <c r="E807"/>
  <c r="J806"/>
  <c r="I806"/>
  <c r="H806"/>
  <c r="G806"/>
  <c r="F806"/>
  <c r="E806"/>
  <c r="G805"/>
  <c r="F805"/>
  <c r="E805"/>
  <c r="J804"/>
  <c r="I804"/>
  <c r="H804"/>
  <c r="G804"/>
  <c r="F804"/>
  <c r="E804"/>
  <c r="G803"/>
  <c r="F803"/>
  <c r="E803"/>
  <c r="J802"/>
  <c r="I802"/>
  <c r="H802"/>
  <c r="G802"/>
  <c r="F802"/>
  <c r="E802"/>
  <c r="J801"/>
  <c r="I801"/>
  <c r="H801"/>
  <c r="G801"/>
  <c r="F801"/>
  <c r="E801"/>
  <c r="G800"/>
  <c r="F800"/>
  <c r="E800"/>
  <c r="J799"/>
  <c r="I799"/>
  <c r="H799"/>
  <c r="G799"/>
  <c r="F799"/>
  <c r="E799"/>
  <c r="J798"/>
  <c r="I798"/>
  <c r="H798"/>
  <c r="G798"/>
  <c r="F798"/>
  <c r="E798"/>
  <c r="J797"/>
  <c r="I797"/>
  <c r="H797"/>
  <c r="G797"/>
  <c r="F797"/>
  <c r="E797"/>
  <c r="H796"/>
  <c r="G796"/>
  <c r="F796"/>
  <c r="E796"/>
  <c r="G795"/>
  <c r="F795"/>
  <c r="E795"/>
  <c r="J794"/>
  <c r="I794"/>
  <c r="H794"/>
  <c r="G794"/>
  <c r="F794"/>
  <c r="E794"/>
  <c r="H793"/>
  <c r="G793"/>
  <c r="F793"/>
  <c r="E793"/>
  <c r="J792"/>
  <c r="I792"/>
  <c r="H792"/>
  <c r="G792"/>
  <c r="F792"/>
  <c r="E792"/>
  <c r="J791"/>
  <c r="I791"/>
  <c r="H791"/>
  <c r="G791"/>
  <c r="F791"/>
  <c r="E791"/>
  <c r="J790"/>
  <c r="I790"/>
  <c r="H790"/>
  <c r="G790"/>
  <c r="F790"/>
  <c r="E790"/>
  <c r="J789"/>
  <c r="I789"/>
  <c r="H789"/>
  <c r="G789"/>
  <c r="F789"/>
  <c r="E789"/>
  <c r="J788"/>
  <c r="I788"/>
  <c r="H788"/>
  <c r="G788"/>
  <c r="F788"/>
  <c r="E788"/>
  <c r="J787"/>
  <c r="I787"/>
  <c r="H787"/>
  <c r="G787"/>
  <c r="F787"/>
  <c r="E787"/>
  <c r="G786"/>
  <c r="F786"/>
  <c r="E786"/>
  <c r="J785"/>
  <c r="I785"/>
  <c r="H785"/>
  <c r="G785"/>
  <c r="F785"/>
  <c r="E785"/>
  <c r="J784"/>
  <c r="I784"/>
  <c r="H784"/>
  <c r="G784"/>
  <c r="F784"/>
  <c r="E784"/>
  <c r="J783"/>
  <c r="I783"/>
  <c r="H783"/>
  <c r="G783"/>
  <c r="F783"/>
  <c r="E783"/>
  <c r="H782"/>
  <c r="G782"/>
  <c r="F782"/>
  <c r="E782"/>
  <c r="G781"/>
  <c r="F781"/>
  <c r="E781"/>
  <c r="J780"/>
  <c r="I780"/>
  <c r="H780"/>
  <c r="G780"/>
  <c r="F780"/>
  <c r="E780"/>
  <c r="G779"/>
  <c r="F779"/>
  <c r="E779"/>
  <c r="J778"/>
  <c r="I778"/>
  <c r="H778"/>
  <c r="G778"/>
  <c r="F778"/>
  <c r="E778"/>
  <c r="H777"/>
  <c r="G777"/>
  <c r="F777"/>
  <c r="E777"/>
  <c r="J776"/>
  <c r="I776"/>
  <c r="H776"/>
  <c r="G776"/>
  <c r="F776"/>
  <c r="E776"/>
  <c r="J775"/>
  <c r="I775"/>
  <c r="H775"/>
  <c r="G775"/>
  <c r="F775"/>
  <c r="E775"/>
  <c r="J774"/>
  <c r="I774"/>
  <c r="H774"/>
  <c r="G774"/>
  <c r="F774"/>
  <c r="E774"/>
  <c r="J773"/>
  <c r="I773"/>
  <c r="H773"/>
  <c r="G773"/>
  <c r="F773"/>
  <c r="E773"/>
  <c r="J772"/>
  <c r="I772"/>
  <c r="H772"/>
  <c r="G772"/>
  <c r="F772"/>
  <c r="E772"/>
  <c r="J771"/>
  <c r="I771"/>
  <c r="H771"/>
  <c r="G771"/>
  <c r="F771"/>
  <c r="E771"/>
  <c r="G770"/>
  <c r="F770"/>
  <c r="E770"/>
  <c r="J769"/>
  <c r="I769"/>
  <c r="H769"/>
  <c r="G769"/>
  <c r="F769"/>
  <c r="E769"/>
  <c r="H768"/>
  <c r="G768"/>
  <c r="F768"/>
  <c r="E768"/>
  <c r="H767"/>
  <c r="G767"/>
  <c r="F767"/>
  <c r="E767"/>
  <c r="G766"/>
  <c r="F766"/>
  <c r="E766"/>
  <c r="J765"/>
  <c r="I765"/>
  <c r="H765"/>
  <c r="G765"/>
  <c r="F765"/>
  <c r="E765"/>
  <c r="H764"/>
  <c r="G764"/>
  <c r="F764"/>
  <c r="E764"/>
  <c r="J763"/>
  <c r="I763"/>
  <c r="H763"/>
  <c r="G763"/>
  <c r="F763"/>
  <c r="E763"/>
  <c r="H762"/>
  <c r="G762"/>
  <c r="F762"/>
  <c r="E762"/>
  <c r="J761"/>
  <c r="I761"/>
  <c r="H761"/>
  <c r="G761"/>
  <c r="F761"/>
  <c r="E761"/>
  <c r="H760"/>
  <c r="G760"/>
  <c r="F760"/>
  <c r="E760"/>
  <c r="H759"/>
  <c r="G759"/>
  <c r="F759"/>
  <c r="E759"/>
  <c r="J758"/>
  <c r="I758"/>
  <c r="H758"/>
  <c r="G758"/>
  <c r="F758"/>
  <c r="E758"/>
  <c r="J757"/>
  <c r="I757"/>
  <c r="H757"/>
  <c r="G757"/>
  <c r="F757"/>
  <c r="E757"/>
  <c r="J756"/>
  <c r="I756"/>
  <c r="H756"/>
  <c r="G756"/>
  <c r="F756"/>
  <c r="E756"/>
  <c r="G755"/>
  <c r="F755"/>
  <c r="E755"/>
  <c r="J754"/>
  <c r="I754"/>
  <c r="H754"/>
  <c r="G754"/>
  <c r="F754"/>
  <c r="E754"/>
  <c r="H753"/>
  <c r="G753"/>
  <c r="F753"/>
  <c r="E753"/>
  <c r="G752"/>
  <c r="F752"/>
  <c r="E752"/>
  <c r="J751"/>
  <c r="I751"/>
  <c r="H751"/>
  <c r="G751"/>
  <c r="F751"/>
  <c r="E751"/>
  <c r="J750"/>
  <c r="I750"/>
  <c r="H750"/>
  <c r="G750"/>
  <c r="F750"/>
  <c r="E750"/>
  <c r="J749"/>
  <c r="I749"/>
  <c r="H749"/>
  <c r="G749"/>
  <c r="F749"/>
  <c r="E749"/>
  <c r="J748"/>
  <c r="I748"/>
  <c r="H748"/>
  <c r="G748"/>
  <c r="F748"/>
  <c r="E748"/>
  <c r="G747"/>
  <c r="F747"/>
  <c r="E747"/>
  <c r="J746"/>
  <c r="I746"/>
  <c r="H746"/>
  <c r="G746"/>
  <c r="F746"/>
  <c r="E746"/>
  <c r="G745"/>
  <c r="F745"/>
  <c r="E745"/>
  <c r="H744"/>
  <c r="G744"/>
  <c r="F744"/>
  <c r="E744"/>
  <c r="J743"/>
  <c r="I743"/>
  <c r="H743"/>
  <c r="G743"/>
  <c r="F743"/>
  <c r="E743"/>
  <c r="J742"/>
  <c r="I742"/>
  <c r="H742"/>
  <c r="G742"/>
  <c r="F742"/>
  <c r="E742"/>
  <c r="H741"/>
  <c r="G741"/>
  <c r="F741"/>
  <c r="E741"/>
  <c r="H740"/>
  <c r="G740"/>
  <c r="F740"/>
  <c r="E740"/>
  <c r="H739"/>
  <c r="G739"/>
  <c r="F739"/>
  <c r="E739"/>
  <c r="H738"/>
  <c r="G738"/>
  <c r="F738"/>
  <c r="E738"/>
  <c r="H737"/>
  <c r="G737"/>
  <c r="F737"/>
  <c r="E737"/>
  <c r="J736"/>
  <c r="I736"/>
  <c r="H736"/>
  <c r="G736"/>
  <c r="F736"/>
  <c r="E736"/>
  <c r="J735"/>
  <c r="I735"/>
  <c r="H735"/>
  <c r="G735"/>
  <c r="F735"/>
  <c r="E735"/>
  <c r="J734"/>
  <c r="I734"/>
  <c r="H734"/>
  <c r="G734"/>
  <c r="F734"/>
  <c r="E734"/>
  <c r="G733"/>
  <c r="F733"/>
  <c r="E733"/>
  <c r="J732"/>
  <c r="I732"/>
  <c r="H732"/>
  <c r="G732"/>
  <c r="F732"/>
  <c r="E732"/>
  <c r="J731"/>
  <c r="I731"/>
  <c r="H731"/>
  <c r="G731"/>
  <c r="F731"/>
  <c r="E731"/>
  <c r="G730"/>
  <c r="F730"/>
  <c r="E730"/>
  <c r="J729"/>
  <c r="I729"/>
  <c r="H729"/>
  <c r="G729"/>
  <c r="F729"/>
  <c r="E729"/>
  <c r="J728"/>
  <c r="I728"/>
  <c r="H728"/>
  <c r="G728"/>
  <c r="F728"/>
  <c r="E728"/>
  <c r="J727"/>
  <c r="I727"/>
  <c r="H727"/>
  <c r="G727"/>
  <c r="F727"/>
  <c r="E727"/>
  <c r="G726"/>
  <c r="F726"/>
  <c r="E726"/>
  <c r="J725"/>
  <c r="I725"/>
  <c r="H725"/>
  <c r="G725"/>
  <c r="F725"/>
  <c r="E725"/>
  <c r="J724"/>
  <c r="I724"/>
  <c r="H724"/>
  <c r="G724"/>
  <c r="F724"/>
  <c r="E724"/>
  <c r="G723"/>
  <c r="F723"/>
  <c r="E723"/>
  <c r="J722"/>
  <c r="I722"/>
  <c r="H722"/>
  <c r="G722"/>
  <c r="F722"/>
  <c r="E722"/>
  <c r="J721"/>
  <c r="I721"/>
  <c r="H721"/>
  <c r="G721"/>
  <c r="F721"/>
  <c r="E721"/>
  <c r="J720"/>
  <c r="I720"/>
  <c r="H720"/>
  <c r="G720"/>
  <c r="F720"/>
  <c r="E720"/>
  <c r="G719"/>
  <c r="F719"/>
  <c r="E719"/>
  <c r="J718"/>
  <c r="I718"/>
  <c r="H718"/>
  <c r="G718"/>
  <c r="F718"/>
  <c r="E718"/>
  <c r="J717"/>
  <c r="I717"/>
  <c r="H717"/>
  <c r="G717"/>
  <c r="F717"/>
  <c r="E717"/>
  <c r="J716"/>
  <c r="I716"/>
  <c r="H716"/>
  <c r="G716"/>
  <c r="F716"/>
  <c r="E716"/>
  <c r="J715"/>
  <c r="I715"/>
  <c r="H715"/>
  <c r="G715"/>
  <c r="F715"/>
  <c r="E715"/>
  <c r="G714"/>
  <c r="F714"/>
  <c r="E714"/>
  <c r="J713"/>
  <c r="I713"/>
  <c r="H713"/>
  <c r="G713"/>
  <c r="F713"/>
  <c r="E713"/>
  <c r="J712"/>
  <c r="I712"/>
  <c r="H712"/>
  <c r="G712"/>
  <c r="F712"/>
  <c r="E712"/>
  <c r="G711"/>
  <c r="F711"/>
  <c r="E711"/>
  <c r="J710"/>
  <c r="I710"/>
  <c r="H710"/>
  <c r="G710"/>
  <c r="F710"/>
  <c r="E710"/>
  <c r="G709"/>
  <c r="F709"/>
  <c r="E709"/>
  <c r="J708"/>
  <c r="I708"/>
  <c r="H708"/>
  <c r="G708"/>
  <c r="F708"/>
  <c r="E708"/>
  <c r="H707"/>
  <c r="G707"/>
  <c r="F707"/>
  <c r="E707"/>
  <c r="H706"/>
  <c r="G706"/>
  <c r="F706"/>
  <c r="E706"/>
  <c r="J705"/>
  <c r="I705"/>
  <c r="H705"/>
  <c r="G705"/>
  <c r="F705"/>
  <c r="E705"/>
  <c r="J704"/>
  <c r="I704"/>
  <c r="H704"/>
  <c r="G704"/>
  <c r="F704"/>
  <c r="E704"/>
  <c r="H703"/>
  <c r="G703"/>
  <c r="F703"/>
  <c r="E703"/>
  <c r="J702"/>
  <c r="I702"/>
  <c r="H702"/>
  <c r="G702"/>
  <c r="F702"/>
  <c r="E702"/>
  <c r="H701"/>
  <c r="G701"/>
  <c r="F701"/>
  <c r="E701"/>
  <c r="J700"/>
  <c r="I700"/>
  <c r="H700"/>
  <c r="G700"/>
  <c r="F700"/>
  <c r="E700"/>
  <c r="J699"/>
  <c r="I699"/>
  <c r="H699"/>
  <c r="G699"/>
  <c r="F699"/>
  <c r="E699"/>
  <c r="G698"/>
  <c r="F698"/>
  <c r="E698"/>
  <c r="J697"/>
  <c r="I697"/>
  <c r="H697"/>
  <c r="G697"/>
  <c r="F697"/>
  <c r="E697"/>
  <c r="J696"/>
  <c r="I696"/>
  <c r="H696"/>
  <c r="G696"/>
  <c r="F696"/>
  <c r="E696"/>
  <c r="J695"/>
  <c r="I695"/>
  <c r="H695"/>
  <c r="G695"/>
  <c r="F695"/>
  <c r="E695"/>
  <c r="J694"/>
  <c r="I694"/>
  <c r="H694"/>
  <c r="G694"/>
  <c r="F694"/>
  <c r="E694"/>
  <c r="H693"/>
  <c r="G693"/>
  <c r="F693"/>
  <c r="E693"/>
  <c r="H692"/>
  <c r="G692"/>
  <c r="F692"/>
  <c r="E692"/>
  <c r="H691"/>
  <c r="G691"/>
  <c r="F691"/>
  <c r="E691"/>
  <c r="J690"/>
  <c r="I690"/>
  <c r="H690"/>
  <c r="G690"/>
  <c r="F690"/>
  <c r="E690"/>
  <c r="J689"/>
  <c r="I689"/>
  <c r="H689"/>
  <c r="G689"/>
  <c r="F689"/>
  <c r="E689"/>
  <c r="G688"/>
  <c r="F688"/>
  <c r="E688"/>
  <c r="H687"/>
  <c r="G687"/>
  <c r="F687"/>
  <c r="E687"/>
  <c r="G686"/>
  <c r="F686"/>
  <c r="E686"/>
  <c r="J685"/>
  <c r="I685"/>
  <c r="H685"/>
  <c r="G685"/>
  <c r="F685"/>
  <c r="E685"/>
  <c r="J684"/>
  <c r="I684"/>
  <c r="H684"/>
  <c r="G684"/>
  <c r="F684"/>
  <c r="E684"/>
  <c r="J683"/>
  <c r="I683"/>
  <c r="H683"/>
  <c r="G683"/>
  <c r="F683"/>
  <c r="E683"/>
  <c r="H682"/>
  <c r="G682"/>
  <c r="F682"/>
  <c r="E682"/>
  <c r="J681"/>
  <c r="I681"/>
  <c r="H681"/>
  <c r="G681"/>
  <c r="F681"/>
  <c r="E681"/>
  <c r="G680"/>
  <c r="F680"/>
  <c r="E680"/>
  <c r="J679"/>
  <c r="I679"/>
  <c r="H679"/>
  <c r="G679"/>
  <c r="F679"/>
  <c r="E679"/>
  <c r="J678"/>
  <c r="I678"/>
  <c r="H678"/>
  <c r="G678"/>
  <c r="F678"/>
  <c r="E678"/>
  <c r="J677"/>
  <c r="I677"/>
  <c r="H677"/>
  <c r="G677"/>
  <c r="F677"/>
  <c r="E677"/>
  <c r="J676"/>
  <c r="I676"/>
  <c r="H676"/>
  <c r="G676"/>
  <c r="F676"/>
  <c r="E676"/>
  <c r="J675"/>
  <c r="I675"/>
  <c r="H675"/>
  <c r="G675"/>
  <c r="F675"/>
  <c r="E675"/>
  <c r="H674"/>
  <c r="G674"/>
  <c r="F674"/>
  <c r="E674"/>
  <c r="J673"/>
  <c r="I673"/>
  <c r="H673"/>
  <c r="G673"/>
  <c r="F673"/>
  <c r="E673"/>
  <c r="H672"/>
  <c r="G672"/>
  <c r="F672"/>
  <c r="E672"/>
  <c r="J671"/>
  <c r="I671"/>
  <c r="H671"/>
  <c r="G671"/>
  <c r="F671"/>
  <c r="E671"/>
  <c r="G670"/>
  <c r="F670"/>
  <c r="E670"/>
  <c r="G669"/>
  <c r="F669"/>
  <c r="E669"/>
  <c r="G668"/>
  <c r="F668"/>
  <c r="E668"/>
  <c r="H667"/>
  <c r="G667"/>
  <c r="F667"/>
  <c r="E667"/>
  <c r="H666"/>
  <c r="G666"/>
  <c r="F666"/>
  <c r="E666"/>
  <c r="J665"/>
  <c r="I665"/>
  <c r="H665"/>
  <c r="G665"/>
  <c r="F665"/>
  <c r="E665"/>
  <c r="J664"/>
  <c r="I664"/>
  <c r="H664"/>
  <c r="G664"/>
  <c r="F664"/>
  <c r="E664"/>
  <c r="J663"/>
  <c r="I663"/>
  <c r="H663"/>
  <c r="G663"/>
  <c r="F663"/>
  <c r="E663"/>
  <c r="G662"/>
  <c r="F662"/>
  <c r="E662"/>
  <c r="G661"/>
  <c r="F661"/>
  <c r="E661"/>
  <c r="J660"/>
  <c r="I660"/>
  <c r="H660"/>
  <c r="G660"/>
  <c r="F660"/>
  <c r="E660"/>
  <c r="H659"/>
  <c r="G659"/>
  <c r="F659"/>
  <c r="E659"/>
  <c r="H658"/>
  <c r="G658"/>
  <c r="F658"/>
  <c r="E658"/>
  <c r="H657"/>
  <c r="G657"/>
  <c r="F657"/>
  <c r="E657"/>
  <c r="H656"/>
  <c r="G656"/>
  <c r="F656"/>
  <c r="E656"/>
  <c r="J655"/>
  <c r="I655"/>
  <c r="H655"/>
  <c r="G655"/>
  <c r="F655"/>
  <c r="E655"/>
  <c r="H654"/>
  <c r="G654"/>
  <c r="F654"/>
  <c r="E654"/>
  <c r="J653"/>
  <c r="I653"/>
  <c r="H653"/>
  <c r="G653"/>
  <c r="F653"/>
  <c r="E653"/>
  <c r="G652"/>
  <c r="F652"/>
  <c r="E652"/>
  <c r="H651"/>
  <c r="G651"/>
  <c r="F651"/>
  <c r="E651"/>
  <c r="J650"/>
  <c r="I650"/>
  <c r="H650"/>
  <c r="G650"/>
  <c r="F650"/>
  <c r="E650"/>
  <c r="G649"/>
  <c r="F649"/>
  <c r="E649"/>
  <c r="J648"/>
  <c r="I648"/>
  <c r="H648"/>
  <c r="G648"/>
  <c r="F648"/>
  <c r="E648"/>
  <c r="J647"/>
  <c r="I647"/>
  <c r="H647"/>
  <c r="G647"/>
  <c r="F647"/>
  <c r="E647"/>
  <c r="J646"/>
  <c r="I646"/>
  <c r="H646"/>
  <c r="G646"/>
  <c r="F646"/>
  <c r="E646"/>
  <c r="H645"/>
  <c r="G645"/>
  <c r="F645"/>
  <c r="E645"/>
  <c r="G644"/>
  <c r="F644"/>
  <c r="E644"/>
  <c r="J643"/>
  <c r="I643"/>
  <c r="H643"/>
  <c r="G643"/>
  <c r="F643"/>
  <c r="E643"/>
  <c r="J642"/>
  <c r="I642"/>
  <c r="H642"/>
  <c r="G642"/>
  <c r="F642"/>
  <c r="E642"/>
  <c r="J641"/>
  <c r="I641"/>
  <c r="H641"/>
  <c r="G641"/>
  <c r="F641"/>
  <c r="E641"/>
  <c r="H640"/>
  <c r="G640"/>
  <c r="F640"/>
  <c r="E640"/>
  <c r="J639"/>
  <c r="I639"/>
  <c r="H639"/>
  <c r="G639"/>
  <c r="F639"/>
  <c r="E639"/>
  <c r="H638"/>
  <c r="G638"/>
  <c r="F638"/>
  <c r="E638"/>
  <c r="J637"/>
  <c r="I637"/>
  <c r="H637"/>
  <c r="G637"/>
  <c r="F637"/>
  <c r="E637"/>
  <c r="G636"/>
  <c r="F636"/>
  <c r="E636"/>
  <c r="G635"/>
  <c r="F635"/>
  <c r="E635"/>
  <c r="J634"/>
  <c r="I634"/>
  <c r="H634"/>
  <c r="G634"/>
  <c r="F634"/>
  <c r="E634"/>
  <c r="J633"/>
  <c r="I633"/>
  <c r="H633"/>
  <c r="G633"/>
  <c r="F633"/>
  <c r="E633"/>
  <c r="J632"/>
  <c r="I632"/>
  <c r="H632"/>
  <c r="G632"/>
  <c r="F632"/>
  <c r="E632"/>
  <c r="J631"/>
  <c r="I631"/>
  <c r="H631"/>
  <c r="G631"/>
  <c r="F631"/>
  <c r="E631"/>
  <c r="H630"/>
  <c r="G630"/>
  <c r="F630"/>
  <c r="E630"/>
  <c r="G629"/>
  <c r="F629"/>
  <c r="E629"/>
  <c r="H628"/>
  <c r="G628"/>
  <c r="F628"/>
  <c r="E628"/>
  <c r="G627"/>
  <c r="F627"/>
  <c r="E627"/>
  <c r="H626"/>
  <c r="G626"/>
  <c r="F626"/>
  <c r="E626"/>
  <c r="G625"/>
  <c r="F625"/>
  <c r="E625"/>
  <c r="J624"/>
  <c r="I624"/>
  <c r="H624"/>
  <c r="G624"/>
  <c r="F624"/>
  <c r="E624"/>
  <c r="J623"/>
  <c r="I623"/>
  <c r="H623"/>
  <c r="G623"/>
  <c r="F623"/>
  <c r="E623"/>
  <c r="J622"/>
  <c r="I622"/>
  <c r="H622"/>
  <c r="G622"/>
  <c r="F622"/>
  <c r="E622"/>
  <c r="J621"/>
  <c r="I621"/>
  <c r="H621"/>
  <c r="G621"/>
  <c r="F621"/>
  <c r="E621"/>
  <c r="G620"/>
  <c r="F620"/>
  <c r="E620"/>
  <c r="H619"/>
  <c r="G619"/>
  <c r="F619"/>
  <c r="E619"/>
  <c r="G618"/>
  <c r="F618"/>
  <c r="E618"/>
  <c r="H617"/>
  <c r="G617"/>
  <c r="F617"/>
  <c r="E617"/>
  <c r="H616"/>
  <c r="G616"/>
  <c r="F616"/>
  <c r="E616"/>
  <c r="H615"/>
  <c r="G615"/>
  <c r="F615"/>
  <c r="E615"/>
  <c r="J614"/>
  <c r="I614"/>
  <c r="H614"/>
  <c r="G614"/>
  <c r="F614"/>
  <c r="E614"/>
  <c r="J613"/>
  <c r="I613"/>
  <c r="H613"/>
  <c r="G613"/>
  <c r="F613"/>
  <c r="E613"/>
  <c r="J612"/>
  <c r="I612"/>
  <c r="H612"/>
  <c r="G612"/>
  <c r="F612"/>
  <c r="E612"/>
  <c r="J611"/>
  <c r="I611"/>
  <c r="H611"/>
  <c r="G611"/>
  <c r="F611"/>
  <c r="E611"/>
  <c r="J610"/>
  <c r="I610"/>
  <c r="H610"/>
  <c r="G610"/>
  <c r="F610"/>
  <c r="E610"/>
  <c r="J609"/>
  <c r="I609"/>
  <c r="H609"/>
  <c r="G609"/>
  <c r="F609"/>
  <c r="E609"/>
  <c r="J608"/>
  <c r="I608"/>
  <c r="H608"/>
  <c r="G608"/>
  <c r="F608"/>
  <c r="E608"/>
  <c r="J607"/>
  <c r="I607"/>
  <c r="H607"/>
  <c r="G607"/>
  <c r="F607"/>
  <c r="E607"/>
  <c r="G606"/>
  <c r="F606"/>
  <c r="E606"/>
  <c r="J605"/>
  <c r="I605"/>
  <c r="H605"/>
  <c r="G605"/>
  <c r="F605"/>
  <c r="E605"/>
  <c r="J604"/>
  <c r="I604"/>
  <c r="H604"/>
  <c r="G604"/>
  <c r="F604"/>
  <c r="E604"/>
  <c r="G603"/>
  <c r="F603"/>
  <c r="E603"/>
  <c r="H602"/>
  <c r="G602"/>
  <c r="F602"/>
  <c r="E602"/>
  <c r="G601"/>
  <c r="F601"/>
  <c r="E601"/>
  <c r="H600"/>
  <c r="G600"/>
  <c r="F600"/>
  <c r="E600"/>
  <c r="J599"/>
  <c r="I599"/>
  <c r="H599"/>
  <c r="G599"/>
  <c r="F599"/>
  <c r="E599"/>
  <c r="J598"/>
  <c r="I598"/>
  <c r="H598"/>
  <c r="G598"/>
  <c r="F598"/>
  <c r="E598"/>
  <c r="J597"/>
  <c r="I597"/>
  <c r="H597"/>
  <c r="G597"/>
  <c r="F597"/>
  <c r="E597"/>
  <c r="H596"/>
  <c r="G596"/>
  <c r="F596"/>
  <c r="E596"/>
  <c r="H595"/>
  <c r="G595"/>
  <c r="F595"/>
  <c r="E595"/>
  <c r="J594"/>
  <c r="I594"/>
  <c r="H594"/>
  <c r="G594"/>
  <c r="F594"/>
  <c r="E594"/>
  <c r="J593"/>
  <c r="I593"/>
  <c r="H593"/>
  <c r="G593"/>
  <c r="F593"/>
  <c r="E593"/>
  <c r="H592"/>
  <c r="G592"/>
  <c r="F592"/>
  <c r="E592"/>
  <c r="J591"/>
  <c r="I591"/>
  <c r="H591"/>
  <c r="G591"/>
  <c r="F591"/>
  <c r="E591"/>
  <c r="J590"/>
  <c r="I590"/>
  <c r="H590"/>
  <c r="G590"/>
  <c r="F590"/>
  <c r="E590"/>
  <c r="G589"/>
  <c r="F589"/>
  <c r="E589"/>
  <c r="H588"/>
  <c r="G588"/>
  <c r="F588"/>
  <c r="E588"/>
  <c r="J587"/>
  <c r="I587"/>
  <c r="H587"/>
  <c r="G587"/>
  <c r="F587"/>
  <c r="E587"/>
  <c r="J586"/>
  <c r="I586"/>
  <c r="H586"/>
  <c r="G586"/>
  <c r="F586"/>
  <c r="E586"/>
  <c r="J585"/>
  <c r="I585"/>
  <c r="H585"/>
  <c r="G585"/>
  <c r="F585"/>
  <c r="E585"/>
  <c r="J584"/>
  <c r="I584"/>
  <c r="H584"/>
  <c r="G584"/>
  <c r="F584"/>
  <c r="E584"/>
  <c r="G583"/>
  <c r="F583"/>
  <c r="E583"/>
  <c r="H582"/>
  <c r="G582"/>
  <c r="F582"/>
  <c r="E582"/>
  <c r="J581"/>
  <c r="I581"/>
  <c r="H581"/>
  <c r="G581"/>
  <c r="F581"/>
  <c r="E581"/>
  <c r="J580"/>
  <c r="I580"/>
  <c r="H580"/>
  <c r="G580"/>
  <c r="F580"/>
  <c r="E580"/>
  <c r="H579"/>
  <c r="G579"/>
  <c r="F579"/>
  <c r="E579"/>
  <c r="J578"/>
  <c r="I578"/>
  <c r="H578"/>
  <c r="G578"/>
  <c r="F578"/>
  <c r="E578"/>
  <c r="J577"/>
  <c r="I577"/>
  <c r="H577"/>
  <c r="G577"/>
  <c r="F577"/>
  <c r="E577"/>
  <c r="J576"/>
  <c r="I576"/>
  <c r="H576"/>
  <c r="G576"/>
  <c r="F576"/>
  <c r="E576"/>
  <c r="J575"/>
  <c r="I575"/>
  <c r="H575"/>
  <c r="G575"/>
  <c r="F575"/>
  <c r="E575"/>
  <c r="J574"/>
  <c r="I574"/>
  <c r="H574"/>
  <c r="G574"/>
  <c r="F574"/>
  <c r="E574"/>
  <c r="J573"/>
  <c r="I573"/>
  <c r="H573"/>
  <c r="G573"/>
  <c r="F573"/>
  <c r="E573"/>
  <c r="J572"/>
  <c r="I572"/>
  <c r="H572"/>
  <c r="G572"/>
  <c r="F572"/>
  <c r="E572"/>
  <c r="H571"/>
  <c r="G571"/>
  <c r="F571"/>
  <c r="E571"/>
  <c r="J570"/>
  <c r="I570"/>
  <c r="H570"/>
  <c r="G570"/>
  <c r="F570"/>
  <c r="E570"/>
  <c r="H569"/>
  <c r="G569"/>
  <c r="F569"/>
  <c r="E569"/>
  <c r="J568"/>
  <c r="I568"/>
  <c r="H568"/>
  <c r="G568"/>
  <c r="F568"/>
  <c r="E568"/>
  <c r="J567"/>
  <c r="I567"/>
  <c r="H567"/>
  <c r="G567"/>
  <c r="F567"/>
  <c r="E567"/>
  <c r="J566"/>
  <c r="I566"/>
  <c r="H566"/>
  <c r="G566"/>
  <c r="F566"/>
  <c r="E566"/>
  <c r="J565"/>
  <c r="I565"/>
  <c r="H565"/>
  <c r="G565"/>
  <c r="F565"/>
  <c r="E565"/>
  <c r="J564"/>
  <c r="I564"/>
  <c r="H564"/>
  <c r="G564"/>
  <c r="F564"/>
  <c r="E564"/>
  <c r="H563"/>
  <c r="G563"/>
  <c r="F563"/>
  <c r="E563"/>
  <c r="J562"/>
  <c r="I562"/>
  <c r="H562"/>
  <c r="G562"/>
  <c r="F562"/>
  <c r="E562"/>
  <c r="J561"/>
  <c r="I561"/>
  <c r="H561"/>
  <c r="G561"/>
  <c r="F561"/>
  <c r="E561"/>
  <c r="J560"/>
  <c r="I560"/>
  <c r="H560"/>
  <c r="G560"/>
  <c r="F560"/>
  <c r="E560"/>
  <c r="J559"/>
  <c r="I559"/>
  <c r="H559"/>
  <c r="G559"/>
  <c r="F559"/>
  <c r="E559"/>
  <c r="J558"/>
  <c r="I558"/>
  <c r="H558"/>
  <c r="G558"/>
  <c r="F558"/>
  <c r="E558"/>
  <c r="G557"/>
  <c r="F557"/>
  <c r="E557"/>
  <c r="J556"/>
  <c r="I556"/>
  <c r="H556"/>
  <c r="G556"/>
  <c r="F556"/>
  <c r="E556"/>
  <c r="G555"/>
  <c r="F555"/>
  <c r="E555"/>
  <c r="H554"/>
  <c r="G554"/>
  <c r="F554"/>
  <c r="E554"/>
  <c r="J553"/>
  <c r="I553"/>
  <c r="H553"/>
  <c r="G553"/>
  <c r="F553"/>
  <c r="E553"/>
  <c r="G552"/>
  <c r="F552"/>
  <c r="E552"/>
  <c r="J551"/>
  <c r="I551"/>
  <c r="H551"/>
  <c r="G551"/>
  <c r="F551"/>
  <c r="E551"/>
  <c r="J550"/>
  <c r="I550"/>
  <c r="H550"/>
  <c r="G550"/>
  <c r="F550"/>
  <c r="E550"/>
  <c r="H549"/>
  <c r="G549"/>
  <c r="F549"/>
  <c r="E549"/>
  <c r="J548"/>
  <c r="I548"/>
  <c r="H548"/>
  <c r="G548"/>
  <c r="F548"/>
  <c r="E548"/>
  <c r="J547"/>
  <c r="I547"/>
  <c r="H547"/>
  <c r="G547"/>
  <c r="F547"/>
  <c r="E547"/>
  <c r="G546"/>
  <c r="F546"/>
  <c r="E546"/>
  <c r="G545"/>
  <c r="F545"/>
  <c r="E545"/>
  <c r="G544"/>
  <c r="F544"/>
  <c r="E544"/>
  <c r="H543"/>
  <c r="G543"/>
  <c r="F543"/>
  <c r="E543"/>
  <c r="J542"/>
  <c r="I542"/>
  <c r="H542"/>
  <c r="G542"/>
  <c r="F542"/>
  <c r="E542"/>
  <c r="J541"/>
  <c r="I541"/>
  <c r="H541"/>
  <c r="G541"/>
  <c r="F541"/>
  <c r="E541"/>
  <c r="H540"/>
  <c r="G540"/>
  <c r="F540"/>
  <c r="E540"/>
  <c r="G539"/>
  <c r="F539"/>
  <c r="E539"/>
  <c r="J538"/>
  <c r="I538"/>
  <c r="H538"/>
  <c r="G538"/>
  <c r="F538"/>
  <c r="E538"/>
  <c r="J537"/>
  <c r="I537"/>
  <c r="H537"/>
  <c r="G537"/>
  <c r="F537"/>
  <c r="E537"/>
  <c r="J536"/>
  <c r="I536"/>
  <c r="H536"/>
  <c r="G536"/>
  <c r="F536"/>
  <c r="E536"/>
  <c r="H535"/>
  <c r="G535"/>
  <c r="F535"/>
  <c r="E535"/>
  <c r="G534"/>
  <c r="F534"/>
  <c r="E534"/>
  <c r="J533"/>
  <c r="I533"/>
  <c r="H533"/>
  <c r="G533"/>
  <c r="F533"/>
  <c r="E533"/>
  <c r="J532"/>
  <c r="I532"/>
  <c r="H532"/>
  <c r="G532"/>
  <c r="F532"/>
  <c r="E532"/>
  <c r="J531"/>
  <c r="I531"/>
  <c r="H531"/>
  <c r="G531"/>
  <c r="F531"/>
  <c r="E531"/>
  <c r="H530"/>
  <c r="G530"/>
  <c r="F530"/>
  <c r="E530"/>
  <c r="J529"/>
  <c r="I529"/>
  <c r="H529"/>
  <c r="G529"/>
  <c r="F529"/>
  <c r="E529"/>
  <c r="J528"/>
  <c r="I528"/>
  <c r="H528"/>
  <c r="G528"/>
  <c r="F528"/>
  <c r="E528"/>
  <c r="H527"/>
  <c r="G527"/>
  <c r="F527"/>
  <c r="E527"/>
  <c r="J526"/>
  <c r="I526"/>
  <c r="H526"/>
  <c r="G526"/>
  <c r="F526"/>
  <c r="E526"/>
  <c r="G525"/>
  <c r="F525"/>
  <c r="E525"/>
  <c r="G524"/>
  <c r="F524"/>
  <c r="E524"/>
  <c r="J523"/>
  <c r="I523"/>
  <c r="H523"/>
  <c r="G523"/>
  <c r="F523"/>
  <c r="E523"/>
  <c r="H522"/>
  <c r="G522"/>
  <c r="F522"/>
  <c r="E522"/>
  <c r="J521"/>
  <c r="I521"/>
  <c r="H521"/>
  <c r="G521"/>
  <c r="F521"/>
  <c r="E521"/>
  <c r="J520"/>
  <c r="I520"/>
  <c r="H520"/>
  <c r="G520"/>
  <c r="F520"/>
  <c r="E520"/>
  <c r="H519"/>
  <c r="G519"/>
  <c r="F519"/>
  <c r="E519"/>
  <c r="J518"/>
  <c r="I518"/>
  <c r="H518"/>
  <c r="G518"/>
  <c r="F518"/>
  <c r="E518"/>
  <c r="H517"/>
  <c r="G517"/>
  <c r="F517"/>
  <c r="E517"/>
  <c r="J516"/>
  <c r="I516"/>
  <c r="H516"/>
  <c r="G516"/>
  <c r="F516"/>
  <c r="E516"/>
  <c r="J515"/>
  <c r="I515"/>
  <c r="H515"/>
  <c r="G515"/>
  <c r="F515"/>
  <c r="E515"/>
  <c r="G514"/>
  <c r="F514"/>
  <c r="E514"/>
  <c r="J513"/>
  <c r="I513"/>
  <c r="H513"/>
  <c r="G513"/>
  <c r="F513"/>
  <c r="E513"/>
  <c r="J512"/>
  <c r="I512"/>
  <c r="H512"/>
  <c r="G512"/>
  <c r="F512"/>
  <c r="E512"/>
  <c r="J511"/>
  <c r="I511"/>
  <c r="H511"/>
  <c r="G511"/>
  <c r="F511"/>
  <c r="E511"/>
  <c r="J510"/>
  <c r="I510"/>
  <c r="H510"/>
  <c r="G510"/>
  <c r="F510"/>
  <c r="E510"/>
  <c r="J509"/>
  <c r="I509"/>
  <c r="H509"/>
  <c r="G509"/>
  <c r="F509"/>
  <c r="E509"/>
  <c r="J508"/>
  <c r="I508"/>
  <c r="H508"/>
  <c r="G508"/>
  <c r="F508"/>
  <c r="E508"/>
  <c r="J507"/>
  <c r="I507"/>
  <c r="H507"/>
  <c r="G507"/>
  <c r="F507"/>
  <c r="E507"/>
  <c r="J506"/>
  <c r="I506"/>
  <c r="H506"/>
  <c r="G506"/>
  <c r="F506"/>
  <c r="E506"/>
  <c r="H505"/>
  <c r="G505"/>
  <c r="F505"/>
  <c r="E505"/>
  <c r="G504"/>
  <c r="F504"/>
  <c r="E504"/>
  <c r="J503"/>
  <c r="I503"/>
  <c r="H503"/>
  <c r="G503"/>
  <c r="F503"/>
  <c r="E503"/>
  <c r="J502"/>
  <c r="I502"/>
  <c r="H502"/>
  <c r="G502"/>
  <c r="F502"/>
  <c r="E502"/>
  <c r="G501"/>
  <c r="F501"/>
  <c r="E501"/>
  <c r="H500"/>
  <c r="G500"/>
  <c r="F500"/>
  <c r="E500"/>
  <c r="J499"/>
  <c r="I499"/>
  <c r="H499"/>
  <c r="G499"/>
  <c r="F499"/>
  <c r="E499"/>
  <c r="J498"/>
  <c r="I498"/>
  <c r="H498"/>
  <c r="G498"/>
  <c r="F498"/>
  <c r="E498"/>
  <c r="J497"/>
  <c r="I497"/>
  <c r="H497"/>
  <c r="G497"/>
  <c r="F497"/>
  <c r="E497"/>
  <c r="J496"/>
  <c r="I496"/>
  <c r="H496"/>
  <c r="G496"/>
  <c r="F496"/>
  <c r="E496"/>
  <c r="H495"/>
  <c r="G495"/>
  <c r="F495"/>
  <c r="E495"/>
  <c r="H494"/>
  <c r="G494"/>
  <c r="F494"/>
  <c r="E494"/>
  <c r="J493"/>
  <c r="I493"/>
  <c r="H493"/>
  <c r="G493"/>
  <c r="F493"/>
  <c r="E493"/>
  <c r="J492"/>
  <c r="I492"/>
  <c r="H492"/>
  <c r="G492"/>
  <c r="F492"/>
  <c r="E492"/>
  <c r="H491"/>
  <c r="G491"/>
  <c r="F491"/>
  <c r="E491"/>
  <c r="J490"/>
  <c r="I490"/>
  <c r="H490"/>
  <c r="G490"/>
  <c r="F490"/>
  <c r="E490"/>
  <c r="J489"/>
  <c r="I489"/>
  <c r="H489"/>
  <c r="G489"/>
  <c r="F489"/>
  <c r="E489"/>
  <c r="J488"/>
  <c r="I488"/>
  <c r="H488"/>
  <c r="G488"/>
  <c r="F488"/>
  <c r="E488"/>
  <c r="H487"/>
  <c r="G487"/>
  <c r="F487"/>
  <c r="E487"/>
  <c r="J486"/>
  <c r="I486"/>
  <c r="H486"/>
  <c r="G486"/>
  <c r="F486"/>
  <c r="E486"/>
  <c r="G485"/>
  <c r="F485"/>
  <c r="E485"/>
  <c r="H484"/>
  <c r="G484"/>
  <c r="F484"/>
  <c r="E484"/>
  <c r="J483"/>
  <c r="I483"/>
  <c r="H483"/>
  <c r="G483"/>
  <c r="F483"/>
  <c r="E483"/>
  <c r="H482"/>
  <c r="G482"/>
  <c r="F482"/>
  <c r="E482"/>
  <c r="G481"/>
  <c r="F481"/>
  <c r="E481"/>
  <c r="J480"/>
  <c r="I480"/>
  <c r="H480"/>
  <c r="G480"/>
  <c r="F480"/>
  <c r="E480"/>
  <c r="J479"/>
  <c r="I479"/>
  <c r="H479"/>
  <c r="G479"/>
  <c r="F479"/>
  <c r="E479"/>
  <c r="H478"/>
  <c r="G478"/>
  <c r="F478"/>
  <c r="E478"/>
  <c r="J477"/>
  <c r="I477"/>
  <c r="H477"/>
  <c r="G477"/>
  <c r="F477"/>
  <c r="E477"/>
  <c r="G476"/>
  <c r="F476"/>
  <c r="E476"/>
  <c r="G475"/>
  <c r="F475"/>
  <c r="E475"/>
  <c r="G474"/>
  <c r="F474"/>
  <c r="E474"/>
  <c r="J473"/>
  <c r="I473"/>
  <c r="H473"/>
  <c r="G473"/>
  <c r="F473"/>
  <c r="E473"/>
  <c r="G472"/>
  <c r="F472"/>
  <c r="E472"/>
  <c r="J471"/>
  <c r="I471"/>
  <c r="H471"/>
  <c r="G471"/>
  <c r="F471"/>
  <c r="E471"/>
  <c r="J470"/>
  <c r="I470"/>
  <c r="H470"/>
  <c r="G470"/>
  <c r="F470"/>
  <c r="E470"/>
  <c r="J469"/>
  <c r="I469"/>
  <c r="H469"/>
  <c r="G469"/>
  <c r="F469"/>
  <c r="E469"/>
  <c r="J468"/>
  <c r="I468"/>
  <c r="H468"/>
  <c r="G468"/>
  <c r="F468"/>
  <c r="E468"/>
  <c r="J467"/>
  <c r="I467"/>
  <c r="H467"/>
  <c r="G467"/>
  <c r="F467"/>
  <c r="E467"/>
  <c r="J466"/>
  <c r="I466"/>
  <c r="H466"/>
  <c r="G466"/>
  <c r="F466"/>
  <c r="E466"/>
  <c r="J465"/>
  <c r="I465"/>
  <c r="H465"/>
  <c r="G465"/>
  <c r="F465"/>
  <c r="E465"/>
  <c r="J464"/>
  <c r="I464"/>
  <c r="H464"/>
  <c r="G464"/>
  <c r="F464"/>
  <c r="E464"/>
  <c r="J463"/>
  <c r="I463"/>
  <c r="H463"/>
  <c r="G463"/>
  <c r="F463"/>
  <c r="E463"/>
  <c r="J462"/>
  <c r="I462"/>
  <c r="H462"/>
  <c r="G462"/>
  <c r="F462"/>
  <c r="E462"/>
  <c r="J461"/>
  <c r="I461"/>
  <c r="H461"/>
  <c r="G461"/>
  <c r="F461"/>
  <c r="E461"/>
  <c r="J460"/>
  <c r="I460"/>
  <c r="H460"/>
  <c r="G460"/>
  <c r="F460"/>
  <c r="E460"/>
  <c r="J459"/>
  <c r="I459"/>
  <c r="H459"/>
  <c r="G459"/>
  <c r="F459"/>
  <c r="E459"/>
  <c r="J458"/>
  <c r="I458"/>
  <c r="H458"/>
  <c r="G458"/>
  <c r="F458"/>
  <c r="E458"/>
  <c r="H457"/>
  <c r="G457"/>
  <c r="F457"/>
  <c r="E457"/>
  <c r="J456"/>
  <c r="I456"/>
  <c r="H456"/>
  <c r="G456"/>
  <c r="F456"/>
  <c r="E456"/>
  <c r="G455"/>
  <c r="F455"/>
  <c r="E455"/>
  <c r="J454"/>
  <c r="I454"/>
  <c r="H454"/>
  <c r="G454"/>
  <c r="F454"/>
  <c r="E454"/>
  <c r="J453"/>
  <c r="I453"/>
  <c r="H453"/>
  <c r="G453"/>
  <c r="F453"/>
  <c r="E453"/>
  <c r="J452"/>
  <c r="I452"/>
  <c r="H452"/>
  <c r="G452"/>
  <c r="F452"/>
  <c r="E452"/>
  <c r="J451"/>
  <c r="I451"/>
  <c r="H451"/>
  <c r="G451"/>
  <c r="F451"/>
  <c r="E451"/>
  <c r="J450"/>
  <c r="I450"/>
  <c r="H450"/>
  <c r="G450"/>
  <c r="F450"/>
  <c r="E450"/>
  <c r="J449"/>
  <c r="I449"/>
  <c r="H449"/>
  <c r="G449"/>
  <c r="F449"/>
  <c r="E449"/>
  <c r="H448"/>
  <c r="G448"/>
  <c r="F448"/>
  <c r="E448"/>
  <c r="H447"/>
  <c r="G447"/>
  <c r="F447"/>
  <c r="E447"/>
  <c r="J446"/>
  <c r="I446"/>
  <c r="H446"/>
  <c r="G446"/>
  <c r="F446"/>
  <c r="E446"/>
  <c r="J445"/>
  <c r="I445"/>
  <c r="H445"/>
  <c r="G445"/>
  <c r="F445"/>
  <c r="E445"/>
  <c r="J444"/>
  <c r="I444"/>
  <c r="H444"/>
  <c r="G444"/>
  <c r="F444"/>
  <c r="E444"/>
  <c r="J443"/>
  <c r="I443"/>
  <c r="H443"/>
  <c r="G443"/>
  <c r="F443"/>
  <c r="E443"/>
  <c r="J442"/>
  <c r="I442"/>
  <c r="H442"/>
  <c r="G442"/>
  <c r="F442"/>
  <c r="E442"/>
  <c r="G441"/>
  <c r="F441"/>
  <c r="E441"/>
  <c r="J440"/>
  <c r="I440"/>
  <c r="H440"/>
  <c r="G440"/>
  <c r="F440"/>
  <c r="E440"/>
  <c r="J439"/>
  <c r="I439"/>
  <c r="H439"/>
  <c r="G439"/>
  <c r="F439"/>
  <c r="E439"/>
  <c r="J438"/>
  <c r="I438"/>
  <c r="H438"/>
  <c r="G438"/>
  <c r="F438"/>
  <c r="E438"/>
  <c r="H437"/>
  <c r="G437"/>
  <c r="F437"/>
  <c r="E437"/>
  <c r="G436"/>
  <c r="F436"/>
  <c r="E436"/>
  <c r="H435"/>
  <c r="G435"/>
  <c r="F435"/>
  <c r="E435"/>
  <c r="H434"/>
  <c r="G434"/>
  <c r="F434"/>
  <c r="E434"/>
  <c r="J433"/>
  <c r="I433"/>
  <c r="H433"/>
  <c r="G433"/>
  <c r="F433"/>
  <c r="E433"/>
  <c r="H432"/>
  <c r="G432"/>
  <c r="F432"/>
  <c r="E432"/>
  <c r="H431"/>
  <c r="G431"/>
  <c r="F431"/>
  <c r="E431"/>
  <c r="J430"/>
  <c r="I430"/>
  <c r="H430"/>
  <c r="G430"/>
  <c r="F430"/>
  <c r="E430"/>
  <c r="J429"/>
  <c r="I429"/>
  <c r="H429"/>
  <c r="G429"/>
  <c r="F429"/>
  <c r="E429"/>
  <c r="J428"/>
  <c r="I428"/>
  <c r="H428"/>
  <c r="G428"/>
  <c r="F428"/>
  <c r="E428"/>
  <c r="J427"/>
  <c r="I427"/>
  <c r="H427"/>
  <c r="G427"/>
  <c r="F427"/>
  <c r="E427"/>
  <c r="H426"/>
  <c r="G426"/>
  <c r="F426"/>
  <c r="E426"/>
  <c r="J425"/>
  <c r="I425"/>
  <c r="H425"/>
  <c r="G425"/>
  <c r="F425"/>
  <c r="E425"/>
  <c r="J424"/>
  <c r="I424"/>
  <c r="H424"/>
  <c r="G424"/>
  <c r="F424"/>
  <c r="E424"/>
  <c r="J423"/>
  <c r="I423"/>
  <c r="H423"/>
  <c r="G423"/>
  <c r="F423"/>
  <c r="E423"/>
  <c r="J422"/>
  <c r="I422"/>
  <c r="H422"/>
  <c r="G422"/>
  <c r="F422"/>
  <c r="E422"/>
  <c r="H421"/>
  <c r="G421"/>
  <c r="F421"/>
  <c r="E421"/>
  <c r="J420"/>
  <c r="I420"/>
  <c r="H420"/>
  <c r="G420"/>
  <c r="F420"/>
  <c r="E420"/>
  <c r="J419"/>
  <c r="I419"/>
  <c r="H419"/>
  <c r="G419"/>
  <c r="F419"/>
  <c r="E419"/>
  <c r="J418"/>
  <c r="I418"/>
  <c r="H418"/>
  <c r="G418"/>
  <c r="F418"/>
  <c r="E418"/>
  <c r="J417"/>
  <c r="I417"/>
  <c r="H417"/>
  <c r="G417"/>
  <c r="F417"/>
  <c r="E417"/>
  <c r="J416"/>
  <c r="I416"/>
  <c r="H416"/>
  <c r="G416"/>
  <c r="F416"/>
  <c r="E416"/>
  <c r="J415"/>
  <c r="I415"/>
  <c r="H415"/>
  <c r="G415"/>
  <c r="F415"/>
  <c r="E415"/>
  <c r="J414"/>
  <c r="I414"/>
  <c r="H414"/>
  <c r="G414"/>
  <c r="F414"/>
  <c r="E414"/>
  <c r="H413"/>
  <c r="G413"/>
  <c r="F413"/>
  <c r="E413"/>
  <c r="J412"/>
  <c r="I412"/>
  <c r="H412"/>
  <c r="G412"/>
  <c r="F412"/>
  <c r="E412"/>
  <c r="J411"/>
  <c r="I411"/>
  <c r="H411"/>
  <c r="G411"/>
  <c r="F411"/>
  <c r="E411"/>
  <c r="H410"/>
  <c r="G410"/>
  <c r="F410"/>
  <c r="E410"/>
  <c r="G409"/>
  <c r="F409"/>
  <c r="E409"/>
  <c r="J408"/>
  <c r="I408"/>
  <c r="H408"/>
  <c r="G408"/>
  <c r="F408"/>
  <c r="E408"/>
  <c r="J407"/>
  <c r="I407"/>
  <c r="H407"/>
  <c r="G407"/>
  <c r="F407"/>
  <c r="E407"/>
  <c r="J406"/>
  <c r="I406"/>
  <c r="H406"/>
  <c r="G406"/>
  <c r="F406"/>
  <c r="E406"/>
  <c r="J405"/>
  <c r="I405"/>
  <c r="H405"/>
  <c r="G405"/>
  <c r="F405"/>
  <c r="E405"/>
  <c r="J404"/>
  <c r="I404"/>
  <c r="H404"/>
  <c r="G404"/>
  <c r="F404"/>
  <c r="E404"/>
  <c r="H403"/>
  <c r="G403"/>
  <c r="F403"/>
  <c r="E403"/>
  <c r="J402"/>
  <c r="I402"/>
  <c r="H402"/>
  <c r="G402"/>
  <c r="F402"/>
  <c r="E402"/>
  <c r="H401"/>
  <c r="G401"/>
  <c r="F401"/>
  <c r="E401"/>
  <c r="J400"/>
  <c r="I400"/>
  <c r="H400"/>
  <c r="G400"/>
  <c r="F400"/>
  <c r="E400"/>
  <c r="G399"/>
  <c r="F399"/>
  <c r="E399"/>
  <c r="J398"/>
  <c r="I398"/>
  <c r="H398"/>
  <c r="G398"/>
  <c r="F398"/>
  <c r="E398"/>
  <c r="J397"/>
  <c r="I397"/>
  <c r="H397"/>
  <c r="G397"/>
  <c r="F397"/>
  <c r="E397"/>
  <c r="J396"/>
  <c r="I396"/>
  <c r="H396"/>
  <c r="G396"/>
  <c r="F396"/>
  <c r="E396"/>
  <c r="G395"/>
  <c r="F395"/>
  <c r="E395"/>
  <c r="J394"/>
  <c r="I394"/>
  <c r="H394"/>
  <c r="G394"/>
  <c r="F394"/>
  <c r="E394"/>
  <c r="J393"/>
  <c r="I393"/>
  <c r="H393"/>
  <c r="G393"/>
  <c r="F393"/>
  <c r="E393"/>
  <c r="G392"/>
  <c r="F392"/>
  <c r="E392"/>
  <c r="H391"/>
  <c r="G391"/>
  <c r="F391"/>
  <c r="E391"/>
  <c r="J390"/>
  <c r="I390"/>
  <c r="H390"/>
  <c r="G390"/>
  <c r="F390"/>
  <c r="E390"/>
  <c r="H389"/>
  <c r="G389"/>
  <c r="F389"/>
  <c r="E389"/>
  <c r="J388"/>
  <c r="I388"/>
  <c r="H388"/>
  <c r="G388"/>
  <c r="F388"/>
  <c r="E388"/>
  <c r="J387"/>
  <c r="I387"/>
  <c r="H387"/>
  <c r="G387"/>
  <c r="F387"/>
  <c r="E387"/>
  <c r="G386"/>
  <c r="F386"/>
  <c r="E386"/>
  <c r="J385"/>
  <c r="I385"/>
  <c r="H385"/>
  <c r="G385"/>
  <c r="F385"/>
  <c r="E385"/>
  <c r="J384"/>
  <c r="I384"/>
  <c r="H384"/>
  <c r="G384"/>
  <c r="F384"/>
  <c r="E384"/>
  <c r="J383"/>
  <c r="I383"/>
  <c r="H383"/>
  <c r="G383"/>
  <c r="F383"/>
  <c r="E383"/>
  <c r="G382"/>
  <c r="F382"/>
  <c r="E382"/>
  <c r="J381"/>
  <c r="I381"/>
  <c r="H381"/>
  <c r="G381"/>
  <c r="F381"/>
  <c r="E381"/>
  <c r="G380"/>
  <c r="F380"/>
  <c r="E380"/>
  <c r="J379"/>
  <c r="I379"/>
  <c r="H379"/>
  <c r="G379"/>
  <c r="F379"/>
  <c r="E379"/>
  <c r="J378"/>
  <c r="I378"/>
  <c r="H378"/>
  <c r="G378"/>
  <c r="F378"/>
  <c r="E378"/>
  <c r="J377"/>
  <c r="I377"/>
  <c r="H377"/>
  <c r="G377"/>
  <c r="F377"/>
  <c r="E377"/>
  <c r="J376"/>
  <c r="I376"/>
  <c r="H376"/>
  <c r="G376"/>
  <c r="F376"/>
  <c r="E376"/>
  <c r="G375"/>
  <c r="F375"/>
  <c r="E375"/>
  <c r="H374"/>
  <c r="G374"/>
  <c r="F374"/>
  <c r="E374"/>
  <c r="J373"/>
  <c r="I373"/>
  <c r="H373"/>
  <c r="G373"/>
  <c r="F373"/>
  <c r="E373"/>
  <c r="J372"/>
  <c r="I372"/>
  <c r="H372"/>
  <c r="G372"/>
  <c r="F372"/>
  <c r="E372"/>
  <c r="J371"/>
  <c r="I371"/>
  <c r="H371"/>
  <c r="G371"/>
  <c r="F371"/>
  <c r="E371"/>
  <c r="H370"/>
  <c r="G370"/>
  <c r="F370"/>
  <c r="E370"/>
  <c r="H369"/>
  <c r="G369"/>
  <c r="F369"/>
  <c r="E369"/>
  <c r="G368"/>
  <c r="F368"/>
  <c r="E368"/>
  <c r="J367"/>
  <c r="I367"/>
  <c r="H367"/>
  <c r="G367"/>
  <c r="F367"/>
  <c r="E367"/>
  <c r="J366"/>
  <c r="I366"/>
  <c r="H366"/>
  <c r="G366"/>
  <c r="F366"/>
  <c r="E366"/>
  <c r="G365"/>
  <c r="F365"/>
  <c r="E365"/>
  <c r="J364"/>
  <c r="I364"/>
  <c r="H364"/>
  <c r="G364"/>
  <c r="F364"/>
  <c r="E364"/>
  <c r="J363"/>
  <c r="I363"/>
  <c r="H363"/>
  <c r="G363"/>
  <c r="F363"/>
  <c r="E363"/>
  <c r="J362"/>
  <c r="I362"/>
  <c r="H362"/>
  <c r="G362"/>
  <c r="F362"/>
  <c r="E362"/>
  <c r="H361"/>
  <c r="G361"/>
  <c r="F361"/>
  <c r="E361"/>
  <c r="J360"/>
  <c r="I360"/>
  <c r="H360"/>
  <c r="G360"/>
  <c r="F360"/>
  <c r="E360"/>
  <c r="J359"/>
  <c r="I359"/>
  <c r="H359"/>
  <c r="G359"/>
  <c r="F359"/>
  <c r="E359"/>
  <c r="J358"/>
  <c r="I358"/>
  <c r="H358"/>
  <c r="G358"/>
  <c r="F358"/>
  <c r="E358"/>
  <c r="J357"/>
  <c r="I357"/>
  <c r="H357"/>
  <c r="G357"/>
  <c r="F357"/>
  <c r="E357"/>
  <c r="H356"/>
  <c r="G356"/>
  <c r="F356"/>
  <c r="E356"/>
  <c r="J355"/>
  <c r="I355"/>
  <c r="H355"/>
  <c r="G355"/>
  <c r="F355"/>
  <c r="E355"/>
  <c r="J354"/>
  <c r="I354"/>
  <c r="H354"/>
  <c r="G354"/>
  <c r="F354"/>
  <c r="E354"/>
  <c r="J353"/>
  <c r="I353"/>
  <c r="H353"/>
  <c r="G353"/>
  <c r="F353"/>
  <c r="E353"/>
  <c r="J352"/>
  <c r="I352"/>
  <c r="H352"/>
  <c r="G352"/>
  <c r="F352"/>
  <c r="E352"/>
  <c r="J351"/>
  <c r="I351"/>
  <c r="H351"/>
  <c r="G351"/>
  <c r="F351"/>
  <c r="E351"/>
  <c r="J350"/>
  <c r="I350"/>
  <c r="H350"/>
  <c r="G350"/>
  <c r="F350"/>
  <c r="E350"/>
  <c r="J349"/>
  <c r="I349"/>
  <c r="H349"/>
  <c r="G349"/>
  <c r="F349"/>
  <c r="E349"/>
  <c r="J348"/>
  <c r="I348"/>
  <c r="H348"/>
  <c r="G348"/>
  <c r="F348"/>
  <c r="E348"/>
  <c r="J347"/>
  <c r="I347"/>
  <c r="H347"/>
  <c r="G347"/>
  <c r="F347"/>
  <c r="E347"/>
  <c r="J346"/>
  <c r="I346"/>
  <c r="H346"/>
  <c r="G346"/>
  <c r="F346"/>
  <c r="E346"/>
  <c r="J345"/>
  <c r="I345"/>
  <c r="H345"/>
  <c r="G345"/>
  <c r="F345"/>
  <c r="E345"/>
  <c r="H344"/>
  <c r="G344"/>
  <c r="F344"/>
  <c r="E344"/>
  <c r="J343"/>
  <c r="I343"/>
  <c r="H343"/>
  <c r="G343"/>
  <c r="F343"/>
  <c r="E343"/>
  <c r="H342"/>
  <c r="G342"/>
  <c r="F342"/>
  <c r="E342"/>
  <c r="H341"/>
  <c r="G341"/>
  <c r="F341"/>
  <c r="E341"/>
  <c r="J340"/>
  <c r="I340"/>
  <c r="H340"/>
  <c r="G340"/>
  <c r="F340"/>
  <c r="E340"/>
  <c r="J339"/>
  <c r="I339"/>
  <c r="H339"/>
  <c r="G339"/>
  <c r="F339"/>
  <c r="E339"/>
  <c r="J338"/>
  <c r="I338"/>
  <c r="H338"/>
  <c r="G338"/>
  <c r="F338"/>
  <c r="E338"/>
  <c r="G337"/>
  <c r="F337"/>
  <c r="E337"/>
  <c r="J336"/>
  <c r="I336"/>
  <c r="H336"/>
  <c r="G336"/>
  <c r="F336"/>
  <c r="E336"/>
  <c r="J335"/>
  <c r="I335"/>
  <c r="H335"/>
  <c r="G335"/>
  <c r="F335"/>
  <c r="E335"/>
  <c r="J334"/>
  <c r="I334"/>
  <c r="H334"/>
  <c r="G334"/>
  <c r="F334"/>
  <c r="E334"/>
  <c r="H333"/>
  <c r="G333"/>
  <c r="F333"/>
  <c r="E333"/>
  <c r="J332"/>
  <c r="I332"/>
  <c r="H332"/>
  <c r="G332"/>
  <c r="F332"/>
  <c r="E332"/>
  <c r="J331"/>
  <c r="I331"/>
  <c r="H331"/>
  <c r="G331"/>
  <c r="F331"/>
  <c r="E331"/>
  <c r="J330"/>
  <c r="I330"/>
  <c r="H330"/>
  <c r="G330"/>
  <c r="F330"/>
  <c r="E330"/>
  <c r="H329"/>
  <c r="G329"/>
  <c r="F329"/>
  <c r="E329"/>
  <c r="J328"/>
  <c r="I328"/>
  <c r="H328"/>
  <c r="G328"/>
  <c r="F328"/>
  <c r="E328"/>
  <c r="J327"/>
  <c r="I327"/>
  <c r="H327"/>
  <c r="G327"/>
  <c r="F327"/>
  <c r="E327"/>
  <c r="J326"/>
  <c r="I326"/>
  <c r="H326"/>
  <c r="G326"/>
  <c r="F326"/>
  <c r="E326"/>
  <c r="H325"/>
  <c r="G325"/>
  <c r="F325"/>
  <c r="E325"/>
  <c r="H324"/>
  <c r="G324"/>
  <c r="F324"/>
  <c r="E324"/>
  <c r="J323"/>
  <c r="I323"/>
  <c r="H323"/>
  <c r="G323"/>
  <c r="F323"/>
  <c r="E323"/>
  <c r="J322"/>
  <c r="I322"/>
  <c r="H322"/>
  <c r="G322"/>
  <c r="F322"/>
  <c r="E322"/>
  <c r="J321"/>
  <c r="I321"/>
  <c r="H321"/>
  <c r="G321"/>
  <c r="F321"/>
  <c r="E321"/>
  <c r="J320"/>
  <c r="I320"/>
  <c r="H320"/>
  <c r="G320"/>
  <c r="F320"/>
  <c r="E320"/>
  <c r="J319"/>
  <c r="I319"/>
  <c r="H319"/>
  <c r="G319"/>
  <c r="F319"/>
  <c r="E319"/>
  <c r="J318"/>
  <c r="I318"/>
  <c r="H318"/>
  <c r="G318"/>
  <c r="F318"/>
  <c r="E318"/>
  <c r="J317"/>
  <c r="I317"/>
  <c r="H317"/>
  <c r="G317"/>
  <c r="F317"/>
  <c r="E317"/>
  <c r="J316"/>
  <c r="I316"/>
  <c r="H316"/>
  <c r="G316"/>
  <c r="F316"/>
  <c r="E316"/>
  <c r="J315"/>
  <c r="I315"/>
  <c r="H315"/>
  <c r="G315"/>
  <c r="F315"/>
  <c r="E315"/>
  <c r="J314"/>
  <c r="I314"/>
  <c r="H314"/>
  <c r="G314"/>
  <c r="F314"/>
  <c r="E314"/>
  <c r="H313"/>
  <c r="G313"/>
  <c r="F313"/>
  <c r="E313"/>
  <c r="J312"/>
  <c r="I312"/>
  <c r="H312"/>
  <c r="G312"/>
  <c r="F312"/>
  <c r="E312"/>
  <c r="J311"/>
  <c r="I311"/>
  <c r="H311"/>
  <c r="G311"/>
  <c r="F311"/>
  <c r="E311"/>
  <c r="J310"/>
  <c r="I310"/>
  <c r="H310"/>
  <c r="G310"/>
  <c r="F310"/>
  <c r="E310"/>
  <c r="J309"/>
  <c r="I309"/>
  <c r="H309"/>
  <c r="G309"/>
  <c r="F309"/>
  <c r="E309"/>
  <c r="J308"/>
  <c r="I308"/>
  <c r="H308"/>
  <c r="G308"/>
  <c r="F308"/>
  <c r="E308"/>
  <c r="J307"/>
  <c r="I307"/>
  <c r="H307"/>
  <c r="G307"/>
  <c r="F307"/>
  <c r="E307"/>
  <c r="J306"/>
  <c r="I306"/>
  <c r="H306"/>
  <c r="G306"/>
  <c r="F306"/>
  <c r="E306"/>
  <c r="J305"/>
  <c r="I305"/>
  <c r="H305"/>
  <c r="G305"/>
  <c r="F305"/>
  <c r="E305"/>
  <c r="J304"/>
  <c r="I304"/>
  <c r="H304"/>
  <c r="G304"/>
  <c r="F304"/>
  <c r="E304"/>
  <c r="J303"/>
  <c r="I303"/>
  <c r="H303"/>
  <c r="G303"/>
  <c r="F303"/>
  <c r="E303"/>
  <c r="J302"/>
  <c r="I302"/>
  <c r="H302"/>
  <c r="G302"/>
  <c r="F302"/>
  <c r="E302"/>
  <c r="G301"/>
  <c r="F301"/>
  <c r="E301"/>
  <c r="J300"/>
  <c r="I300"/>
  <c r="H300"/>
  <c r="G300"/>
  <c r="F300"/>
  <c r="E300"/>
  <c r="H299"/>
  <c r="G299"/>
  <c r="F299"/>
  <c r="E299"/>
  <c r="J298"/>
  <c r="I298"/>
  <c r="H298"/>
  <c r="G298"/>
  <c r="F298"/>
  <c r="E298"/>
  <c r="G297"/>
  <c r="F297"/>
  <c r="E297"/>
  <c r="J296"/>
  <c r="I296"/>
  <c r="H296"/>
  <c r="G296"/>
  <c r="F296"/>
  <c r="E296"/>
  <c r="J295"/>
  <c r="I295"/>
  <c r="H295"/>
  <c r="G295"/>
  <c r="F295"/>
  <c r="E295"/>
  <c r="J294"/>
  <c r="I294"/>
  <c r="H294"/>
  <c r="G294"/>
  <c r="F294"/>
  <c r="E294"/>
  <c r="J293"/>
  <c r="I293"/>
  <c r="H293"/>
  <c r="G293"/>
  <c r="F293"/>
  <c r="E293"/>
  <c r="J292"/>
  <c r="I292"/>
  <c r="H292"/>
  <c r="G292"/>
  <c r="F292"/>
  <c r="E292"/>
  <c r="J291"/>
  <c r="I291"/>
  <c r="H291"/>
  <c r="G291"/>
  <c r="F291"/>
  <c r="E291"/>
  <c r="J290"/>
  <c r="I290"/>
  <c r="H290"/>
  <c r="G290"/>
  <c r="F290"/>
  <c r="E290"/>
  <c r="H289"/>
  <c r="G289"/>
  <c r="F289"/>
  <c r="E289"/>
  <c r="J288"/>
  <c r="I288"/>
  <c r="H288"/>
  <c r="G288"/>
  <c r="F288"/>
  <c r="E288"/>
  <c r="H287"/>
  <c r="G287"/>
  <c r="F287"/>
  <c r="E287"/>
  <c r="H286"/>
  <c r="G286"/>
  <c r="F286"/>
  <c r="E286"/>
  <c r="J285"/>
  <c r="I285"/>
  <c r="H285"/>
  <c r="G285"/>
  <c r="F285"/>
  <c r="E285"/>
  <c r="J284"/>
  <c r="I284"/>
  <c r="H284"/>
  <c r="G284"/>
  <c r="F284"/>
  <c r="E284"/>
  <c r="J283"/>
  <c r="I283"/>
  <c r="H283"/>
  <c r="G283"/>
  <c r="F283"/>
  <c r="E283"/>
  <c r="J282"/>
  <c r="I282"/>
  <c r="H282"/>
  <c r="G282"/>
  <c r="F282"/>
  <c r="E282"/>
  <c r="J281"/>
  <c r="I281"/>
  <c r="H281"/>
  <c r="G281"/>
  <c r="F281"/>
  <c r="E281"/>
  <c r="J280"/>
  <c r="I280"/>
  <c r="H280"/>
  <c r="G280"/>
  <c r="F280"/>
  <c r="E280"/>
  <c r="J279"/>
  <c r="I279"/>
  <c r="H279"/>
  <c r="G279"/>
  <c r="F279"/>
  <c r="E279"/>
  <c r="G278"/>
  <c r="F278"/>
  <c r="E278"/>
  <c r="J277"/>
  <c r="I277"/>
  <c r="H277"/>
  <c r="G277"/>
  <c r="F277"/>
  <c r="E277"/>
  <c r="J276"/>
  <c r="I276"/>
  <c r="H276"/>
  <c r="G276"/>
  <c r="F276"/>
  <c r="E276"/>
  <c r="J275"/>
  <c r="I275"/>
  <c r="H275"/>
  <c r="G275"/>
  <c r="F275"/>
  <c r="E275"/>
  <c r="J274"/>
  <c r="I274"/>
  <c r="H274"/>
  <c r="G274"/>
  <c r="F274"/>
  <c r="E274"/>
  <c r="J273"/>
  <c r="I273"/>
  <c r="H273"/>
  <c r="G273"/>
  <c r="F273"/>
  <c r="E273"/>
  <c r="H272"/>
  <c r="G272"/>
  <c r="F272"/>
  <c r="E272"/>
  <c r="J271"/>
  <c r="I271"/>
  <c r="H271"/>
  <c r="G271"/>
  <c r="F271"/>
  <c r="E271"/>
  <c r="H270"/>
  <c r="G270"/>
  <c r="F270"/>
  <c r="E270"/>
  <c r="J269"/>
  <c r="I269"/>
  <c r="H269"/>
  <c r="G269"/>
  <c r="F269"/>
  <c r="E269"/>
  <c r="J268"/>
  <c r="I268"/>
  <c r="H268"/>
  <c r="G268"/>
  <c r="F268"/>
  <c r="E268"/>
  <c r="H267"/>
  <c r="G267"/>
  <c r="F267"/>
  <c r="E267"/>
  <c r="J266"/>
  <c r="I266"/>
  <c r="H266"/>
  <c r="G266"/>
  <c r="F266"/>
  <c r="E266"/>
  <c r="J265"/>
  <c r="I265"/>
  <c r="H265"/>
  <c r="G265"/>
  <c r="F265"/>
  <c r="E265"/>
  <c r="J264"/>
  <c r="I264"/>
  <c r="H264"/>
  <c r="G264"/>
  <c r="F264"/>
  <c r="E264"/>
  <c r="H263"/>
  <c r="G263"/>
  <c r="F263"/>
  <c r="E263"/>
  <c r="J262"/>
  <c r="I262"/>
  <c r="H262"/>
  <c r="G262"/>
  <c r="F262"/>
  <c r="E262"/>
  <c r="H261"/>
  <c r="G261"/>
  <c r="F261"/>
  <c r="E261"/>
  <c r="G260"/>
  <c r="F260"/>
  <c r="E260"/>
  <c r="J259"/>
  <c r="I259"/>
  <c r="H259"/>
  <c r="G259"/>
  <c r="F259"/>
  <c r="E259"/>
  <c r="J258"/>
  <c r="I258"/>
  <c r="H258"/>
  <c r="G258"/>
  <c r="F258"/>
  <c r="E258"/>
  <c r="J257"/>
  <c r="I257"/>
  <c r="H257"/>
  <c r="G257"/>
  <c r="F257"/>
  <c r="E257"/>
  <c r="H256"/>
  <c r="G256"/>
  <c r="F256"/>
  <c r="E256"/>
  <c r="J255"/>
  <c r="I255"/>
  <c r="H255"/>
  <c r="G255"/>
  <c r="F255"/>
  <c r="E255"/>
  <c r="J254"/>
  <c r="I254"/>
  <c r="H254"/>
  <c r="G254"/>
  <c r="F254"/>
  <c r="E254"/>
  <c r="H253"/>
  <c r="G253"/>
  <c r="F253"/>
  <c r="E253"/>
  <c r="J252"/>
  <c r="I252"/>
  <c r="H252"/>
  <c r="G252"/>
  <c r="F252"/>
  <c r="E252"/>
  <c r="J251"/>
  <c r="I251"/>
  <c r="H251"/>
  <c r="G251"/>
  <c r="F251"/>
  <c r="E251"/>
  <c r="J250"/>
  <c r="I250"/>
  <c r="H250"/>
  <c r="G250"/>
  <c r="F250"/>
  <c r="E250"/>
  <c r="J249"/>
  <c r="I249"/>
  <c r="H249"/>
  <c r="G249"/>
  <c r="F249"/>
  <c r="E249"/>
  <c r="J248"/>
  <c r="I248"/>
  <c r="H248"/>
  <c r="G248"/>
  <c r="F248"/>
  <c r="E248"/>
  <c r="J247"/>
  <c r="I247"/>
  <c r="H247"/>
  <c r="G247"/>
  <c r="F247"/>
  <c r="E247"/>
  <c r="J246"/>
  <c r="I246"/>
  <c r="H246"/>
  <c r="G246"/>
  <c r="F246"/>
  <c r="E246"/>
  <c r="J245"/>
  <c r="I245"/>
  <c r="H245"/>
  <c r="G245"/>
  <c r="F245"/>
  <c r="E245"/>
  <c r="J244"/>
  <c r="I244"/>
  <c r="H244"/>
  <c r="G244"/>
  <c r="F244"/>
  <c r="E244"/>
  <c r="J243"/>
  <c r="I243"/>
  <c r="H243"/>
  <c r="G243"/>
  <c r="F243"/>
  <c r="E243"/>
  <c r="H242"/>
  <c r="G242"/>
  <c r="F242"/>
  <c r="E242"/>
  <c r="J241"/>
  <c r="I241"/>
  <c r="H241"/>
  <c r="G241"/>
  <c r="F241"/>
  <c r="E241"/>
  <c r="J240"/>
  <c r="I240"/>
  <c r="H240"/>
  <c r="G240"/>
  <c r="F240"/>
  <c r="E240"/>
  <c r="J239"/>
  <c r="I239"/>
  <c r="H239"/>
  <c r="G239"/>
  <c r="F239"/>
  <c r="E239"/>
  <c r="J238"/>
  <c r="I238"/>
  <c r="H238"/>
  <c r="G238"/>
  <c r="F238"/>
  <c r="E238"/>
  <c r="J237"/>
  <c r="I237"/>
  <c r="H237"/>
  <c r="G237"/>
  <c r="F237"/>
  <c r="E237"/>
  <c r="J236"/>
  <c r="I236"/>
  <c r="H236"/>
  <c r="G236"/>
  <c r="F236"/>
  <c r="E236"/>
  <c r="H235"/>
  <c r="G235"/>
  <c r="F235"/>
  <c r="E235"/>
  <c r="G234"/>
  <c r="F234"/>
  <c r="E234"/>
  <c r="J233"/>
  <c r="I233"/>
  <c r="H233"/>
  <c r="G233"/>
  <c r="F233"/>
  <c r="E233"/>
  <c r="J232"/>
  <c r="I232"/>
  <c r="H232"/>
  <c r="G232"/>
  <c r="F232"/>
  <c r="E232"/>
  <c r="J231"/>
  <c r="I231"/>
  <c r="H231"/>
  <c r="G231"/>
  <c r="F231"/>
  <c r="E231"/>
  <c r="J230"/>
  <c r="I230"/>
  <c r="H230"/>
  <c r="G230"/>
  <c r="F230"/>
  <c r="E230"/>
  <c r="G229"/>
  <c r="F229"/>
  <c r="E229"/>
  <c r="H228"/>
  <c r="G228"/>
  <c r="F228"/>
  <c r="E228"/>
  <c r="J227"/>
  <c r="I227"/>
  <c r="H227"/>
  <c r="G227"/>
  <c r="F227"/>
  <c r="E227"/>
  <c r="J226"/>
  <c r="I226"/>
  <c r="H226"/>
  <c r="G226"/>
  <c r="F226"/>
  <c r="E226"/>
  <c r="J225"/>
  <c r="I225"/>
  <c r="H225"/>
  <c r="G225"/>
  <c r="F225"/>
  <c r="E225"/>
  <c r="H224"/>
  <c r="G224"/>
  <c r="F224"/>
  <c r="E224"/>
  <c r="J223"/>
  <c r="I223"/>
  <c r="H223"/>
  <c r="G223"/>
  <c r="F223"/>
  <c r="E223"/>
  <c r="J222"/>
  <c r="I222"/>
  <c r="H222"/>
  <c r="G222"/>
  <c r="F222"/>
  <c r="E222"/>
  <c r="H221"/>
  <c r="G221"/>
  <c r="F221"/>
  <c r="E221"/>
  <c r="H220"/>
  <c r="G220"/>
  <c r="F220"/>
  <c r="E220"/>
  <c r="H219"/>
  <c r="G219"/>
  <c r="F219"/>
  <c r="E219"/>
  <c r="H218"/>
  <c r="G218"/>
  <c r="F218"/>
  <c r="E218"/>
  <c r="H217"/>
  <c r="G217"/>
  <c r="F217"/>
  <c r="E217"/>
  <c r="J216"/>
  <c r="I216"/>
  <c r="H216"/>
  <c r="G216"/>
  <c r="F216"/>
  <c r="E216"/>
  <c r="J215"/>
  <c r="I215"/>
  <c r="H215"/>
  <c r="G215"/>
  <c r="F215"/>
  <c r="E215"/>
  <c r="J214"/>
  <c r="I214"/>
  <c r="H214"/>
  <c r="G214"/>
  <c r="F214"/>
  <c r="E214"/>
  <c r="J213"/>
  <c r="I213"/>
  <c r="H213"/>
  <c r="G213"/>
  <c r="F213"/>
  <c r="E213"/>
  <c r="J212"/>
  <c r="I212"/>
  <c r="H212"/>
  <c r="G212"/>
  <c r="F212"/>
  <c r="E212"/>
  <c r="H211"/>
  <c r="G211"/>
  <c r="F211"/>
  <c r="E211"/>
  <c r="J210"/>
  <c r="I210"/>
  <c r="H210"/>
  <c r="G210"/>
  <c r="F210"/>
  <c r="E210"/>
  <c r="H209"/>
  <c r="G209"/>
  <c r="F209"/>
  <c r="E209"/>
  <c r="H208"/>
  <c r="G208"/>
  <c r="F208"/>
  <c r="E208"/>
  <c r="J207"/>
  <c r="I207"/>
  <c r="H207"/>
  <c r="G207"/>
  <c r="F207"/>
  <c r="E207"/>
  <c r="H206"/>
  <c r="G206"/>
  <c r="F206"/>
  <c r="E206"/>
  <c r="H205"/>
  <c r="G205"/>
  <c r="F205"/>
  <c r="E205"/>
  <c r="J204"/>
  <c r="I204"/>
  <c r="H204"/>
  <c r="G204"/>
  <c r="F204"/>
  <c r="E204"/>
  <c r="H203"/>
  <c r="G203"/>
  <c r="F203"/>
  <c r="E203"/>
  <c r="J202"/>
  <c r="I202"/>
  <c r="H202"/>
  <c r="G202"/>
  <c r="F202"/>
  <c r="E202"/>
  <c r="H201"/>
  <c r="G201"/>
  <c r="F201"/>
  <c r="E201"/>
  <c r="H200"/>
  <c r="G200"/>
  <c r="F200"/>
  <c r="E200"/>
  <c r="H199"/>
  <c r="G199"/>
  <c r="F199"/>
  <c r="E199"/>
  <c r="J198"/>
  <c r="I198"/>
  <c r="H198"/>
  <c r="G198"/>
  <c r="F198"/>
  <c r="E198"/>
  <c r="H197"/>
  <c r="G197"/>
  <c r="F197"/>
  <c r="E197"/>
  <c r="J196"/>
  <c r="I196"/>
  <c r="H196"/>
  <c r="G196"/>
  <c r="F196"/>
  <c r="E196"/>
  <c r="H195"/>
  <c r="G195"/>
  <c r="F195"/>
  <c r="E195"/>
  <c r="J194"/>
  <c r="I194"/>
  <c r="H194"/>
  <c r="G194"/>
  <c r="F194"/>
  <c r="E194"/>
  <c r="J193"/>
  <c r="I193"/>
  <c r="H193"/>
  <c r="G193"/>
  <c r="F193"/>
  <c r="E193"/>
  <c r="J192"/>
  <c r="I192"/>
  <c r="H192"/>
  <c r="G192"/>
  <c r="F192"/>
  <c r="E192"/>
  <c r="J191"/>
  <c r="I191"/>
  <c r="H191"/>
  <c r="G191"/>
  <c r="F191"/>
  <c r="E191"/>
  <c r="H190"/>
  <c r="G190"/>
  <c r="F190"/>
  <c r="E190"/>
  <c r="G189"/>
  <c r="F189"/>
  <c r="E189"/>
  <c r="J188"/>
  <c r="I188"/>
  <c r="H188"/>
  <c r="G188"/>
  <c r="F188"/>
  <c r="E188"/>
  <c r="J187"/>
  <c r="I187"/>
  <c r="H187"/>
  <c r="G187"/>
  <c r="F187"/>
  <c r="E187"/>
  <c r="J186"/>
  <c r="I186"/>
  <c r="H186"/>
  <c r="G186"/>
  <c r="F186"/>
  <c r="E186"/>
  <c r="J185"/>
  <c r="I185"/>
  <c r="H185"/>
  <c r="G185"/>
  <c r="F185"/>
  <c r="E185"/>
  <c r="J184"/>
  <c r="I184"/>
  <c r="H184"/>
  <c r="G184"/>
  <c r="F184"/>
  <c r="E184"/>
  <c r="H183"/>
  <c r="G183"/>
  <c r="F183"/>
  <c r="E183"/>
  <c r="J182"/>
  <c r="I182"/>
  <c r="H182"/>
  <c r="G182"/>
  <c r="F182"/>
  <c r="E182"/>
  <c r="G181"/>
  <c r="F181"/>
  <c r="E181"/>
  <c r="H180"/>
  <c r="G180"/>
  <c r="F180"/>
  <c r="E180"/>
  <c r="H179"/>
  <c r="G179"/>
  <c r="F179"/>
  <c r="E179"/>
  <c r="H178"/>
  <c r="G178"/>
  <c r="F178"/>
  <c r="E178"/>
  <c r="H177"/>
  <c r="G177"/>
  <c r="F177"/>
  <c r="E177"/>
  <c r="H176"/>
  <c r="G176"/>
  <c r="F176"/>
  <c r="E176"/>
  <c r="J175"/>
  <c r="I175"/>
  <c r="H175"/>
  <c r="G175"/>
  <c r="F175"/>
  <c r="E175"/>
  <c r="H174"/>
  <c r="G174"/>
  <c r="F174"/>
  <c r="E174"/>
  <c r="J173"/>
  <c r="I173"/>
  <c r="H173"/>
  <c r="G173"/>
  <c r="F173"/>
  <c r="E173"/>
  <c r="J172"/>
  <c r="I172"/>
  <c r="H172"/>
  <c r="G172"/>
  <c r="F172"/>
  <c r="E172"/>
  <c r="J171"/>
  <c r="I171"/>
  <c r="H171"/>
  <c r="G171"/>
  <c r="F171"/>
  <c r="E171"/>
  <c r="H170"/>
  <c r="G170"/>
  <c r="F170"/>
  <c r="E170"/>
  <c r="H169"/>
  <c r="G169"/>
  <c r="F169"/>
  <c r="E169"/>
  <c r="H168"/>
  <c r="G168"/>
  <c r="F168"/>
  <c r="E168"/>
  <c r="J167"/>
  <c r="I167"/>
  <c r="H167"/>
  <c r="G167"/>
  <c r="F167"/>
  <c r="E167"/>
  <c r="J166"/>
  <c r="I166"/>
  <c r="H166"/>
  <c r="G166"/>
  <c r="F166"/>
  <c r="E166"/>
  <c r="J165"/>
  <c r="I165"/>
  <c r="H165"/>
  <c r="G165"/>
  <c r="F165"/>
  <c r="E165"/>
  <c r="H164"/>
  <c r="G164"/>
  <c r="F164"/>
  <c r="E164"/>
  <c r="G163"/>
  <c r="F163"/>
  <c r="E163"/>
  <c r="H162"/>
  <c r="G162"/>
  <c r="F162"/>
  <c r="E162"/>
  <c r="J161"/>
  <c r="I161"/>
  <c r="H161"/>
  <c r="G161"/>
  <c r="F161"/>
  <c r="E161"/>
  <c r="H160"/>
  <c r="G160"/>
  <c r="F160"/>
  <c r="E160"/>
  <c r="J159"/>
  <c r="I159"/>
  <c r="H159"/>
  <c r="G159"/>
  <c r="F159"/>
  <c r="E159"/>
  <c r="J158"/>
  <c r="I158"/>
  <c r="H158"/>
  <c r="G158"/>
  <c r="F158"/>
  <c r="E158"/>
  <c r="J157"/>
  <c r="I157"/>
  <c r="H157"/>
  <c r="G157"/>
  <c r="F157"/>
  <c r="E157"/>
  <c r="H156"/>
  <c r="G156"/>
  <c r="F156"/>
  <c r="E156"/>
  <c r="J155"/>
  <c r="I155"/>
  <c r="H155"/>
  <c r="G155"/>
  <c r="F155"/>
  <c r="E155"/>
  <c r="H154"/>
  <c r="G154"/>
  <c r="F154"/>
  <c r="E154"/>
  <c r="H153"/>
  <c r="G153"/>
  <c r="F153"/>
  <c r="E153"/>
  <c r="J152"/>
  <c r="I152"/>
  <c r="H152"/>
  <c r="G152"/>
  <c r="F152"/>
  <c r="E152"/>
  <c r="J151"/>
  <c r="I151"/>
  <c r="H151"/>
  <c r="G151"/>
  <c r="F151"/>
  <c r="E151"/>
  <c r="J150"/>
  <c r="I150"/>
  <c r="H150"/>
  <c r="G150"/>
  <c r="F150"/>
  <c r="E150"/>
  <c r="J149"/>
  <c r="I149"/>
  <c r="H149"/>
  <c r="G149"/>
  <c r="F149"/>
  <c r="E149"/>
  <c r="J148"/>
  <c r="I148"/>
  <c r="H148"/>
  <c r="G148"/>
  <c r="F148"/>
  <c r="E148"/>
  <c r="J147"/>
  <c r="I147"/>
  <c r="H147"/>
  <c r="G147"/>
  <c r="F147"/>
  <c r="E147"/>
  <c r="J146"/>
  <c r="I146"/>
  <c r="H146"/>
  <c r="G146"/>
  <c r="F146"/>
  <c r="E146"/>
  <c r="J145"/>
  <c r="I145"/>
  <c r="H145"/>
  <c r="G145"/>
  <c r="F145"/>
  <c r="E145"/>
  <c r="H144"/>
  <c r="G144"/>
  <c r="F144"/>
  <c r="E144"/>
  <c r="J143"/>
  <c r="I143"/>
  <c r="H143"/>
  <c r="G143"/>
  <c r="F143"/>
  <c r="E143"/>
  <c r="J142"/>
  <c r="I142"/>
  <c r="H142"/>
  <c r="G142"/>
  <c r="F142"/>
  <c r="E142"/>
  <c r="J141"/>
  <c r="I141"/>
  <c r="H141"/>
  <c r="G141"/>
  <c r="F141"/>
  <c r="E141"/>
  <c r="H140"/>
  <c r="G140"/>
  <c r="F140"/>
  <c r="E140"/>
  <c r="J139"/>
  <c r="I139"/>
  <c r="H139"/>
  <c r="G139"/>
  <c r="F139"/>
  <c r="E139"/>
  <c r="J138"/>
  <c r="I138"/>
  <c r="H138"/>
  <c r="G138"/>
  <c r="F138"/>
  <c r="E138"/>
  <c r="H137"/>
  <c r="G137"/>
  <c r="F137"/>
  <c r="E137"/>
  <c r="J136"/>
  <c r="I136"/>
  <c r="H136"/>
  <c r="G136"/>
  <c r="F136"/>
  <c r="E136"/>
  <c r="J135"/>
  <c r="I135"/>
  <c r="H135"/>
  <c r="G135"/>
  <c r="F135"/>
  <c r="E135"/>
  <c r="J134"/>
  <c r="I134"/>
  <c r="H134"/>
  <c r="G134"/>
  <c r="F134"/>
  <c r="E134"/>
  <c r="J133"/>
  <c r="I133"/>
  <c r="H133"/>
  <c r="G133"/>
  <c r="F133"/>
  <c r="E133"/>
  <c r="J132"/>
  <c r="I132"/>
  <c r="H132"/>
  <c r="G132"/>
  <c r="F132"/>
  <c r="E132"/>
  <c r="J131"/>
  <c r="I131"/>
  <c r="H131"/>
  <c r="G131"/>
  <c r="F131"/>
  <c r="E131"/>
  <c r="H130"/>
  <c r="G130"/>
  <c r="F130"/>
  <c r="E130"/>
  <c r="J129"/>
  <c r="I129"/>
  <c r="H129"/>
  <c r="G129"/>
  <c r="F129"/>
  <c r="E129"/>
  <c r="H128"/>
  <c r="G128"/>
  <c r="F128"/>
  <c r="E128"/>
  <c r="H127"/>
  <c r="G127"/>
  <c r="F127"/>
  <c r="E127"/>
  <c r="J126"/>
  <c r="I126"/>
  <c r="H126"/>
  <c r="G126"/>
  <c r="F126"/>
  <c r="E126"/>
  <c r="G125"/>
  <c r="F125"/>
  <c r="E125"/>
  <c r="H124"/>
  <c r="G124"/>
  <c r="F124"/>
  <c r="E124"/>
  <c r="J123"/>
  <c r="I123"/>
  <c r="H123"/>
  <c r="G123"/>
  <c r="F123"/>
  <c r="E123"/>
  <c r="H122"/>
  <c r="G122"/>
  <c r="F122"/>
  <c r="E122"/>
  <c r="H121"/>
  <c r="G121"/>
  <c r="F121"/>
  <c r="E121"/>
  <c r="J120"/>
  <c r="I120"/>
  <c r="H120"/>
  <c r="G120"/>
  <c r="F120"/>
  <c r="E120"/>
  <c r="J119"/>
  <c r="I119"/>
  <c r="H119"/>
  <c r="G119"/>
  <c r="F119"/>
  <c r="E119"/>
  <c r="J118"/>
  <c r="I118"/>
  <c r="H118"/>
  <c r="G118"/>
  <c r="F118"/>
  <c r="E118"/>
  <c r="J117"/>
  <c r="I117"/>
  <c r="H117"/>
  <c r="G117"/>
  <c r="F117"/>
  <c r="E117"/>
  <c r="J116"/>
  <c r="I116"/>
  <c r="H116"/>
  <c r="G116"/>
  <c r="F116"/>
  <c r="E116"/>
  <c r="J115"/>
  <c r="I115"/>
  <c r="H115"/>
  <c r="G115"/>
  <c r="F115"/>
  <c r="E115"/>
  <c r="H114"/>
  <c r="G114"/>
  <c r="F114"/>
  <c r="E114"/>
  <c r="J113"/>
  <c r="I113"/>
  <c r="H113"/>
  <c r="G113"/>
  <c r="F113"/>
  <c r="E113"/>
  <c r="J112"/>
  <c r="I112"/>
  <c r="H112"/>
  <c r="G112"/>
  <c r="F112"/>
  <c r="E112"/>
  <c r="J111"/>
  <c r="I111"/>
  <c r="H111"/>
  <c r="G111"/>
  <c r="F111"/>
  <c r="E111"/>
  <c r="J110"/>
  <c r="I110"/>
  <c r="H110"/>
  <c r="G110"/>
  <c r="F110"/>
  <c r="E110"/>
  <c r="H109"/>
  <c r="G109"/>
  <c r="F109"/>
  <c r="E109"/>
  <c r="J108"/>
  <c r="I108"/>
  <c r="H108"/>
  <c r="G108"/>
  <c r="F108"/>
  <c r="E108"/>
  <c r="J107"/>
  <c r="I107"/>
  <c r="H107"/>
  <c r="G107"/>
  <c r="F107"/>
  <c r="E107"/>
  <c r="H106"/>
  <c r="G106"/>
  <c r="F106"/>
  <c r="E106"/>
  <c r="J105"/>
  <c r="I105"/>
  <c r="H105"/>
  <c r="G105"/>
  <c r="F105"/>
  <c r="E105"/>
  <c r="J104"/>
  <c r="I104"/>
  <c r="H104"/>
  <c r="G104"/>
  <c r="F104"/>
  <c r="E104"/>
  <c r="H103"/>
  <c r="G103"/>
  <c r="F103"/>
  <c r="E103"/>
  <c r="J102"/>
  <c r="I102"/>
  <c r="H102"/>
  <c r="G102"/>
  <c r="F102"/>
  <c r="E102"/>
  <c r="J101"/>
  <c r="I101"/>
  <c r="H101"/>
  <c r="G101"/>
  <c r="F101"/>
  <c r="E101"/>
  <c r="J100"/>
  <c r="I100"/>
  <c r="H100"/>
  <c r="G100"/>
  <c r="F100"/>
  <c r="E100"/>
  <c r="H99"/>
  <c r="G99"/>
  <c r="F99"/>
  <c r="E99"/>
  <c r="J98"/>
  <c r="I98"/>
  <c r="H98"/>
  <c r="G98"/>
  <c r="F98"/>
  <c r="E98"/>
  <c r="J97"/>
  <c r="I97"/>
  <c r="H97"/>
  <c r="G97"/>
  <c r="F97"/>
  <c r="E97"/>
  <c r="J96"/>
  <c r="I96"/>
  <c r="H96"/>
  <c r="G96"/>
  <c r="F96"/>
  <c r="E96"/>
  <c r="J95"/>
  <c r="I95"/>
  <c r="H95"/>
  <c r="G95"/>
  <c r="F95"/>
  <c r="E95"/>
  <c r="J94"/>
  <c r="I94"/>
  <c r="H94"/>
  <c r="G94"/>
  <c r="F94"/>
  <c r="E94"/>
  <c r="J93"/>
  <c r="I93"/>
  <c r="H93"/>
  <c r="G93"/>
  <c r="F93"/>
  <c r="E93"/>
  <c r="H92"/>
  <c r="G92"/>
  <c r="F92"/>
  <c r="E92"/>
  <c r="J91"/>
  <c r="I91"/>
  <c r="H91"/>
  <c r="G91"/>
  <c r="F91"/>
  <c r="E91"/>
  <c r="J90"/>
  <c r="I90"/>
  <c r="H90"/>
  <c r="G90"/>
  <c r="F90"/>
  <c r="E90"/>
  <c r="J89"/>
  <c r="I89"/>
  <c r="H89"/>
  <c r="G89"/>
  <c r="F89"/>
  <c r="E89"/>
  <c r="J88"/>
  <c r="I88"/>
  <c r="H88"/>
  <c r="G88"/>
  <c r="F88"/>
  <c r="E88"/>
  <c r="J87"/>
  <c r="I87"/>
  <c r="H87"/>
  <c r="G87"/>
  <c r="F87"/>
  <c r="E87"/>
  <c r="J86"/>
  <c r="I86"/>
  <c r="H86"/>
  <c r="G86"/>
  <c r="F86"/>
  <c r="E86"/>
  <c r="J85"/>
  <c r="I85"/>
  <c r="H85"/>
  <c r="G85"/>
  <c r="F85"/>
  <c r="E85"/>
  <c r="J84"/>
  <c r="I84"/>
  <c r="H84"/>
  <c r="G84"/>
  <c r="F84"/>
  <c r="E84"/>
  <c r="J83"/>
  <c r="I83"/>
  <c r="H83"/>
  <c r="G83"/>
  <c r="F83"/>
  <c r="E83"/>
  <c r="J82"/>
  <c r="I82"/>
  <c r="H82"/>
  <c r="G82"/>
  <c r="F82"/>
  <c r="E82"/>
  <c r="H81"/>
  <c r="G81"/>
  <c r="F81"/>
  <c r="E81"/>
  <c r="H80"/>
  <c r="G80"/>
  <c r="F80"/>
  <c r="E80"/>
  <c r="H79"/>
  <c r="G79"/>
  <c r="F79"/>
  <c r="E79"/>
  <c r="J78"/>
  <c r="I78"/>
  <c r="H78"/>
  <c r="G78"/>
  <c r="F78"/>
  <c r="E78"/>
  <c r="J77"/>
  <c r="I77"/>
  <c r="H77"/>
  <c r="G77"/>
  <c r="F77"/>
  <c r="E77"/>
  <c r="J76"/>
  <c r="I76"/>
  <c r="H76"/>
  <c r="G76"/>
  <c r="F76"/>
  <c r="E76"/>
  <c r="H75"/>
  <c r="G75"/>
  <c r="F75"/>
  <c r="E75"/>
  <c r="J74"/>
  <c r="I74"/>
  <c r="H74"/>
  <c r="G74"/>
  <c r="F74"/>
  <c r="E74"/>
  <c r="J73"/>
  <c r="I73"/>
  <c r="H73"/>
  <c r="G73"/>
  <c r="F73"/>
  <c r="E73"/>
  <c r="H72"/>
  <c r="G72"/>
  <c r="F72"/>
  <c r="E72"/>
  <c r="J71"/>
  <c r="I71"/>
  <c r="H71"/>
  <c r="G71"/>
  <c r="F71"/>
  <c r="E71"/>
  <c r="J70"/>
  <c r="I70"/>
  <c r="H70"/>
  <c r="G70"/>
  <c r="F70"/>
  <c r="E70"/>
  <c r="J69"/>
  <c r="I69"/>
  <c r="H69"/>
  <c r="G69"/>
  <c r="F69"/>
  <c r="E69"/>
  <c r="J68"/>
  <c r="I68"/>
  <c r="H68"/>
  <c r="G68"/>
  <c r="F68"/>
  <c r="E68"/>
  <c r="J67"/>
  <c r="I67"/>
  <c r="H67"/>
  <c r="G67"/>
  <c r="F67"/>
  <c r="E67"/>
  <c r="J66"/>
  <c r="I66"/>
  <c r="H66"/>
  <c r="G66"/>
  <c r="F66"/>
  <c r="E66"/>
  <c r="H65"/>
  <c r="G65"/>
  <c r="F65"/>
  <c r="E65"/>
  <c r="J64"/>
  <c r="I64"/>
  <c r="H64"/>
  <c r="G64"/>
  <c r="F64"/>
  <c r="E64"/>
  <c r="H63"/>
  <c r="G63"/>
  <c r="F63"/>
  <c r="E63"/>
  <c r="J62"/>
  <c r="I62"/>
  <c r="H62"/>
  <c r="G62"/>
  <c r="F62"/>
  <c r="E62"/>
  <c r="J61"/>
  <c r="I61"/>
  <c r="H61"/>
  <c r="G61"/>
  <c r="F61"/>
  <c r="E61"/>
  <c r="H60"/>
  <c r="G60"/>
  <c r="F60"/>
  <c r="E60"/>
  <c r="J59"/>
  <c r="I59"/>
  <c r="H59"/>
  <c r="G59"/>
  <c r="F59"/>
  <c r="E59"/>
  <c r="J58"/>
  <c r="I58"/>
  <c r="H58"/>
  <c r="G58"/>
  <c r="F58"/>
  <c r="E58"/>
  <c r="J57"/>
  <c r="I57"/>
  <c r="H57"/>
  <c r="G57"/>
  <c r="F57"/>
  <c r="E57"/>
  <c r="H56"/>
  <c r="G56"/>
  <c r="F56"/>
  <c r="E56"/>
  <c r="J55"/>
  <c r="I55"/>
  <c r="H55"/>
  <c r="G55"/>
  <c r="F55"/>
  <c r="E55"/>
  <c r="J54"/>
  <c r="I54"/>
  <c r="H54"/>
  <c r="G54"/>
  <c r="F54"/>
  <c r="E54"/>
  <c r="J53"/>
  <c r="I53"/>
  <c r="H53"/>
  <c r="G53"/>
  <c r="F53"/>
  <c r="E53"/>
  <c r="J52"/>
  <c r="I52"/>
  <c r="H52"/>
  <c r="G52"/>
  <c r="F52"/>
  <c r="E52"/>
  <c r="J51"/>
  <c r="I51"/>
  <c r="H51"/>
  <c r="G51"/>
  <c r="F51"/>
  <c r="E51"/>
  <c r="J50"/>
  <c r="I50"/>
  <c r="H50"/>
  <c r="G50"/>
  <c r="F50"/>
  <c r="E50"/>
  <c r="H49"/>
  <c r="G49"/>
  <c r="F49"/>
  <c r="E49"/>
  <c r="J48"/>
  <c r="I48"/>
  <c r="H48"/>
  <c r="G48"/>
  <c r="F48"/>
  <c r="E48"/>
  <c r="J47"/>
  <c r="I47"/>
  <c r="H47"/>
  <c r="G47"/>
  <c r="F47"/>
  <c r="E47"/>
  <c r="J46"/>
  <c r="I46"/>
  <c r="H46"/>
  <c r="G46"/>
  <c r="F46"/>
  <c r="E46"/>
  <c r="J45"/>
  <c r="I45"/>
  <c r="H45"/>
  <c r="G45"/>
  <c r="F45"/>
  <c r="E45"/>
  <c r="J44"/>
  <c r="I44"/>
  <c r="H44"/>
  <c r="G44"/>
  <c r="F44"/>
  <c r="E44"/>
  <c r="J43"/>
  <c r="I43"/>
  <c r="H43"/>
  <c r="G43"/>
  <c r="F43"/>
  <c r="E43"/>
  <c r="J42"/>
  <c r="I42"/>
  <c r="H42"/>
  <c r="G42"/>
  <c r="F42"/>
  <c r="E42"/>
  <c r="J41"/>
  <c r="I41"/>
  <c r="H41"/>
  <c r="G41"/>
  <c r="F41"/>
  <c r="E41"/>
  <c r="J40"/>
  <c r="I40"/>
  <c r="H40"/>
  <c r="G40"/>
  <c r="F40"/>
  <c r="E40"/>
  <c r="J39"/>
  <c r="I39"/>
  <c r="H39"/>
  <c r="G39"/>
  <c r="F39"/>
  <c r="E39"/>
  <c r="J38"/>
  <c r="I38"/>
  <c r="H38"/>
  <c r="G38"/>
  <c r="F38"/>
  <c r="E38"/>
  <c r="J37"/>
  <c r="I37"/>
  <c r="H37"/>
  <c r="G37"/>
  <c r="F37"/>
  <c r="E37"/>
  <c r="H36"/>
  <c r="G36"/>
  <c r="F36"/>
  <c r="E36"/>
  <c r="J35"/>
  <c r="I35"/>
  <c r="H35"/>
  <c r="G35"/>
  <c r="F35"/>
  <c r="E35"/>
  <c r="J34"/>
  <c r="I34"/>
  <c r="H34"/>
  <c r="G34"/>
  <c r="F34"/>
  <c r="E34"/>
  <c r="J33"/>
  <c r="I33"/>
  <c r="H33"/>
  <c r="G33"/>
  <c r="F33"/>
  <c r="E33"/>
  <c r="J32"/>
  <c r="I32"/>
  <c r="H32"/>
  <c r="G32"/>
  <c r="F32"/>
  <c r="E32"/>
  <c r="J31"/>
  <c r="I31"/>
  <c r="H31"/>
  <c r="G31"/>
  <c r="F31"/>
  <c r="E31"/>
  <c r="H30"/>
  <c r="G30"/>
  <c r="F30"/>
  <c r="E30"/>
  <c r="J29"/>
  <c r="I29"/>
  <c r="H29"/>
  <c r="G29"/>
  <c r="F29"/>
  <c r="E29"/>
  <c r="J28"/>
  <c r="I28"/>
  <c r="H28"/>
  <c r="G28"/>
  <c r="F28"/>
  <c r="E28"/>
  <c r="J27"/>
  <c r="I27"/>
  <c r="H27"/>
  <c r="G27"/>
  <c r="F27"/>
  <c r="E27"/>
  <c r="J26"/>
  <c r="I26"/>
  <c r="H26"/>
  <c r="G26"/>
  <c r="F26"/>
  <c r="E26"/>
  <c r="H25"/>
  <c r="G25"/>
  <c r="F25"/>
  <c r="E25"/>
  <c r="J24"/>
  <c r="I24"/>
  <c r="H24"/>
  <c r="G24"/>
  <c r="F24"/>
  <c r="E24"/>
  <c r="J23"/>
  <c r="I23"/>
  <c r="H23"/>
  <c r="G23"/>
  <c r="F23"/>
  <c r="E23"/>
  <c r="H22"/>
  <c r="G22"/>
  <c r="F22"/>
  <c r="E22"/>
  <c r="J21"/>
  <c r="I21"/>
  <c r="H21"/>
  <c r="G21"/>
  <c r="F21"/>
  <c r="E21"/>
  <c r="J20"/>
  <c r="I20"/>
  <c r="H20"/>
  <c r="G20"/>
  <c r="F20"/>
  <c r="E20"/>
  <c r="J19"/>
  <c r="I19"/>
  <c r="H19"/>
  <c r="G19"/>
  <c r="F19"/>
  <c r="E19"/>
  <c r="J18"/>
  <c r="I18"/>
  <c r="H18"/>
  <c r="G18"/>
  <c r="F18"/>
  <c r="E18"/>
  <c r="J17"/>
  <c r="I17"/>
  <c r="H17"/>
  <c r="G17"/>
  <c r="F17"/>
  <c r="E17"/>
  <c r="J16"/>
  <c r="I16"/>
  <c r="H16"/>
  <c r="G16"/>
  <c r="F16"/>
  <c r="E16"/>
  <c r="J15"/>
  <c r="I15"/>
  <c r="H15"/>
  <c r="G15"/>
  <c r="F15"/>
  <c r="E15"/>
  <c r="J14"/>
  <c r="I14"/>
  <c r="H14"/>
  <c r="G14"/>
  <c r="F14"/>
  <c r="E14"/>
  <c r="J13"/>
  <c r="I13"/>
  <c r="H13"/>
  <c r="G13"/>
  <c r="F13"/>
  <c r="E13"/>
  <c r="J12"/>
  <c r="I12"/>
  <c r="H12"/>
  <c r="G12"/>
  <c r="F12"/>
  <c r="E12"/>
  <c r="J11"/>
  <c r="I11"/>
  <c r="H11"/>
  <c r="G11"/>
  <c r="F11"/>
  <c r="E11"/>
  <c r="H10"/>
  <c r="G10"/>
  <c r="F10"/>
  <c r="E10"/>
  <c r="H9"/>
  <c r="G9"/>
  <c r="F9"/>
  <c r="E9"/>
  <c r="J8"/>
  <c r="I8"/>
  <c r="H8"/>
  <c r="G8"/>
  <c r="F8"/>
  <c r="E8"/>
  <c r="J7"/>
  <c r="I7"/>
  <c r="H7"/>
  <c r="G7"/>
  <c r="F7"/>
  <c r="E7"/>
  <c r="H6"/>
  <c r="G6"/>
  <c r="F6"/>
  <c r="E6"/>
  <c r="H5"/>
  <c r="G5"/>
  <c r="F5"/>
  <c r="E5"/>
  <c r="J4"/>
  <c r="I4"/>
  <c r="H4"/>
  <c r="G4"/>
  <c r="F4"/>
  <c r="E4"/>
  <c r="J3"/>
  <c r="I3"/>
  <c r="H3"/>
  <c r="G3"/>
  <c r="F3"/>
  <c r="E3"/>
  <c r="J2"/>
  <c r="I2"/>
  <c r="H2"/>
  <c r="G2"/>
  <c r="F2"/>
  <c r="E2"/>
  <c r="K1"/>
  <c r="J1"/>
  <c r="I1"/>
  <c r="H1"/>
  <c r="G1"/>
  <c r="F1"/>
</calcChain>
</file>

<file path=xl/sharedStrings.xml><?xml version="1.0" encoding="utf-8"?>
<sst xmlns="http://schemas.openxmlformats.org/spreadsheetml/2006/main" count="412" uniqueCount="198">
  <si>
    <t>non-metastatic cells 7, protein expressed in (nucleoside-diphosphate kinase)</t>
  </si>
  <si>
    <t>mediator of RNA polymerase II transcription, subunit 6 homolog (yeast)</t>
  </si>
  <si>
    <t>solute carrier family 20, member 2</t>
  </si>
  <si>
    <t>solute carrier family 39 (zinc transporter), member 9</t>
  </si>
  <si>
    <t>phosphatidylinositol transfer protein, beta</t>
  </si>
  <si>
    <t>extracellular matrix protein 2, female organ and adipocyte specific</t>
  </si>
  <si>
    <t>RMI1, RecQ mediated genome instability 1, homolog (S. cerevisiae)</t>
  </si>
  <si>
    <t>splicing factor 3a, subunit 1</t>
  </si>
  <si>
    <t>PDS5, regulator of cohesion maintenance, homolog B (S. cerevisiae)</t>
  </si>
  <si>
    <t>general transcription factor IIIC, polypeptide 5</t>
  </si>
  <si>
    <t>protein kinase, AMP-activated, gamma 1 non-catalytic subunit</t>
  </si>
  <si>
    <t>non-SMC element 2 homolog (MMS21, S. cerevisiae)</t>
  </si>
  <si>
    <t>zinc finger, CCHC domain containing 17</t>
  </si>
  <si>
    <t>DNA segment, Chr 3, ERATO Doi 751, expressed</t>
  </si>
  <si>
    <t>sirtuin 1 (silent mating type information regulation 2, homolog) 1 (S. cerevisiae)</t>
  </si>
  <si>
    <t>UTP15, U3 small nucleolar ribonucleoprotein, homolog (yeast)</t>
  </si>
  <si>
    <t>TBC1 domain family, member 1</t>
  </si>
  <si>
    <t>proteasome (prosome, macropain) 26S subunit, non-ATPase, 2</t>
  </si>
  <si>
    <t>cleavage stimulation factor, 3' pre-RNA, subunit 1</t>
  </si>
  <si>
    <t>helicase, POLQ-like</t>
  </si>
  <si>
    <t>tyrosine 3-monooxygenase/tryptophan 5-monooxygenase activation protein, eta polypeptide</t>
  </si>
  <si>
    <t>mediator of RNA polymerase II transcription, subunit 18 homolog (yeast)</t>
  </si>
  <si>
    <t>4HAUS augmin-like complex, subunit 8</t>
  </si>
  <si>
    <t>meiosis-specific, MEI4 homolog (S. cerevisiae)</t>
  </si>
  <si>
    <t>THAP domain containing, apoptosis associated protein 2</t>
  </si>
  <si>
    <t>phosphatidylinositol glycan anchor biosynthesis, class A</t>
  </si>
  <si>
    <t>acid phosphatase 1, soluble</t>
  </si>
  <si>
    <t>leucyl-tRNA synthetase, mitochondrial</t>
  </si>
  <si>
    <t>transcription factor A, mitochondrial</t>
  </si>
  <si>
    <t>processing of precursor 4, ribonuclease P/MRP family, (S. cerevisiae)</t>
  </si>
  <si>
    <t>protein kinase, cAMP dependent, catalytic, alpha</t>
  </si>
  <si>
    <t>protein kinase C, iota</t>
  </si>
  <si>
    <t>protein phosphatase 6, catalytic subunit</t>
  </si>
  <si>
    <t>solute carrier family 31, member 1</t>
  </si>
  <si>
    <t>proteasome (prosome, macropain) 26S subunit, ATPase 3</t>
  </si>
  <si>
    <t>drosha, ribonuclease type III</t>
  </si>
  <si>
    <t>transcriptional regulator, SIN3A (yeast)</t>
  </si>
  <si>
    <t>ATP-binding cassette, sub-family B (MDR/TAP), member 7</t>
  </si>
  <si>
    <t>inner membrane protein, mitochondrial</t>
  </si>
  <si>
    <t>ELAV (embryonic lethal, abnormal vision, Drosophila)-like 1 (Hu antigen R)</t>
  </si>
  <si>
    <t>La ribonucleoprotein domain family, member 7</t>
  </si>
  <si>
    <t>TAF1 RNA polymerase II, TATA box binding protein (TBP)-associated factor</t>
  </si>
  <si>
    <t>galactosidase, alpha</t>
  </si>
  <si>
    <t>solute carrier family 29 (nucleoside transporters), member 1</t>
  </si>
  <si>
    <t>prenyl (solanesyl) diphosphate synthase, subunit 1</t>
  </si>
  <si>
    <t>origin recognition complex, subunit 1</t>
  </si>
  <si>
    <t>tubulin, delta 1</t>
  </si>
  <si>
    <t>general transcription factor II E, polypeptide 2 (beta subunit)</t>
  </si>
  <si>
    <t>protein phosphatase 1, catalytic subunit, gamma isoform</t>
  </si>
  <si>
    <t>family with sequence similarity 20, member B</t>
  </si>
  <si>
    <t>proteasome (prosome, macropain) assembly chaperone 1</t>
  </si>
  <si>
    <t>bromodomain adjacent to zinc finger domain, 1B</t>
  </si>
  <si>
    <t>synovial sarcoma, X breakpoint 2 interacting protein</t>
  </si>
  <si>
    <t>lon peptidase 1, mitochondrial</t>
  </si>
  <si>
    <t>HECT domain and ankyrin repeat containing, E3 ubiquitin protein ligase 1</t>
  </si>
  <si>
    <t>apoptosis-inducing factor, mitochondrion-associated 1</t>
  </si>
  <si>
    <t>adaptor-related protein complex AP-4, epsilon 1</t>
  </si>
  <si>
    <t>deleted in lymphocytic leukemia, 2</t>
  </si>
  <si>
    <t>lincRNA gene</t>
  </si>
  <si>
    <t>acidic (leucine-rich) nuclear phosphoprotein 32 family, pseudogene</t>
  </si>
  <si>
    <t>proteasome (prosome, macropain) 26S subunit, ATPase, 4</t>
  </si>
  <si>
    <t>centrobin, centrosomal BRCA2 interacting protein</t>
  </si>
  <si>
    <t>COP9 (constitutive photomorphogenic) homolog, subunit 3 (Arabidopsis thaliana)</t>
  </si>
  <si>
    <t>family with sequence similarity 126, member B</t>
  </si>
  <si>
    <t>N(alpha)-acetyltransferase 40, NatD catalytic subunit, homolog (S. cerevisiae)</t>
  </si>
  <si>
    <t>membrane protein, palmitoylated 5 (MAGUK p55 subfamily member 5)</t>
  </si>
  <si>
    <t>neural precursor cell expressed, developmentally down-regulated gene 1</t>
  </si>
  <si>
    <t>PDS5, regulator of cohesion maintenance, homolog A (S. cerevisiae)</t>
  </si>
  <si>
    <t>pyruvate dehydrogenase kinase, isoenzyme 3</t>
  </si>
  <si>
    <t>proteasome (prosome, macropain) 26S subunit, ATPase, 6</t>
  </si>
  <si>
    <t>TAF6 RNA polymerase II, TATA box binding protein (TBP)-associated factor</t>
  </si>
  <si>
    <t>proteasome (prosome, macropain) subunit, beta type 7</t>
  </si>
  <si>
    <t>COP9 (constitutive photomorphogenic) homolog, subunit 2 (Arabidopsis thaliana)</t>
  </si>
  <si>
    <t>zinc finger, CCHC domain containing 10</t>
  </si>
  <si>
    <t>Alport syndrome, mental retardation, midface hypoplasia and elliptocytosis chromosomal region gene 1 homolog (human)</t>
  </si>
  <si>
    <t>HAUS augmin-like complex, subunit 5</t>
  </si>
  <si>
    <t>H2A histone family, member V</t>
  </si>
  <si>
    <t>non-SMC condensin II complex, subunit D3</t>
  </si>
  <si>
    <t>Mdm2, transformed 3T3 cell double minute p53 binding protein</t>
  </si>
  <si>
    <t>Fanconi anemia, complementation group A</t>
  </si>
  <si>
    <t>zinc finger protein, multitype 1</t>
  </si>
  <si>
    <t>HAUS augmin-like complex, subunit 7</t>
  </si>
  <si>
    <t>tonsoku-like, DNA repair protein</t>
  </si>
  <si>
    <t>CTF18, chromosome transmission fidelity factor 18 homolog (S. cerevisiae)</t>
  </si>
  <si>
    <t>solute carrier family 35 (UDP-N-acetylglucosamine (UDP-GlcNAc) transporter), member 3</t>
  </si>
  <si>
    <t>POU domain, class 2, transcription factor 1</t>
  </si>
  <si>
    <t>TAF5 RNA polymerase II, TATA box binding protein (TBP)-associated factor</t>
  </si>
  <si>
    <t>proteasome (prosome, macropain) 26S subunit, non-ATPase, 1</t>
  </si>
  <si>
    <t>tubulin, beta 5</t>
  </si>
  <si>
    <t>histone cluster 3, H2a</t>
  </si>
  <si>
    <t>HAUS augmin-like complex, subunit 6</t>
  </si>
  <si>
    <t>tubulin, gamma 1</t>
  </si>
  <si>
    <t>HAUS augmin-like complex, subunit 4</t>
  </si>
  <si>
    <t>cytochrome P450, family 39, subfamily a, polypeptide 1</t>
  </si>
  <si>
    <t>histone cluster 3, H2bb, pseudogene</t>
  </si>
  <si>
    <t>La ribonucleoprotein domain family, member 1B</t>
  </si>
  <si>
    <t>ZW10 homolog (Drosophila), centromere/kinetochore protein</t>
  </si>
  <si>
    <t>DNA segment, Chr 6, Wayne State University 163, expressed</t>
  </si>
  <si>
    <t>histone cluster 1, H2ba</t>
  </si>
  <si>
    <t>non-SMC condensin II complex, subunit H2</t>
  </si>
  <si>
    <t>apolipoprotein O, pseudogene</t>
  </si>
  <si>
    <t>DEAD/H (Asp-Glu-Ala-Asp/His) box polypeptide 11 (CHL1-like helicase homolog, S. cerevisiae)</t>
  </si>
  <si>
    <t>nuclear factor of activated T-cells, cytoplasmic, calcineurin-dependent 2 interacting protein</t>
  </si>
  <si>
    <t>vomeronasal 2, receptor, pseudogene 14</t>
  </si>
  <si>
    <t>NADH dehydrogenase (ubiquinone) 1 alpha subcomplex, 9</t>
  </si>
  <si>
    <t>family with sequence similarity 122, member B</t>
  </si>
  <si>
    <t>general transcription factor II A, 2</t>
  </si>
  <si>
    <t>family with sequence similarity 110, member A</t>
  </si>
  <si>
    <t>glutamate-cysteine ligase, modifier subunit</t>
  </si>
  <si>
    <t>protease (prosome, macropain) 26S subunit, ATPase 1</t>
  </si>
  <si>
    <t>general transcription factor IIF, polypeptide 1</t>
  </si>
  <si>
    <t>polymerase (DNA directed), theta</t>
  </si>
  <si>
    <t>ATPase family, AAA domain containing 2</t>
  </si>
  <si>
    <t>family with sequence similarity 64, member A</t>
  </si>
  <si>
    <t>H2A histone family, member Z</t>
  </si>
  <si>
    <t>histone cluster 1, H2ap</t>
  </si>
  <si>
    <t>family with sequence similarity 83, member D</t>
  </si>
  <si>
    <t>phosphodiesterase 5A, cGMP-specific</t>
  </si>
  <si>
    <t>G-protein signalling modulator 2 (AGS3-like, C. elegans)</t>
  </si>
  <si>
    <t>transcription termination factor, RNA polymerase II</t>
  </si>
  <si>
    <t>histone cluster 1, H3a</t>
  </si>
  <si>
    <t>family with sequence similarity 33, member A</t>
  </si>
  <si>
    <t>histone cluster 1, H4b</t>
  </si>
  <si>
    <t>Bloom syndrome, RecQ helicase-like</t>
  </si>
  <si>
    <t>non-SMC condensin I complex, subunit D2</t>
  </si>
  <si>
    <t>methylenetetrahydrofolate dehydrogenase (NAD+ dependent), methenyltetrahydrofolate cyclohydrolase</t>
  </si>
  <si>
    <t>exportin 1, CRM1 homolog (yeast)</t>
  </si>
  <si>
    <t>ATPase family, AAA domain containing 5</t>
  </si>
  <si>
    <t>histone cluster 2, H2ac</t>
  </si>
  <si>
    <t>MMS22-like, DNA repair protein</t>
  </si>
  <si>
    <t>zinc finger, RAN-binding domain containing 3</t>
  </si>
  <si>
    <t>family with sequence similarity 72, member A</t>
  </si>
  <si>
    <t>spindle and kinetochore associated complex subunit 2-like, pseudogene</t>
  </si>
  <si>
    <t>pseudogene</t>
  </si>
  <si>
    <t>family with sequence similarity 54, member A</t>
  </si>
  <si>
    <t>chromatin assembly factor 1, subunit A (p150)</t>
  </si>
  <si>
    <t>ribonuclease H2, subunit B</t>
  </si>
  <si>
    <t>origin recognition complex, subunit 6</t>
  </si>
  <si>
    <t>solute carrier family 16 (monocarboxylic acid transporters), member 1</t>
  </si>
  <si>
    <t>histone cluster 1, H2bh</t>
  </si>
  <si>
    <t>histone cluster 2, H2aa1</t>
  </si>
  <si>
    <t>polymerase (DNA-directed), delta 3, accessory subunit</t>
  </si>
  <si>
    <t>polymerase (DNA directed), eta (RAD 30 related)</t>
  </si>
  <si>
    <t>Fanconi anemia, complementation group I</t>
  </si>
  <si>
    <t>Fanconi anemia, complementation group B</t>
  </si>
  <si>
    <t>SPC24, NDC80 kinetochore complex component, homolog (S. cerevisiae)</t>
  </si>
  <si>
    <t>histone cluster 1, H3g</t>
  </si>
  <si>
    <t>acidic (leucine-rich) nuclear phosphoprotein 32 family, member E</t>
  </si>
  <si>
    <t>DNA primase, p58 subunit</t>
  </si>
  <si>
    <t>Fanconi anemia, complementation group M</t>
  </si>
  <si>
    <t>LSM2 homolog, U6 small nuclear RNA associated (S. cerevisiae)</t>
  </si>
  <si>
    <t>histone cluster 1, H4i</t>
  </si>
  <si>
    <t>FoldChange</t>
  </si>
  <si>
    <t>Stdv</t>
  </si>
  <si>
    <t>histone cluster 1, H2ab</t>
  </si>
  <si>
    <t>protein coding gene</t>
  </si>
  <si>
    <t>non-SMC condensin II complex, subunit G2</t>
  </si>
  <si>
    <t>non-SMC condensin I complex, subunit G</t>
  </si>
  <si>
    <t>NUF2, NDC80 kinetochore complex component, homolog (S. cerevisiae)</t>
  </si>
  <si>
    <t>asp (abnormal spindle)-like, microcephaly associated (Drosophila)</t>
  </si>
  <si>
    <t>DNA segment, Chr 17, human D6S56E 5</t>
  </si>
  <si>
    <t>unclassified gene</t>
  </si>
  <si>
    <t>anillin, actin binding protein</t>
  </si>
  <si>
    <t>SPC25, NDC80 kinetochore complex component, homolog (S. cerevisiae)</t>
  </si>
  <si>
    <t>polymerase (DNA directed), epsilon</t>
  </si>
  <si>
    <t>histone cluster 1, H2bb</t>
  </si>
  <si>
    <t>TPX2, microtubule-associated protein homolog (Xenopus laevis)</t>
  </si>
  <si>
    <t>budding uninhibited by benzimidazoles 1 homolog, beta (S. cerevisiae)</t>
  </si>
  <si>
    <t>NDC80 homolog, kinetochore complex component (S. cerevisiae)</t>
  </si>
  <si>
    <t>DNA primase, p49 subunit</t>
  </si>
  <si>
    <t>transforming, acidic coiled-coil containing protein 3</t>
  </si>
  <si>
    <t>discs, large (Drosophila) homolog-associated protein 5</t>
  </si>
  <si>
    <t>polymerase (DNA directed), alpha 1</t>
  </si>
  <si>
    <t>Fanconi anemia, complementation group D2</t>
  </si>
  <si>
    <t>cyclin-dependent kinase inhibitor 2C (p18, inhibits CDK4)</t>
  </si>
  <si>
    <t>histone cluster 1, H2af</t>
  </si>
  <si>
    <t>histone cluster 2, H3b</t>
  </si>
  <si>
    <t>histone cluster 2, H2bb</t>
  </si>
  <si>
    <t>histone cluster 1, H1a</t>
  </si>
  <si>
    <t>ligase I, DNA, ATP-dependent</t>
  </si>
  <si>
    <t>ubiquitin-like, containing PHD and RING finger domains, 1</t>
  </si>
  <si>
    <t>non-SMC condensin I complex, subunit H</t>
  </si>
  <si>
    <t>Gen homolog 1, endonuclease (Drosophila)</t>
  </si>
  <si>
    <t>histone cluster 1, H2an</t>
  </si>
  <si>
    <t>H2A histone family, member X</t>
  </si>
  <si>
    <t>histone cluster 1, H4d</t>
  </si>
  <si>
    <t>tubulin, beta 2C</t>
  </si>
  <si>
    <t>DNA segment, Chr 2, ERATO Doi 750, expressed</t>
  </si>
  <si>
    <t>Zwilch, kinetochore associated, homolog (Drosophila)</t>
  </si>
  <si>
    <t>histone cluster 1, H2bm</t>
  </si>
  <si>
    <t>histone cluster 2, H4</t>
  </si>
  <si>
    <t>histone cluster 1, H4m</t>
  </si>
  <si>
    <t>tubulin, alpha 1B</t>
  </si>
  <si>
    <t>minichromosome maintenance deficient 5, cell division cycle 46 (S. cerevisiae)</t>
  </si>
  <si>
    <t>histone cluster 1, H1b</t>
  </si>
  <si>
    <t>NSL1, MIND kinetochore complex component, homolog (S. cerevisiae)</t>
  </si>
  <si>
    <t>DSN1, MIND kinetochore complex component, homolog (S. cerevisiae)</t>
  </si>
  <si>
    <t>histone cluster 1, H2ak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</si>
</sst>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2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K875"/>
  <sheetViews>
    <sheetView tabSelected="1" workbookViewId="0"/>
  </sheetViews>
  <sheetFormatPr baseColWidth="10" defaultRowHeight="13"/>
  <sheetData>
    <row r="1" spans="1:11">
      <c r="B1" t="s">
        <v>152</v>
      </c>
      <c r="C1" t="s">
        <v>153</v>
      </c>
      <c r="F1" t="str">
        <f>"Input"</f>
        <v>Input</v>
      </c>
      <c r="G1" t="str">
        <f>"Input type"</f>
        <v>Input type</v>
      </c>
      <c r="H1" t="str">
        <f>"MGI Gene/Marker ID"</f>
        <v>MGI Gene/Marker ID</v>
      </c>
      <c r="I1" t="str">
        <f>"Symbol"</f>
        <v>Symbol</v>
      </c>
      <c r="J1" t="str">
        <f>"Name"</f>
        <v>Name</v>
      </c>
      <c r="K1" t="str">
        <f>"Feature Type"</f>
        <v>Feature Type</v>
      </c>
    </row>
    <row r="2" spans="1:11">
      <c r="A2">
        <v>10403978</v>
      </c>
      <c r="B2">
        <v>254.43857586462701</v>
      </c>
      <c r="C2">
        <v>290.145654380444</v>
      </c>
      <c r="E2" t="str">
        <f>"10403978"</f>
        <v>10403978</v>
      </c>
      <c r="F2" t="str">
        <f t="shared" ref="F2:F65" si="0">"Affy 1.0 ST"</f>
        <v>Affy 1.0 ST</v>
      </c>
      <c r="G2" t="str">
        <f>"MGI:3710645"</f>
        <v>MGI:3710645</v>
      </c>
      <c r="H2" t="str">
        <f>"Hist1h2br"</f>
        <v>Hist1h2br</v>
      </c>
      <c r="I2" t="str">
        <f>"histone cluster 1 H2br"</f>
        <v>histone cluster 1 H2br</v>
      </c>
      <c r="J2" t="str">
        <f>"protein coding gene"</f>
        <v>protein coding gene</v>
      </c>
    </row>
    <row r="3" spans="1:11">
      <c r="A3">
        <v>10487480</v>
      </c>
      <c r="B3">
        <v>34.412420889495699</v>
      </c>
      <c r="C3">
        <v>36.271608245404003</v>
      </c>
      <c r="E3" t="str">
        <f>"10487480"</f>
        <v>10487480</v>
      </c>
      <c r="F3" t="str">
        <f t="shared" si="0"/>
        <v>Affy 1.0 ST</v>
      </c>
      <c r="G3" t="str">
        <f>"MGI:1100510"</f>
        <v>MGI:1100510</v>
      </c>
      <c r="H3" t="str">
        <f>"Bub1"</f>
        <v>Bub1</v>
      </c>
      <c r="I3" t="str">
        <f>"budding uninhibited by benzimidazoles 1 homolog (S. cerevisiae)"</f>
        <v>budding uninhibited by benzimidazoles 1 homolog (S. cerevisiae)</v>
      </c>
      <c r="J3" t="str">
        <f>"protein coding gene"</f>
        <v>protein coding gene</v>
      </c>
    </row>
    <row r="4" spans="1:11">
      <c r="A4">
        <v>10390707</v>
      </c>
      <c r="B4">
        <v>28.295135128756399</v>
      </c>
      <c r="C4">
        <v>30.8907146139159</v>
      </c>
      <c r="E4" t="str">
        <f>"10390707"</f>
        <v>10390707</v>
      </c>
      <c r="F4" t="str">
        <f t="shared" si="0"/>
        <v>Affy 1.0 ST</v>
      </c>
      <c r="G4" t="str">
        <f>"MGI:98790"</f>
        <v>MGI:98790</v>
      </c>
      <c r="H4" t="str">
        <f>"Top2a"</f>
        <v>Top2a</v>
      </c>
      <c r="I4" t="str">
        <f>"topoisomerase (DNA) II alpha"</f>
        <v>topoisomerase (DNA) II alpha</v>
      </c>
      <c r="J4" t="str">
        <f>"protein coding gene"</f>
        <v>protein coding gene</v>
      </c>
    </row>
    <row r="5" spans="1:11">
      <c r="A5">
        <v>10404063</v>
      </c>
      <c r="B5">
        <v>26.625731530228599</v>
      </c>
      <c r="C5">
        <v>28.251090297772901</v>
      </c>
      <c r="E5" t="str">
        <f>"10404063"</f>
        <v>10404063</v>
      </c>
      <c r="F5" t="str">
        <f t="shared" si="0"/>
        <v>Affy 1.0 ST</v>
      </c>
      <c r="G5" t="str">
        <f>"MGI:2448306"</f>
        <v>MGI:2448306</v>
      </c>
      <c r="H5" t="str">
        <f>"Hist1h2ab"</f>
        <v>Hist1h2ab</v>
      </c>
      <c r="I5" t="s">
        <v>154</v>
      </c>
      <c r="J5" t="s">
        <v>155</v>
      </c>
    </row>
    <row r="6" spans="1:11">
      <c r="A6">
        <v>10399087</v>
      </c>
      <c r="B6">
        <v>26.367186346929401</v>
      </c>
      <c r="C6">
        <v>27.4895147943129</v>
      </c>
      <c r="E6" t="str">
        <f>"10399087"</f>
        <v>10399087</v>
      </c>
      <c r="F6" t="str">
        <f t="shared" si="0"/>
        <v>Affy 1.0 ST</v>
      </c>
      <c r="G6" t="str">
        <f>"MGI:1923294"</f>
        <v>MGI:1923294</v>
      </c>
      <c r="H6" t="str">
        <f>"Ncapg2"</f>
        <v>Ncapg2</v>
      </c>
      <c r="I6" t="s">
        <v>156</v>
      </c>
      <c r="J6" t="s">
        <v>155</v>
      </c>
    </row>
    <row r="7" spans="1:11">
      <c r="A7">
        <v>10462796</v>
      </c>
      <c r="B7">
        <v>25.3979819518906</v>
      </c>
      <c r="C7">
        <v>26.698430588367</v>
      </c>
      <c r="E7" t="str">
        <f>"10462796"</f>
        <v>10462796</v>
      </c>
      <c r="F7" t="str">
        <f t="shared" si="0"/>
        <v>Affy 1.0 ST</v>
      </c>
      <c r="G7" t="str">
        <f>"MGI:1098231"</f>
        <v>MGI:1098231</v>
      </c>
      <c r="H7" t="str">
        <f>"Kif11"</f>
        <v>Kif11</v>
      </c>
      <c r="I7" t="str">
        <f>"kinesin family member 11"</f>
        <v>kinesin family member 11</v>
      </c>
      <c r="J7" t="str">
        <f>"protein coding gene"</f>
        <v>protein coding gene</v>
      </c>
    </row>
    <row r="8" spans="1:11">
      <c r="A8">
        <v>10497831</v>
      </c>
      <c r="B8">
        <v>24.753334196998001</v>
      </c>
      <c r="C8">
        <v>25.295754972566499</v>
      </c>
      <c r="E8" t="str">
        <f>"10497831"</f>
        <v>10497831</v>
      </c>
      <c r="F8" t="str">
        <f t="shared" si="0"/>
        <v>Affy 1.0 ST</v>
      </c>
      <c r="G8" t="str">
        <f>"MGI:108069"</f>
        <v>MGI:108069</v>
      </c>
      <c r="H8" t="str">
        <f>"Ccna2"</f>
        <v>Ccna2</v>
      </c>
      <c r="I8" t="str">
        <f>"cyclin A2"</f>
        <v>cyclin A2</v>
      </c>
      <c r="J8" t="str">
        <f>"protein coding gene"</f>
        <v>protein coding gene</v>
      </c>
    </row>
    <row r="9" spans="1:11">
      <c r="A9">
        <v>10521731</v>
      </c>
      <c r="B9">
        <v>24.1436170055043</v>
      </c>
      <c r="C9">
        <v>24.725621964574898</v>
      </c>
      <c r="E9" t="str">
        <f>"10521731"</f>
        <v>10521731</v>
      </c>
      <c r="F9" t="str">
        <f t="shared" si="0"/>
        <v>Affy 1.0 ST</v>
      </c>
      <c r="G9" t="str">
        <f>"MGI:1930197"</f>
        <v>MGI:1930197</v>
      </c>
      <c r="H9" t="str">
        <f>"Ncapg"</f>
        <v>Ncapg</v>
      </c>
      <c r="I9" t="s">
        <v>157</v>
      </c>
      <c r="J9" t="s">
        <v>155</v>
      </c>
    </row>
    <row r="10" spans="1:11">
      <c r="A10">
        <v>10359890</v>
      </c>
      <c r="B10">
        <v>23.562360513624299</v>
      </c>
      <c r="C10">
        <v>23.650234025955001</v>
      </c>
      <c r="E10" t="str">
        <f>"10359890"</f>
        <v>10359890</v>
      </c>
      <c r="F10" t="str">
        <f t="shared" si="0"/>
        <v>Affy 1.0 ST</v>
      </c>
      <c r="G10" t="str">
        <f>"MGI:1914227"</f>
        <v>MGI:1914227</v>
      </c>
      <c r="H10" t="str">
        <f>"Nuf2"</f>
        <v>Nuf2</v>
      </c>
      <c r="I10" t="s">
        <v>158</v>
      </c>
      <c r="J10" t="s">
        <v>155</v>
      </c>
    </row>
    <row r="11" spans="1:11">
      <c r="A11">
        <v>10586448</v>
      </c>
      <c r="B11">
        <v>22.5647339268736</v>
      </c>
      <c r="C11">
        <v>22.535855598086901</v>
      </c>
      <c r="E11" t="str">
        <f>"10586448"</f>
        <v>10586448</v>
      </c>
      <c r="F11" t="str">
        <f t="shared" si="0"/>
        <v>Affy 1.0 ST</v>
      </c>
      <c r="G11" t="str">
        <f>"MGI:1915276"</f>
        <v>MGI:1915276</v>
      </c>
      <c r="H11" t="str">
        <f>"2810417H13Rik"</f>
        <v>2810417H13Rik</v>
      </c>
      <c r="I11" t="str">
        <f>"RIKEN cDNA 2810417H13 gene"</f>
        <v>RIKEN cDNA 2810417H13 gene</v>
      </c>
      <c r="J11" t="str">
        <f t="shared" ref="J11:J21" si="1">"protein coding gene"</f>
        <v>protein coding gene</v>
      </c>
    </row>
    <row r="12" spans="1:11">
      <c r="A12">
        <v>10568714</v>
      </c>
      <c r="B12">
        <v>21.4879795032586</v>
      </c>
      <c r="C12">
        <v>22.355856511958901</v>
      </c>
      <c r="E12" t="str">
        <f>"10568714"</f>
        <v>10568714</v>
      </c>
      <c r="F12" t="str">
        <f t="shared" si="0"/>
        <v>Affy 1.0 ST</v>
      </c>
      <c r="G12" t="str">
        <f>"MGI:106035"</f>
        <v>MGI:106035</v>
      </c>
      <c r="H12" t="str">
        <f>"Mki67"</f>
        <v>Mki67</v>
      </c>
      <c r="I12" t="str">
        <f>"antigen identified by monoclonal antibody Ki 67"</f>
        <v>antigen identified by monoclonal antibody Ki 67</v>
      </c>
      <c r="J12" t="str">
        <f t="shared" si="1"/>
        <v>protein coding gene</v>
      </c>
    </row>
    <row r="13" spans="1:11">
      <c r="A13">
        <v>10601011</v>
      </c>
      <c r="B13">
        <v>21.000521999916099</v>
      </c>
      <c r="C13">
        <v>20.2363603946614</v>
      </c>
      <c r="E13" t="str">
        <f>"10601011"</f>
        <v>10601011</v>
      </c>
      <c r="F13" t="str">
        <f t="shared" si="0"/>
        <v>Affy 1.0 ST</v>
      </c>
      <c r="G13" t="str">
        <f>"MGI:108389"</f>
        <v>MGI:108389</v>
      </c>
      <c r="H13" t="str">
        <f>"Kif4"</f>
        <v>Kif4</v>
      </c>
      <c r="I13" t="str">
        <f>"kinesin family member 4"</f>
        <v>kinesin family member 4</v>
      </c>
      <c r="J13" t="str">
        <f t="shared" si="1"/>
        <v>protein coding gene</v>
      </c>
    </row>
    <row r="14" spans="1:11">
      <c r="A14">
        <v>10562637</v>
      </c>
      <c r="B14">
        <v>20.664786010369301</v>
      </c>
      <c r="C14">
        <v>19.103546978589399</v>
      </c>
      <c r="E14" t="str">
        <f>"10562637"</f>
        <v>10562637</v>
      </c>
      <c r="F14" t="str">
        <f t="shared" si="0"/>
        <v>Affy 1.0 ST</v>
      </c>
      <c r="G14" t="str">
        <f>"MGI:88302"</f>
        <v>MGI:88302</v>
      </c>
      <c r="H14" t="str">
        <f>"Ccnb1"</f>
        <v>Ccnb1</v>
      </c>
      <c r="I14" t="str">
        <f>"cyclin B1"</f>
        <v>cyclin B1</v>
      </c>
      <c r="J14" t="str">
        <f t="shared" si="1"/>
        <v>protein coding gene</v>
      </c>
    </row>
    <row r="15" spans="1:11">
      <c r="A15">
        <v>10554445</v>
      </c>
      <c r="B15">
        <v>19.9493936083676</v>
      </c>
      <c r="C15">
        <v>20.147540929795799</v>
      </c>
      <c r="E15" t="str">
        <f>"10554445"</f>
        <v>10554445</v>
      </c>
      <c r="F15" t="str">
        <f t="shared" si="0"/>
        <v>Affy 1.0 ST</v>
      </c>
      <c r="G15" t="str">
        <f>"MGI:1858961"</f>
        <v>MGI:1858961</v>
      </c>
      <c r="H15" t="str">
        <f>"Prc1"</f>
        <v>Prc1</v>
      </c>
      <c r="I15" t="str">
        <f>"protein regulator of cytokinesis 1"</f>
        <v>protein regulator of cytokinesis 1</v>
      </c>
      <c r="J15" t="str">
        <f t="shared" si="1"/>
        <v>protein coding gene</v>
      </c>
    </row>
    <row r="16" spans="1:11">
      <c r="A16">
        <v>10411739</v>
      </c>
      <c r="B16">
        <v>19.8103024146465</v>
      </c>
      <c r="C16">
        <v>18.400867136347699</v>
      </c>
      <c r="E16" t="str">
        <f>"10411739"</f>
        <v>10411739</v>
      </c>
      <c r="F16" t="str">
        <f t="shared" si="0"/>
        <v>Affy 1.0 ST</v>
      </c>
      <c r="G16" t="str">
        <f>"MGI:88302"</f>
        <v>MGI:88302</v>
      </c>
      <c r="H16" t="str">
        <f>"Ccnb1"</f>
        <v>Ccnb1</v>
      </c>
      <c r="I16" t="str">
        <f>"cyclin B1"</f>
        <v>cyclin B1</v>
      </c>
      <c r="J16" t="str">
        <f t="shared" si="1"/>
        <v>protein coding gene</v>
      </c>
    </row>
    <row r="17" spans="1:10">
      <c r="A17">
        <v>10394978</v>
      </c>
      <c r="B17">
        <v>19.804709377133001</v>
      </c>
      <c r="C17">
        <v>19.3608528444374</v>
      </c>
      <c r="E17" t="str">
        <f>"10394978"</f>
        <v>10394978</v>
      </c>
      <c r="F17" t="str">
        <f t="shared" si="0"/>
        <v>Affy 1.0 ST</v>
      </c>
      <c r="G17" t="str">
        <f>"MGI:98181"</f>
        <v>MGI:98181</v>
      </c>
      <c r="H17" t="str">
        <f>"Rrm2"</f>
        <v>Rrm2</v>
      </c>
      <c r="I17" t="str">
        <f>"ribonucleotide reductase M2"</f>
        <v>ribonucleotide reductase M2</v>
      </c>
      <c r="J17" t="str">
        <f t="shared" si="1"/>
        <v>protein coding gene</v>
      </c>
    </row>
    <row r="18" spans="1:10">
      <c r="A18">
        <v>10420877</v>
      </c>
      <c r="B18">
        <v>19.702639035377</v>
      </c>
      <c r="C18">
        <v>18.432109058999199</v>
      </c>
      <c r="E18" t="str">
        <f>"10420877"</f>
        <v>10420877</v>
      </c>
      <c r="F18" t="str">
        <f t="shared" si="0"/>
        <v>Affy 1.0 ST</v>
      </c>
      <c r="G18" t="str">
        <f>"MGI:1919238"</f>
        <v>MGI:1919238</v>
      </c>
      <c r="H18" t="str">
        <f>"Esco2"</f>
        <v>Esco2</v>
      </c>
      <c r="I18" t="str">
        <f>"establishment of cohesion 1 homolog 2 (S. cerevisiae)"</f>
        <v>establishment of cohesion 1 homolog 2 (S. cerevisiae)</v>
      </c>
      <c r="J18" t="str">
        <f t="shared" si="1"/>
        <v>protein coding gene</v>
      </c>
    </row>
    <row r="19" spans="1:10">
      <c r="A19">
        <v>10563780</v>
      </c>
      <c r="B19">
        <v>19.376468619516</v>
      </c>
      <c r="C19">
        <v>18.750283807334299</v>
      </c>
      <c r="E19" t="str">
        <f>"10563780"</f>
        <v>10563780</v>
      </c>
      <c r="F19" t="str">
        <f t="shared" si="0"/>
        <v>Affy 1.0 ST</v>
      </c>
      <c r="G19" t="str">
        <f>"MGI:1922038"</f>
        <v>MGI:1922038</v>
      </c>
      <c r="H19" t="str">
        <f>"E2f8"</f>
        <v>E2f8</v>
      </c>
      <c r="I19" t="str">
        <f>"E2F transcription factor 8"</f>
        <v>E2F transcription factor 8</v>
      </c>
      <c r="J19" t="str">
        <f t="shared" si="1"/>
        <v>protein coding gene</v>
      </c>
    </row>
    <row r="20" spans="1:10">
      <c r="A20">
        <v>10462866</v>
      </c>
      <c r="B20">
        <v>19.023535257617599</v>
      </c>
      <c r="C20">
        <v>17.218728598073799</v>
      </c>
      <c r="E20" t="str">
        <f>"10462866"</f>
        <v>10462866</v>
      </c>
      <c r="F20" t="str">
        <f t="shared" si="0"/>
        <v>Affy 1.0 ST</v>
      </c>
      <c r="G20" t="str">
        <f>"MGI:1921357"</f>
        <v>MGI:1921357</v>
      </c>
      <c r="H20" t="str">
        <f>"Cep55"</f>
        <v>Cep55</v>
      </c>
      <c r="I20" t="str">
        <f>"centrosomal protein 55"</f>
        <v>centrosomal protein 55</v>
      </c>
      <c r="J20" t="str">
        <f t="shared" si="1"/>
        <v>protein coding gene</v>
      </c>
    </row>
    <row r="21" spans="1:10">
      <c r="A21">
        <v>10385248</v>
      </c>
      <c r="B21">
        <v>18.642944543515</v>
      </c>
      <c r="C21">
        <v>16.6791726207625</v>
      </c>
      <c r="E21" t="str">
        <f>"10385248"</f>
        <v>10385248</v>
      </c>
      <c r="F21" t="str">
        <f t="shared" si="0"/>
        <v>Affy 1.0 ST</v>
      </c>
      <c r="G21" t="str">
        <f>"MGI:104667"</f>
        <v>MGI:104667</v>
      </c>
      <c r="H21" t="str">
        <f>"Hmmr"</f>
        <v>Hmmr</v>
      </c>
      <c r="I21" t="str">
        <f>"hyaluronan mediated motility receptor (RHAMM)"</f>
        <v>hyaluronan mediated motility receptor (RHAMM)</v>
      </c>
      <c r="J21" t="str">
        <f t="shared" si="1"/>
        <v>protein coding gene</v>
      </c>
    </row>
    <row r="22" spans="1:10">
      <c r="A22">
        <v>10350392</v>
      </c>
      <c r="B22">
        <v>17.8235881930622</v>
      </c>
      <c r="C22">
        <v>16.281165309973499</v>
      </c>
      <c r="E22" t="str">
        <f>"10350392"</f>
        <v>10350392</v>
      </c>
      <c r="F22" t="str">
        <f t="shared" si="0"/>
        <v>Affy 1.0 ST</v>
      </c>
      <c r="G22" t="str">
        <f>"MGI:1334448"</f>
        <v>MGI:1334448</v>
      </c>
      <c r="H22" t="str">
        <f>"Aspm"</f>
        <v>Aspm</v>
      </c>
      <c r="I22" t="s">
        <v>159</v>
      </c>
      <c r="J22" t="s">
        <v>155</v>
      </c>
    </row>
    <row r="23" spans="1:10">
      <c r="A23">
        <v>10563883</v>
      </c>
      <c r="B23">
        <v>17.581951373306801</v>
      </c>
      <c r="C23">
        <v>17.310101294465699</v>
      </c>
      <c r="E23" t="str">
        <f>"10563883"</f>
        <v>10563883</v>
      </c>
      <c r="F23" t="str">
        <f t="shared" si="0"/>
        <v>Affy 1.0 ST</v>
      </c>
      <c r="G23" t="str">
        <f>"MGI:1923381"</f>
        <v>MGI:1923381</v>
      </c>
      <c r="H23" t="str">
        <f>"Depdc1a"</f>
        <v>Depdc1a</v>
      </c>
      <c r="I23" t="str">
        <f>"DEP domain containing 1a"</f>
        <v>DEP domain containing 1a</v>
      </c>
      <c r="J23" t="str">
        <f>"protein coding gene"</f>
        <v>protein coding gene</v>
      </c>
    </row>
    <row r="24" spans="1:10">
      <c r="A24">
        <v>10474984</v>
      </c>
      <c r="B24">
        <v>17.460157722977002</v>
      </c>
      <c r="C24">
        <v>16.8474915960192</v>
      </c>
      <c r="E24" t="str">
        <f>"10474984"</f>
        <v>10474984</v>
      </c>
      <c r="F24" t="str">
        <f t="shared" si="0"/>
        <v>Affy 1.0 ST</v>
      </c>
      <c r="G24" t="str">
        <f>"MGI:2675669"</f>
        <v>MGI:2675669</v>
      </c>
      <c r="H24" t="str">
        <f>"Nusap1"</f>
        <v>Nusap1</v>
      </c>
      <c r="I24" t="str">
        <f>"nucleolar and spindle associated protein 1"</f>
        <v>nucleolar and spindle associated protein 1</v>
      </c>
      <c r="J24" t="str">
        <f>"protein coding gene"</f>
        <v>protein coding gene</v>
      </c>
    </row>
    <row r="25" spans="1:10">
      <c r="A25">
        <v>10450374</v>
      </c>
      <c r="B25">
        <v>17.326586231974801</v>
      </c>
      <c r="C25">
        <v>18.222891502046402</v>
      </c>
      <c r="E25" t="str">
        <f>"10450374"</f>
        <v>10450374</v>
      </c>
      <c r="F25" t="str">
        <f t="shared" si="0"/>
        <v>Affy 1.0 ST</v>
      </c>
      <c r="G25" t="str">
        <f>"MGI:1306799"</f>
        <v>MGI:1306799</v>
      </c>
      <c r="H25" t="str">
        <f>"D17H6S56E-5"</f>
        <v>D17H6S56E-5</v>
      </c>
      <c r="I25" t="s">
        <v>160</v>
      </c>
      <c r="J25" t="s">
        <v>161</v>
      </c>
    </row>
    <row r="26" spans="1:10">
      <c r="A26">
        <v>10507112</v>
      </c>
      <c r="B26">
        <v>17.217305502276101</v>
      </c>
      <c r="C26">
        <v>16.741893033375099</v>
      </c>
      <c r="E26" t="str">
        <f>"10507112"</f>
        <v>10507112</v>
      </c>
      <c r="F26" t="str">
        <f t="shared" si="0"/>
        <v>Affy 1.0 ST</v>
      </c>
      <c r="G26" t="str">
        <f>"MGI:107477"</f>
        <v>MGI:107477</v>
      </c>
      <c r="H26" t="str">
        <f>"Stil"</f>
        <v>Stil</v>
      </c>
      <c r="I26" t="str">
        <f>"Scl/Tal1 interrupting locus"</f>
        <v>Scl/Tal1 interrupting locus</v>
      </c>
      <c r="J26" t="str">
        <f>"protein coding gene"</f>
        <v>protein coding gene</v>
      </c>
    </row>
    <row r="27" spans="1:10">
      <c r="A27">
        <v>10576883</v>
      </c>
      <c r="B27">
        <v>17.146670734083099</v>
      </c>
      <c r="C27">
        <v>15.273121657814301</v>
      </c>
      <c r="E27" t="str">
        <f>"10576883"</f>
        <v>10576883</v>
      </c>
      <c r="F27" t="str">
        <f t="shared" si="0"/>
        <v>Affy 1.0 ST</v>
      </c>
      <c r="G27" t="str">
        <f>"MGI:1338802"</f>
        <v>MGI:1338802</v>
      </c>
      <c r="H27" t="str">
        <f>"Shcbp1"</f>
        <v>Shcbp1</v>
      </c>
      <c r="I27" t="str">
        <f>"Shc SH2-domain binding protein 1"</f>
        <v>Shc SH2-domain binding protein 1</v>
      </c>
      <c r="J27" t="str">
        <f>"protein coding gene"</f>
        <v>protein coding gene</v>
      </c>
    </row>
    <row r="28" spans="1:10">
      <c r="A28">
        <v>10400589</v>
      </c>
      <c r="B28">
        <v>16.9048335718457</v>
      </c>
      <c r="C28">
        <v>16.201050199718601</v>
      </c>
      <c r="E28" t="str">
        <f>"10400589"</f>
        <v>10400589</v>
      </c>
      <c r="F28" t="str">
        <f t="shared" si="0"/>
        <v>Affy 1.0 ST</v>
      </c>
      <c r="G28" t="str">
        <f>"MGI:2145099"</f>
        <v>MGI:2145099</v>
      </c>
      <c r="H28" t="str">
        <f>"C79407"</f>
        <v>C79407</v>
      </c>
      <c r="I28" t="str">
        <f>"expressed sequence C79407"</f>
        <v>expressed sequence C79407</v>
      </c>
      <c r="J28" t="str">
        <f>"protein coding gene"</f>
        <v>protein coding gene</v>
      </c>
    </row>
    <row r="29" spans="1:10">
      <c r="A29">
        <v>10578690</v>
      </c>
      <c r="B29">
        <v>16.8112108019576</v>
      </c>
      <c r="C29">
        <v>16.242596431915601</v>
      </c>
      <c r="E29" t="str">
        <f>"10578690"</f>
        <v>10578690</v>
      </c>
      <c r="F29" t="str">
        <f t="shared" si="0"/>
        <v>Affy 1.0 ST</v>
      </c>
      <c r="G29" t="str">
        <f>"MGI:2384588"</f>
        <v>MGI:2384588</v>
      </c>
      <c r="H29" t="str">
        <f>"Neil3"</f>
        <v>Neil3</v>
      </c>
      <c r="I29" t="str">
        <f>"nei like 3 (E. coli)"</f>
        <v>nei like 3 (E. coli)</v>
      </c>
      <c r="J29" t="str">
        <f>"protein coding gene"</f>
        <v>protein coding gene</v>
      </c>
    </row>
    <row r="30" spans="1:10">
      <c r="A30">
        <v>10591781</v>
      </c>
      <c r="B30">
        <v>16.761805088898999</v>
      </c>
      <c r="C30">
        <v>16.178355112188999</v>
      </c>
      <c r="E30" t="str">
        <f>"10591781"</f>
        <v>10591781</v>
      </c>
      <c r="F30" t="str">
        <f t="shared" si="0"/>
        <v>Affy 1.0 ST</v>
      </c>
      <c r="G30" t="str">
        <f>"MGI:1920174"</f>
        <v>MGI:1920174</v>
      </c>
      <c r="H30" t="str">
        <f>"Anln"</f>
        <v>Anln</v>
      </c>
      <c r="I30" t="s">
        <v>162</v>
      </c>
      <c r="J30" t="s">
        <v>155</v>
      </c>
    </row>
    <row r="31" spans="1:10">
      <c r="A31">
        <v>10515836</v>
      </c>
      <c r="B31">
        <v>16.537887254694599</v>
      </c>
      <c r="C31">
        <v>11.123510027088001</v>
      </c>
      <c r="E31" t="str">
        <f>"10515836"</f>
        <v>10515836</v>
      </c>
      <c r="F31" t="str">
        <f t="shared" si="0"/>
        <v>Affy 1.0 ST</v>
      </c>
      <c r="G31" t="str">
        <f>"MGI:88302"</f>
        <v>MGI:88302</v>
      </c>
      <c r="H31" t="str">
        <f>"Ccnb1"</f>
        <v>Ccnb1</v>
      </c>
      <c r="I31" t="str">
        <f>"cyclin B1"</f>
        <v>cyclin B1</v>
      </c>
      <c r="J31" t="str">
        <f>"protein coding gene"</f>
        <v>protein coding gene</v>
      </c>
    </row>
    <row r="32" spans="1:10">
      <c r="A32">
        <v>10497122</v>
      </c>
      <c r="B32">
        <v>16.3389539042476</v>
      </c>
      <c r="C32">
        <v>12.684161036661401</v>
      </c>
      <c r="E32" t="str">
        <f>"10497122"</f>
        <v>10497122</v>
      </c>
      <c r="F32" t="str">
        <f t="shared" si="0"/>
        <v>Affy 1.0 ST</v>
      </c>
      <c r="G32" t="str">
        <f>"MGI:1923381"</f>
        <v>MGI:1923381</v>
      </c>
      <c r="H32" t="str">
        <f>"Depdc1a"</f>
        <v>Depdc1a</v>
      </c>
      <c r="I32" t="str">
        <f>"DEP domain containing 1a"</f>
        <v>DEP domain containing 1a</v>
      </c>
      <c r="J32" t="str">
        <f>"protein coding gene"</f>
        <v>protein coding gene</v>
      </c>
    </row>
    <row r="33" spans="1:10">
      <c r="A33">
        <v>10448506</v>
      </c>
      <c r="B33">
        <v>16.2344522635366</v>
      </c>
      <c r="C33">
        <v>13.869584710753401</v>
      </c>
      <c r="E33" t="str">
        <f>"10448506"</f>
        <v>10448506</v>
      </c>
      <c r="F33" t="str">
        <f t="shared" si="0"/>
        <v>Affy 1.0 ST</v>
      </c>
      <c r="G33" t="str">
        <f>"MGI:102551"</f>
        <v>MGI:102551</v>
      </c>
      <c r="H33" t="str">
        <f>"Ccnf"</f>
        <v>Ccnf</v>
      </c>
      <c r="I33" t="str">
        <f>"cyclin F"</f>
        <v>cyclin F</v>
      </c>
      <c r="J33" t="str">
        <f>"protein coding gene"</f>
        <v>protein coding gene</v>
      </c>
    </row>
    <row r="34" spans="1:10">
      <c r="A34">
        <v>10496204</v>
      </c>
      <c r="B34">
        <v>15.505586495027901</v>
      </c>
      <c r="C34">
        <v>14.6625710536448</v>
      </c>
      <c r="E34" t="str">
        <f>"10496204"</f>
        <v>10496204</v>
      </c>
      <c r="F34" t="str">
        <f t="shared" si="0"/>
        <v>Affy 1.0 ST</v>
      </c>
      <c r="G34" t="str">
        <f>"MGI:1098230"</f>
        <v>MGI:1098230</v>
      </c>
      <c r="H34" t="str">
        <f>"Cenpe"</f>
        <v>Cenpe</v>
      </c>
      <c r="I34" t="str">
        <f>"centromere protein E"</f>
        <v>centromere protein E</v>
      </c>
      <c r="J34" t="str">
        <f>"protein coding gene"</f>
        <v>protein coding gene</v>
      </c>
    </row>
    <row r="35" spans="1:10">
      <c r="A35">
        <v>10590494</v>
      </c>
      <c r="B35">
        <v>15.4901419697624</v>
      </c>
      <c r="C35">
        <v>15.148673216364299</v>
      </c>
      <c r="E35" t="str">
        <f>"10590494"</f>
        <v>10590494</v>
      </c>
      <c r="F35" t="str">
        <f t="shared" si="0"/>
        <v>Affy 1.0 ST</v>
      </c>
      <c r="G35" t="str">
        <f>"MGI:1098258"</f>
        <v>MGI:1098258</v>
      </c>
      <c r="H35" t="str">
        <f>"Kif15"</f>
        <v>Kif15</v>
      </c>
      <c r="I35" t="str">
        <f>"kinesin family member 15"</f>
        <v>kinesin family member 15</v>
      </c>
      <c r="J35" t="str">
        <f>"protein coding gene"</f>
        <v>protein coding gene</v>
      </c>
    </row>
    <row r="36" spans="1:10">
      <c r="A36">
        <v>10483401</v>
      </c>
      <c r="B36">
        <v>15.128568259631701</v>
      </c>
      <c r="C36">
        <v>15.6519485987896</v>
      </c>
      <c r="E36" t="str">
        <f>"10483401"</f>
        <v>10483401</v>
      </c>
      <c r="F36" t="str">
        <f t="shared" si="0"/>
        <v>Affy 1.0 ST</v>
      </c>
      <c r="G36" t="str">
        <f>"MGI:1913692"</f>
        <v>MGI:1913692</v>
      </c>
      <c r="H36" t="str">
        <f>"Spc25"</f>
        <v>Spc25</v>
      </c>
      <c r="I36" t="s">
        <v>163</v>
      </c>
      <c r="J36" t="s">
        <v>155</v>
      </c>
    </row>
    <row r="37" spans="1:10">
      <c r="A37">
        <v>10474381</v>
      </c>
      <c r="B37">
        <v>14.9665838634614</v>
      </c>
      <c r="C37">
        <v>12.636209078087999</v>
      </c>
      <c r="E37" t="str">
        <f>"10474381"</f>
        <v>10474381</v>
      </c>
      <c r="F37" t="str">
        <f t="shared" si="0"/>
        <v>Affy 1.0 ST</v>
      </c>
      <c r="G37" t="str">
        <f>"MGI:2446977"</f>
        <v>MGI:2446977</v>
      </c>
      <c r="H37" t="str">
        <f>"Kif18a"</f>
        <v>Kif18a</v>
      </c>
      <c r="I37" t="str">
        <f>"kinesin family member 18A"</f>
        <v>kinesin family member 18A</v>
      </c>
      <c r="J37" t="str">
        <f t="shared" ref="J37:J48" si="2">"protein coding gene"</f>
        <v>protein coding gene</v>
      </c>
    </row>
    <row r="38" spans="1:10">
      <c r="A38">
        <v>10420426</v>
      </c>
      <c r="B38">
        <v>14.876029807618901</v>
      </c>
      <c r="C38">
        <v>12.9866618077168</v>
      </c>
      <c r="E38" t="str">
        <f>"10420426"</f>
        <v>10420426</v>
      </c>
      <c r="F38" t="str">
        <f t="shared" si="0"/>
        <v>Affy 1.0 ST</v>
      </c>
      <c r="G38" t="str">
        <f>"MGI:3041235"</f>
        <v>MGI:3041235</v>
      </c>
      <c r="H38" t="str">
        <f>"F630043A04Rik"</f>
        <v>F630043A04Rik</v>
      </c>
      <c r="I38" t="str">
        <f>"RIKEN cDNA F630043A04 gene"</f>
        <v>RIKEN cDNA F630043A04 gene</v>
      </c>
      <c r="J38" t="str">
        <f t="shared" si="2"/>
        <v>protein coding gene</v>
      </c>
    </row>
    <row r="39" spans="1:10">
      <c r="A39">
        <v>10515431</v>
      </c>
      <c r="B39">
        <v>14.211715785258701</v>
      </c>
      <c r="C39">
        <v>11.362092616822199</v>
      </c>
      <c r="E39" t="str">
        <f>"10515431"</f>
        <v>10515431</v>
      </c>
      <c r="F39" t="str">
        <f t="shared" si="0"/>
        <v>Affy 1.0 ST</v>
      </c>
      <c r="G39" t="str">
        <f>"MGI:1921054"</f>
        <v>MGI:1921054</v>
      </c>
      <c r="H39" t="str">
        <f>"Kif2c"</f>
        <v>Kif2c</v>
      </c>
      <c r="I39" t="str">
        <f>"kinesin family member 2C"</f>
        <v>kinesin family member 2C</v>
      </c>
      <c r="J39" t="str">
        <f t="shared" si="2"/>
        <v>protein coding gene</v>
      </c>
    </row>
    <row r="40" spans="1:10">
      <c r="A40">
        <v>10352767</v>
      </c>
      <c r="B40">
        <v>14.1392786878223</v>
      </c>
      <c r="C40">
        <v>10.232147335413</v>
      </c>
      <c r="E40" t="str">
        <f>"10352767"</f>
        <v>10352767</v>
      </c>
      <c r="F40" t="str">
        <f t="shared" si="0"/>
        <v>Affy 1.0 ST</v>
      </c>
      <c r="G40" t="str">
        <f>"MGI:109359"</f>
        <v>MGI:109359</v>
      </c>
      <c r="H40" t="str">
        <f>"Nek2"</f>
        <v>Nek2</v>
      </c>
      <c r="I40" t="str">
        <f>"NIMA (never in mitosis gene a)-related expressed kinase 2"</f>
        <v>NIMA (never in mitosis gene a)-related expressed kinase 2</v>
      </c>
      <c r="J40" t="str">
        <f t="shared" si="2"/>
        <v>protein coding gene</v>
      </c>
    </row>
    <row r="41" spans="1:10">
      <c r="A41">
        <v>10497503</v>
      </c>
      <c r="B41">
        <v>13.7590665546683</v>
      </c>
      <c r="C41">
        <v>12.167051786328599</v>
      </c>
      <c r="E41" t="str">
        <f>"10497503"</f>
        <v>10497503</v>
      </c>
      <c r="F41" t="str">
        <f t="shared" si="0"/>
        <v>Affy 1.0 ST</v>
      </c>
      <c r="G41" t="str">
        <f>"MGI:103561"</f>
        <v>MGI:103561</v>
      </c>
      <c r="H41" t="str">
        <f>"Kpna2"</f>
        <v>Kpna2</v>
      </c>
      <c r="I41" t="str">
        <f>"karyopherin (importin) alpha 2"</f>
        <v>karyopherin (importin) alpha 2</v>
      </c>
      <c r="J41" t="str">
        <f t="shared" si="2"/>
        <v>protein coding gene</v>
      </c>
    </row>
    <row r="42" spans="1:10">
      <c r="A42">
        <v>10369815</v>
      </c>
      <c r="B42">
        <v>13.6232457191339</v>
      </c>
      <c r="C42">
        <v>12.371128618190999</v>
      </c>
      <c r="E42" t="str">
        <f>"10369815"</f>
        <v>10369815</v>
      </c>
      <c r="F42" t="str">
        <f t="shared" si="0"/>
        <v>Affy 1.0 ST</v>
      </c>
      <c r="G42" t="str">
        <f>"MGI:88351"</f>
        <v>MGI:88351</v>
      </c>
      <c r="H42" t="str">
        <f>"Cdk1"</f>
        <v>Cdk1</v>
      </c>
      <c r="I42" t="str">
        <f>"cyclin-dependent kinase 1"</f>
        <v>cyclin-dependent kinase 1</v>
      </c>
      <c r="J42" t="str">
        <f t="shared" si="2"/>
        <v>protein coding gene</v>
      </c>
    </row>
    <row r="43" spans="1:10">
      <c r="A43">
        <v>10592201</v>
      </c>
      <c r="B43">
        <v>13.410838449995399</v>
      </c>
      <c r="C43">
        <v>13.597502813147001</v>
      </c>
      <c r="E43" t="str">
        <f>"10592201"</f>
        <v>10592201</v>
      </c>
      <c r="F43" t="str">
        <f t="shared" si="0"/>
        <v>Affy 1.0 ST</v>
      </c>
      <c r="G43" t="str">
        <f>"MGI:1202065"</f>
        <v>MGI:1202065</v>
      </c>
      <c r="H43" t="str">
        <f>"Chek1"</f>
        <v>Chek1</v>
      </c>
      <c r="I43" t="str">
        <f>"checkpoint kinase 1 homolog (S. pombe)"</f>
        <v>checkpoint kinase 1 homolog (S. pombe)</v>
      </c>
      <c r="J43" t="str">
        <f t="shared" si="2"/>
        <v>protein coding gene</v>
      </c>
    </row>
    <row r="44" spans="1:10">
      <c r="A44">
        <v>10474875</v>
      </c>
      <c r="B44">
        <v>13.2647437585973</v>
      </c>
      <c r="C44">
        <v>12.559108044322</v>
      </c>
      <c r="E44" t="str">
        <f>"10474875"</f>
        <v>10474875</v>
      </c>
      <c r="F44" t="str">
        <f t="shared" si="0"/>
        <v>Affy 1.0 ST</v>
      </c>
      <c r="G44" t="str">
        <f>"MGI:1923714"</f>
        <v>MGI:1923714</v>
      </c>
      <c r="H44" t="str">
        <f>"Casc5"</f>
        <v>Casc5</v>
      </c>
      <c r="I44" t="str">
        <f>"cancer susceptibility candidate 5"</f>
        <v>cancer susceptibility candidate 5</v>
      </c>
      <c r="J44" t="str">
        <f t="shared" si="2"/>
        <v>protein coding gene</v>
      </c>
    </row>
    <row r="45" spans="1:10">
      <c r="A45">
        <v>10391811</v>
      </c>
      <c r="B45">
        <v>13.2208381965646</v>
      </c>
      <c r="C45">
        <v>10.078816238867599</v>
      </c>
      <c r="E45" t="str">
        <f>"10391811"</f>
        <v>10391811</v>
      </c>
      <c r="F45" t="str">
        <f t="shared" si="0"/>
        <v>Affy 1.0 ST</v>
      </c>
      <c r="G45" t="str">
        <f>"MGI:2446979"</f>
        <v>MGI:2446979</v>
      </c>
      <c r="H45" t="str">
        <f>"Kif18b"</f>
        <v>Kif18b</v>
      </c>
      <c r="I45" t="str">
        <f>"kinesin family member 18B"</f>
        <v>kinesin family member 18B</v>
      </c>
      <c r="J45" t="str">
        <f t="shared" si="2"/>
        <v>protein coding gene</v>
      </c>
    </row>
    <row r="46" spans="1:10">
      <c r="A46">
        <v>10525591</v>
      </c>
      <c r="B46">
        <v>12.981347179416799</v>
      </c>
      <c r="C46">
        <v>11.916394785802799</v>
      </c>
      <c r="E46" t="str">
        <f>"10525591"</f>
        <v>10525591</v>
      </c>
      <c r="F46" t="str">
        <f t="shared" si="0"/>
        <v>Affy 1.0 ST</v>
      </c>
      <c r="G46" t="str">
        <f>"MGI:2673709"</f>
        <v>MGI:2673709</v>
      </c>
      <c r="H46" t="str">
        <f>"Kntc1"</f>
        <v>Kntc1</v>
      </c>
      <c r="I46" t="str">
        <f>"kinetochore associated 1"</f>
        <v>kinetochore associated 1</v>
      </c>
      <c r="J46" t="str">
        <f t="shared" si="2"/>
        <v>protein coding gene</v>
      </c>
    </row>
    <row r="47" spans="1:10">
      <c r="A47">
        <v>10346365</v>
      </c>
      <c r="B47">
        <v>12.9008131739938</v>
      </c>
      <c r="C47">
        <v>10.55260984517</v>
      </c>
      <c r="E47" t="str">
        <f>"10346365"</f>
        <v>10346365</v>
      </c>
      <c r="F47" t="str">
        <f t="shared" si="0"/>
        <v>Affy 1.0 ST</v>
      </c>
      <c r="G47" t="str">
        <f>"MGI:1098767"</f>
        <v>MGI:1098767</v>
      </c>
      <c r="H47" t="str">
        <f>"Sgol2"</f>
        <v>Sgol2</v>
      </c>
      <c r="I47" t="str">
        <f>"shugoshin-like 2 (S. pombe)"</f>
        <v>shugoshin-like 2 (S. pombe)</v>
      </c>
      <c r="J47" t="str">
        <f t="shared" si="2"/>
        <v>protein coding gene</v>
      </c>
    </row>
    <row r="48" spans="1:10">
      <c r="A48">
        <v>10360985</v>
      </c>
      <c r="B48">
        <v>12.7800029775153</v>
      </c>
      <c r="C48">
        <v>11.530137187968</v>
      </c>
      <c r="E48" t="str">
        <f>"10360985"</f>
        <v>10360985</v>
      </c>
      <c r="F48" t="str">
        <f t="shared" si="0"/>
        <v>Affy 1.0 ST</v>
      </c>
      <c r="G48" t="str">
        <f>"MGI:1313302"</f>
        <v>MGI:1313302</v>
      </c>
      <c r="H48" t="str">
        <f>"Cenpf"</f>
        <v>Cenpf</v>
      </c>
      <c r="I48" t="str">
        <f>"centromere protein F"</f>
        <v>centromere protein F</v>
      </c>
      <c r="J48" t="str">
        <f t="shared" si="2"/>
        <v>protein coding gene</v>
      </c>
    </row>
    <row r="49" spans="1:10">
      <c r="A49">
        <v>10524169</v>
      </c>
      <c r="B49">
        <v>12.6006139404394</v>
      </c>
      <c r="C49">
        <v>12.772604411357101</v>
      </c>
      <c r="E49" t="str">
        <f>"10524169"</f>
        <v>10524169</v>
      </c>
      <c r="F49" t="str">
        <f t="shared" si="0"/>
        <v>Affy 1.0 ST</v>
      </c>
      <c r="G49" t="str">
        <f>"MGI:1196391"</f>
        <v>MGI:1196391</v>
      </c>
      <c r="H49" t="str">
        <f>"Pole"</f>
        <v>Pole</v>
      </c>
      <c r="I49" t="s">
        <v>164</v>
      </c>
      <c r="J49" t="s">
        <v>155</v>
      </c>
    </row>
    <row r="50" spans="1:10">
      <c r="A50">
        <v>10557156</v>
      </c>
      <c r="B50">
        <v>12.506495993325499</v>
      </c>
      <c r="C50">
        <v>9.7584069352320206</v>
      </c>
      <c r="E50" t="str">
        <f>"10557156"</f>
        <v>10557156</v>
      </c>
      <c r="F50" t="str">
        <f t="shared" si="0"/>
        <v>Affy 1.0 ST</v>
      </c>
      <c r="G50" t="str">
        <f>"MGI:97621"</f>
        <v>MGI:97621</v>
      </c>
      <c r="H50" t="str">
        <f>"Plk1"</f>
        <v>Plk1</v>
      </c>
      <c r="I50" t="str">
        <f>"polo-like kinase 1 (Drosophila)"</f>
        <v>polo-like kinase 1 (Drosophila)</v>
      </c>
      <c r="J50" t="str">
        <f t="shared" ref="J50:J55" si="3">"protein coding gene"</f>
        <v>protein coding gene</v>
      </c>
    </row>
    <row r="51" spans="1:10">
      <c r="A51">
        <v>10480432</v>
      </c>
      <c r="B51">
        <v>12.430749898340499</v>
      </c>
      <c r="C51">
        <v>9.8263413651957805</v>
      </c>
      <c r="E51" t="str">
        <f>"10480432"</f>
        <v>10480432</v>
      </c>
      <c r="F51" t="str">
        <f t="shared" si="0"/>
        <v>Affy 1.0 ST</v>
      </c>
      <c r="G51" t="str">
        <f>"MGI:1914371"</f>
        <v>MGI:1914371</v>
      </c>
      <c r="H51" t="str">
        <f>"Mastl"</f>
        <v>Mastl</v>
      </c>
      <c r="I51" t="str">
        <f>"microtubule associated serine/threonine kinase-like"</f>
        <v>microtubule associated serine/threonine kinase-like</v>
      </c>
      <c r="J51" t="str">
        <f t="shared" si="3"/>
        <v>protein coding gene</v>
      </c>
    </row>
    <row r="52" spans="1:10">
      <c r="A52">
        <v>10554325</v>
      </c>
      <c r="B52">
        <v>12.417463902648899</v>
      </c>
      <c r="C52">
        <v>10.5897244034916</v>
      </c>
      <c r="E52" t="str">
        <f>"10554325"</f>
        <v>10554325</v>
      </c>
      <c r="F52" t="str">
        <f t="shared" si="0"/>
        <v>Affy 1.0 ST</v>
      </c>
      <c r="G52" t="str">
        <f>"MGI:1924261"</f>
        <v>MGI:1924261</v>
      </c>
      <c r="H52" t="str">
        <f>"5730590G19Rik"</f>
        <v>5730590G19Rik</v>
      </c>
      <c r="I52" t="str">
        <f>"RIKEN cDNA 5730590G19 gene"</f>
        <v>RIKEN cDNA 5730590G19 gene</v>
      </c>
      <c r="J52" t="str">
        <f t="shared" si="3"/>
        <v>protein coding gene</v>
      </c>
    </row>
    <row r="53" spans="1:10">
      <c r="A53">
        <v>10436106</v>
      </c>
      <c r="B53">
        <v>12.2801759567697</v>
      </c>
      <c r="C53">
        <v>10.344048342293499</v>
      </c>
      <c r="E53" t="str">
        <f>"10436106"</f>
        <v>10436106</v>
      </c>
      <c r="F53" t="str">
        <f t="shared" si="0"/>
        <v>Affy 1.0 ST</v>
      </c>
      <c r="G53" t="str">
        <f>"MGI:2146335"</f>
        <v>MGI:2146335</v>
      </c>
      <c r="H53" t="str">
        <f>"C330027C09Rik"</f>
        <v>C330027C09Rik</v>
      </c>
      <c r="I53" t="str">
        <f>"RIKEN cDNA C330027C09 gene"</f>
        <v>RIKEN cDNA C330027C09 gene</v>
      </c>
      <c r="J53" t="str">
        <f t="shared" si="3"/>
        <v>protein coding gene</v>
      </c>
    </row>
    <row r="54" spans="1:10">
      <c r="A54">
        <v>10350838</v>
      </c>
      <c r="B54">
        <v>11.9071326789733</v>
      </c>
      <c r="C54">
        <v>10.815546184811</v>
      </c>
      <c r="E54" t="str">
        <f>"10350838"</f>
        <v>10350838</v>
      </c>
      <c r="F54" t="str">
        <f t="shared" si="0"/>
        <v>Affy 1.0 ST</v>
      </c>
      <c r="G54" t="str">
        <f>"MGI:1915276"</f>
        <v>MGI:1915276</v>
      </c>
      <c r="H54" t="str">
        <f>"2810417H13Rik"</f>
        <v>2810417H13Rik</v>
      </c>
      <c r="I54" t="str">
        <f>"RIKEN cDNA 2810417H13 gene"</f>
        <v>RIKEN cDNA 2810417H13 gene</v>
      </c>
      <c r="J54" t="str">
        <f t="shared" si="3"/>
        <v>protein coding gene</v>
      </c>
    </row>
    <row r="55" spans="1:10">
      <c r="A55">
        <v>10601705</v>
      </c>
      <c r="B55">
        <v>11.793526181931</v>
      </c>
      <c r="C55">
        <v>10.182574473036899</v>
      </c>
      <c r="E55" t="str">
        <f>"10601705"</f>
        <v>10601705</v>
      </c>
      <c r="F55" t="str">
        <f t="shared" si="0"/>
        <v>Affy 1.0 ST</v>
      </c>
      <c r="G55" t="str">
        <f>"MGI:2147897"</f>
        <v>MGI:2147897</v>
      </c>
      <c r="H55" t="str">
        <f>"Cenpi"</f>
        <v>Cenpi</v>
      </c>
      <c r="I55" t="str">
        <f>"centromere protein I"</f>
        <v>centromere protein I</v>
      </c>
      <c r="J55" t="str">
        <f t="shared" si="3"/>
        <v>protein coding gene</v>
      </c>
    </row>
    <row r="56" spans="1:10">
      <c r="A56">
        <v>10404061</v>
      </c>
      <c r="B56">
        <v>11.6956082867815</v>
      </c>
      <c r="C56">
        <v>10.0239451994133</v>
      </c>
      <c r="E56" t="str">
        <f>"10404061"</f>
        <v>10404061</v>
      </c>
      <c r="F56" t="str">
        <f t="shared" si="0"/>
        <v>Affy 1.0 ST</v>
      </c>
      <c r="G56" t="str">
        <f>"MGI:2448377"</f>
        <v>MGI:2448377</v>
      </c>
      <c r="H56" t="str">
        <f>"Hist1h2bb"</f>
        <v>Hist1h2bb</v>
      </c>
      <c r="I56" t="s">
        <v>165</v>
      </c>
      <c r="J56" t="s">
        <v>155</v>
      </c>
    </row>
    <row r="57" spans="1:10">
      <c r="A57">
        <v>10416037</v>
      </c>
      <c r="B57">
        <v>11.5256066447633</v>
      </c>
      <c r="C57">
        <v>10.389755075531401</v>
      </c>
      <c r="E57" t="str">
        <f>"10416037"</f>
        <v>10416037</v>
      </c>
      <c r="F57" t="str">
        <f t="shared" si="0"/>
        <v>Affy 1.0 ST</v>
      </c>
      <c r="G57" t="str">
        <f>"MGI:1289156"</f>
        <v>MGI:1289156</v>
      </c>
      <c r="H57" t="str">
        <f>"Pbk"</f>
        <v>Pbk</v>
      </c>
      <c r="I57" t="str">
        <f>"PDZ binding kinase"</f>
        <v>PDZ binding kinase</v>
      </c>
      <c r="J57" t="str">
        <f>"protein coding gene"</f>
        <v>protein coding gene</v>
      </c>
    </row>
    <row r="58" spans="1:10">
      <c r="A58">
        <v>10454709</v>
      </c>
      <c r="B58">
        <v>11.4679645624882</v>
      </c>
      <c r="C58">
        <v>9.1831256933247598</v>
      </c>
      <c r="E58" t="str">
        <f>"10454709"</f>
        <v>10454709</v>
      </c>
      <c r="F58" t="str">
        <f t="shared" si="0"/>
        <v>Affy 1.0 ST</v>
      </c>
      <c r="G58" t="str">
        <f>"MGI:1201682"</f>
        <v>MGI:1201682</v>
      </c>
      <c r="H58" t="str">
        <f>"Kif20a"</f>
        <v>Kif20a</v>
      </c>
      <c r="I58" t="str">
        <f>"kinesin family member 20A"</f>
        <v>kinesin family member 20A</v>
      </c>
      <c r="J58" t="str">
        <f>"protein coding gene"</f>
        <v>protein coding gene</v>
      </c>
    </row>
    <row r="59" spans="1:10">
      <c r="A59">
        <v>10421029</v>
      </c>
      <c r="B59">
        <v>11.3501649122227</v>
      </c>
      <c r="C59">
        <v>10.2844561199125</v>
      </c>
      <c r="E59" t="str">
        <f>"10421029"</f>
        <v>10421029</v>
      </c>
      <c r="F59" t="str">
        <f t="shared" si="0"/>
        <v>Affy 1.0 ST</v>
      </c>
      <c r="G59" t="str">
        <f>"MGI:1919787"</f>
        <v>MGI:1919787</v>
      </c>
      <c r="H59" t="str">
        <f>"Cdca2"</f>
        <v>Cdca2</v>
      </c>
      <c r="I59" t="str">
        <f>"cell division cycle associated 2"</f>
        <v>cell division cycle associated 2</v>
      </c>
      <c r="J59" t="str">
        <f>"protein coding gene"</f>
        <v>protein coding gene</v>
      </c>
    </row>
    <row r="60" spans="1:10">
      <c r="A60">
        <v>10477187</v>
      </c>
      <c r="B60">
        <v>11.327872840268199</v>
      </c>
      <c r="C60">
        <v>9.6906441953117994</v>
      </c>
      <c r="E60" t="str">
        <f>"10477187"</f>
        <v>10477187</v>
      </c>
      <c r="F60" t="str">
        <f t="shared" si="0"/>
        <v>Affy 1.0 ST</v>
      </c>
      <c r="G60" t="str">
        <f>"MGI:1919369"</f>
        <v>MGI:1919369</v>
      </c>
      <c r="H60" t="str">
        <f>"Tpx2"</f>
        <v>Tpx2</v>
      </c>
      <c r="I60" t="s">
        <v>166</v>
      </c>
      <c r="J60" t="s">
        <v>155</v>
      </c>
    </row>
    <row r="61" spans="1:10">
      <c r="A61">
        <v>10460738</v>
      </c>
      <c r="B61">
        <v>11.306861965802799</v>
      </c>
      <c r="C61">
        <v>9.4212521356147292</v>
      </c>
      <c r="E61" t="str">
        <f>"10460738"</f>
        <v>10460738</v>
      </c>
      <c r="F61" t="str">
        <f t="shared" si="0"/>
        <v>Affy 1.0 ST</v>
      </c>
      <c r="G61" t="str">
        <f>"MGI:1915099"</f>
        <v>MGI:1915099</v>
      </c>
      <c r="H61" t="str">
        <f>"Cdca5"</f>
        <v>Cdca5</v>
      </c>
      <c r="I61" t="str">
        <f>"cell division cycle associated 5"</f>
        <v>cell division cycle associated 5</v>
      </c>
      <c r="J61" t="str">
        <f>"protein coding gene"</f>
        <v>protein coding gene</v>
      </c>
    </row>
    <row r="62" spans="1:10">
      <c r="A62">
        <v>10587508</v>
      </c>
      <c r="B62">
        <v>11.2953353584778</v>
      </c>
      <c r="C62">
        <v>9.3994018980746592</v>
      </c>
      <c r="E62" t="str">
        <f>"10587508"</f>
        <v>10587508</v>
      </c>
      <c r="F62" t="str">
        <f t="shared" si="0"/>
        <v>Affy 1.0 ST</v>
      </c>
      <c r="G62" t="str">
        <f>"MGI:1194921"</f>
        <v>MGI:1194921</v>
      </c>
      <c r="H62" t="str">
        <f>"Ttk"</f>
        <v>Ttk</v>
      </c>
      <c r="I62" t="str">
        <f>"Ttk protein kinase"</f>
        <v>Ttk protein kinase</v>
      </c>
      <c r="J62" t="str">
        <f>"protein coding gene"</f>
        <v>protein coding gene</v>
      </c>
    </row>
    <row r="63" spans="1:10">
      <c r="A63">
        <v>10474769</v>
      </c>
      <c r="B63">
        <v>11.2758909960144</v>
      </c>
      <c r="C63">
        <v>8.7364648816012291</v>
      </c>
      <c r="E63" t="str">
        <f>"10474769"</f>
        <v>10474769</v>
      </c>
      <c r="F63" t="str">
        <f t="shared" si="0"/>
        <v>Affy 1.0 ST</v>
      </c>
      <c r="G63" t="str">
        <f>"MGI:1333889"</f>
        <v>MGI:1333889</v>
      </c>
      <c r="H63" t="str">
        <f>"Bub1b"</f>
        <v>Bub1b</v>
      </c>
      <c r="I63" t="s">
        <v>167</v>
      </c>
      <c r="J63" t="s">
        <v>155</v>
      </c>
    </row>
    <row r="64" spans="1:10">
      <c r="A64">
        <v>10467637</v>
      </c>
      <c r="B64">
        <v>11.218057079279999</v>
      </c>
      <c r="C64">
        <v>7.7218972105828003</v>
      </c>
      <c r="E64" t="str">
        <f>"10467637"</f>
        <v>10467637</v>
      </c>
      <c r="F64" t="str">
        <f t="shared" si="0"/>
        <v>Affy 1.0 ST</v>
      </c>
      <c r="G64" t="str">
        <f>"MGI:1918335"</f>
        <v>MGI:1918335</v>
      </c>
      <c r="H64" t="str">
        <f>"Arhgap19"</f>
        <v>Arhgap19</v>
      </c>
      <c r="I64" t="str">
        <f>"Rho GTPase activating protein 19"</f>
        <v>Rho GTPase activating protein 19</v>
      </c>
      <c r="J64" t="str">
        <f>"protein coding gene"</f>
        <v>protein coding gene</v>
      </c>
    </row>
    <row r="65" spans="1:10">
      <c r="A65">
        <v>10452709</v>
      </c>
      <c r="B65">
        <v>11.0927084335383</v>
      </c>
      <c r="C65">
        <v>9.0231819801603308</v>
      </c>
      <c r="E65" t="str">
        <f>"10452709"</f>
        <v>10452709</v>
      </c>
      <c r="F65" t="str">
        <f t="shared" si="0"/>
        <v>Affy 1.0 ST</v>
      </c>
      <c r="G65" t="str">
        <f>"MGI:1914302"</f>
        <v>MGI:1914302</v>
      </c>
      <c r="H65" t="str">
        <f>"Ndc80"</f>
        <v>Ndc80</v>
      </c>
      <c r="I65" t="s">
        <v>168</v>
      </c>
      <c r="J65" t="s">
        <v>155</v>
      </c>
    </row>
    <row r="66" spans="1:10">
      <c r="A66">
        <v>10379127</v>
      </c>
      <c r="B66">
        <v>11.031712365225401</v>
      </c>
      <c r="C66">
        <v>8.4168235352983594</v>
      </c>
      <c r="E66" t="str">
        <f>"10379127"</f>
        <v>10379127</v>
      </c>
      <c r="F66" t="str">
        <f t="shared" ref="F66:F124" si="4">"Affy 1.0 ST"</f>
        <v>Affy 1.0 ST</v>
      </c>
      <c r="G66" t="str">
        <f>"MGI:1927470"</f>
        <v>MGI:1927470</v>
      </c>
      <c r="H66" t="str">
        <f>"Spag5"</f>
        <v>Spag5</v>
      </c>
      <c r="I66" t="str">
        <f>"sperm associated antigen 5"</f>
        <v>sperm associated antigen 5</v>
      </c>
      <c r="J66" t="str">
        <f t="shared" ref="J66:J71" si="5">"protein coding gene"</f>
        <v>protein coding gene</v>
      </c>
    </row>
    <row r="67" spans="1:10">
      <c r="A67">
        <v>10458195</v>
      </c>
      <c r="B67">
        <v>10.9296766372745</v>
      </c>
      <c r="C67">
        <v>8.1644736157143196</v>
      </c>
      <c r="E67" t="str">
        <f>"10458195"</f>
        <v>10458195</v>
      </c>
      <c r="F67" t="str">
        <f t="shared" si="4"/>
        <v>Affy 1.0 ST</v>
      </c>
      <c r="G67" t="str">
        <f>"MGI:88350"</f>
        <v>MGI:88350</v>
      </c>
      <c r="H67" t="str">
        <f>"Cdc25c"</f>
        <v>Cdc25c</v>
      </c>
      <c r="I67" t="str">
        <f>"cell division cycle 25 homolog C (S. pombe)"</f>
        <v>cell division cycle 25 homolog C (S. pombe)</v>
      </c>
      <c r="J67" t="str">
        <f t="shared" si="5"/>
        <v>protein coding gene</v>
      </c>
    </row>
    <row r="68" spans="1:10">
      <c r="A68">
        <v>10487577</v>
      </c>
      <c r="B68">
        <v>10.878847963660199</v>
      </c>
      <c r="C68">
        <v>8.7523720590249994</v>
      </c>
      <c r="E68" t="str">
        <f>"10487577"</f>
        <v>10487577</v>
      </c>
      <c r="F68" t="str">
        <f t="shared" si="4"/>
        <v>Affy 1.0 ST</v>
      </c>
      <c r="G68" t="str">
        <f>"MGI:1917716"</f>
        <v>MGI:1917716</v>
      </c>
      <c r="H68" t="str">
        <f>"Ckap2l"</f>
        <v>Ckap2l</v>
      </c>
      <c r="I68" t="str">
        <f>"cytoskeleton associated protein 2-like"</f>
        <v>cytoskeleton associated protein 2-like</v>
      </c>
      <c r="J68" t="str">
        <f t="shared" si="5"/>
        <v>protein coding gene</v>
      </c>
    </row>
    <row r="69" spans="1:10">
      <c r="A69">
        <v>10350297</v>
      </c>
      <c r="B69">
        <v>10.7337113206995</v>
      </c>
      <c r="C69">
        <v>8.4290154641095807</v>
      </c>
      <c r="E69" t="str">
        <f>"10350297"</f>
        <v>10350297</v>
      </c>
      <c r="F69" t="str">
        <f t="shared" si="4"/>
        <v>Affy 1.0 ST</v>
      </c>
      <c r="G69" t="str">
        <f>"MGI:1098226"</f>
        <v>MGI:1098226</v>
      </c>
      <c r="H69" t="str">
        <f>"Kif14"</f>
        <v>Kif14</v>
      </c>
      <c r="I69" t="str">
        <f>"kinesin family member 14"</f>
        <v>kinesin family member 14</v>
      </c>
      <c r="J69" t="str">
        <f t="shared" si="5"/>
        <v>protein coding gene</v>
      </c>
    </row>
    <row r="70" spans="1:10">
      <c r="A70">
        <v>10451805</v>
      </c>
      <c r="B70">
        <v>10.610179641893399</v>
      </c>
      <c r="C70">
        <v>8.4534924374133809</v>
      </c>
      <c r="E70" t="str">
        <f>"10451805"</f>
        <v>10451805</v>
      </c>
      <c r="F70" t="str">
        <f t="shared" si="4"/>
        <v>Affy 1.0 ST</v>
      </c>
      <c r="G70" t="str">
        <f>"MGI:1919665"</f>
        <v>MGI:1919665</v>
      </c>
      <c r="H70" t="str">
        <f>"Sgol1"</f>
        <v>Sgol1</v>
      </c>
      <c r="I70" t="str">
        <f>"shugoshin-like 1 (S. pombe)"</f>
        <v>shugoshin-like 1 (S. pombe)</v>
      </c>
      <c r="J70" t="str">
        <f t="shared" si="5"/>
        <v>protein coding gene</v>
      </c>
    </row>
    <row r="71" spans="1:10">
      <c r="A71">
        <v>10518350</v>
      </c>
      <c r="B71">
        <v>10.4591030894921</v>
      </c>
      <c r="C71">
        <v>8.2859054250668205</v>
      </c>
      <c r="E71" t="str">
        <f>"10518350"</f>
        <v>10518350</v>
      </c>
      <c r="F71" t="str">
        <f t="shared" si="4"/>
        <v>Affy 1.0 ST</v>
      </c>
      <c r="G71" t="str">
        <f>"MGI:96157"</f>
        <v>MGI:96157</v>
      </c>
      <c r="H71" t="str">
        <f>"Hmgb2"</f>
        <v>Hmgb2</v>
      </c>
      <c r="I71" t="str">
        <f>"high mobility group box 2"</f>
        <v>high mobility group box 2</v>
      </c>
      <c r="J71" t="str">
        <f t="shared" si="5"/>
        <v>protein coding gene</v>
      </c>
    </row>
    <row r="72" spans="1:10">
      <c r="A72">
        <v>10367076</v>
      </c>
      <c r="B72">
        <v>10.379645910260599</v>
      </c>
      <c r="C72">
        <v>9.6682917984771493</v>
      </c>
      <c r="E72" t="str">
        <f>"10367076"</f>
        <v>10367076</v>
      </c>
      <c r="F72" t="str">
        <f t="shared" si="4"/>
        <v>Affy 1.0 ST</v>
      </c>
      <c r="G72" t="str">
        <f>"MGI:97757"</f>
        <v>MGI:97757</v>
      </c>
      <c r="H72" t="str">
        <f>"Prim1"</f>
        <v>Prim1</v>
      </c>
      <c r="I72" t="s">
        <v>169</v>
      </c>
      <c r="J72" t="s">
        <v>155</v>
      </c>
    </row>
    <row r="73" spans="1:10">
      <c r="A73">
        <v>10568461</v>
      </c>
      <c r="B73">
        <v>10.364158097432799</v>
      </c>
      <c r="C73">
        <v>8.0359681091928206</v>
      </c>
      <c r="E73" t="str">
        <f>"10568461"</f>
        <v>10568461</v>
      </c>
      <c r="F73" t="str">
        <f t="shared" si="4"/>
        <v>Affy 1.0 ST</v>
      </c>
      <c r="G73" t="str">
        <f>"MGI:2384584"</f>
        <v>MGI:2384584</v>
      </c>
      <c r="H73" t="str">
        <f>"Rfwd3"</f>
        <v>Rfwd3</v>
      </c>
      <c r="I73" t="str">
        <f>"ring finger and WD repeat domain 3"</f>
        <v>ring finger and WD repeat domain 3</v>
      </c>
      <c r="J73" t="str">
        <f>"protein coding gene"</f>
        <v>protein coding gene</v>
      </c>
    </row>
    <row r="74" spans="1:10">
      <c r="A74">
        <v>10361375</v>
      </c>
      <c r="B74">
        <v>10.2850723114489</v>
      </c>
      <c r="C74">
        <v>7.6946717703716097</v>
      </c>
      <c r="E74" t="str">
        <f>"10361375"</f>
        <v>10361375</v>
      </c>
      <c r="F74" t="str">
        <f t="shared" si="4"/>
        <v>Affy 1.0 ST</v>
      </c>
      <c r="G74" t="str">
        <f>"MGI:1914391"</f>
        <v>MGI:1914391</v>
      </c>
      <c r="H74" t="str">
        <f>"Fbxo5"</f>
        <v>Fbxo5</v>
      </c>
      <c r="I74" t="str">
        <f>"F-box protein 5"</f>
        <v>F-box protein 5</v>
      </c>
      <c r="J74" t="str">
        <f>"protein coding gene"</f>
        <v>protein coding gene</v>
      </c>
    </row>
    <row r="75" spans="1:10">
      <c r="A75">
        <v>10521090</v>
      </c>
      <c r="B75">
        <v>10.2339087284707</v>
      </c>
      <c r="C75">
        <v>8.6132146589899197</v>
      </c>
      <c r="E75" t="str">
        <f>"10521090"</f>
        <v>10521090</v>
      </c>
      <c r="F75" t="str">
        <f t="shared" si="4"/>
        <v>Affy 1.0 ST</v>
      </c>
      <c r="G75" t="str">
        <f>"MGI:1341163"</f>
        <v>MGI:1341163</v>
      </c>
      <c r="H75" t="str">
        <f>"Tacc3"</f>
        <v>Tacc3</v>
      </c>
      <c r="I75" t="s">
        <v>170</v>
      </c>
      <c r="J75" t="s">
        <v>155</v>
      </c>
    </row>
    <row r="76" spans="1:10">
      <c r="A76">
        <v>10406968</v>
      </c>
      <c r="B76">
        <v>10.231723862640401</v>
      </c>
      <c r="C76">
        <v>9.0920700975930906</v>
      </c>
      <c r="E76" t="str">
        <f>"10406968"</f>
        <v>10406968</v>
      </c>
      <c r="F76" t="str">
        <f t="shared" si="4"/>
        <v>Affy 1.0 ST</v>
      </c>
      <c r="G76" t="str">
        <f>"MGI:1926210"</f>
        <v>MGI:1926210</v>
      </c>
      <c r="H76" t="str">
        <f>"Cenpk"</f>
        <v>Cenpk</v>
      </c>
      <c r="I76" t="str">
        <f>"centromere protein K"</f>
        <v>centromere protein K</v>
      </c>
      <c r="J76" t="str">
        <f>"protein coding gene"</f>
        <v>protein coding gene</v>
      </c>
    </row>
    <row r="77" spans="1:10">
      <c r="A77">
        <v>10371591</v>
      </c>
      <c r="B77">
        <v>10.2246300177504</v>
      </c>
      <c r="C77">
        <v>7.3597631632215803</v>
      </c>
      <c r="E77" t="str">
        <f>"10371591"</f>
        <v>10371591</v>
      </c>
      <c r="F77" t="str">
        <f t="shared" si="4"/>
        <v>Affy 1.0 ST</v>
      </c>
      <c r="G77" t="str">
        <f>"MGI:1922567"</f>
        <v>MGI:1922567</v>
      </c>
      <c r="H77" t="str">
        <f>"4930547N16Rik"</f>
        <v>4930547N16Rik</v>
      </c>
      <c r="I77" t="str">
        <f>"RIKEN cDNA 4930547N16 gene"</f>
        <v>RIKEN cDNA 4930547N16 gene</v>
      </c>
      <c r="J77" t="str">
        <f>"protein coding gene"</f>
        <v>protein coding gene</v>
      </c>
    </row>
    <row r="78" spans="1:10">
      <c r="A78">
        <v>10462632</v>
      </c>
      <c r="B78">
        <v>10.1999534266157</v>
      </c>
      <c r="C78">
        <v>8.7671374955018493</v>
      </c>
      <c r="E78" t="str">
        <f>"10462632"</f>
        <v>10462632</v>
      </c>
      <c r="F78" t="str">
        <f t="shared" si="4"/>
        <v>Affy 1.0 ST</v>
      </c>
      <c r="G78" t="str">
        <f>"MGI:2444576"</f>
        <v>MGI:2444576</v>
      </c>
      <c r="H78" t="str">
        <f>"Kif20b"</f>
        <v>Kif20b</v>
      </c>
      <c r="I78" t="str">
        <f>"kinesin family member 20B"</f>
        <v>kinesin family member 20B</v>
      </c>
      <c r="J78" t="str">
        <f>"protein coding gene"</f>
        <v>protein coding gene</v>
      </c>
    </row>
    <row r="79" spans="1:10">
      <c r="A79">
        <v>10419323</v>
      </c>
      <c r="B79">
        <v>9.9432084309186397</v>
      </c>
      <c r="C79">
        <v>7.40774797068556</v>
      </c>
      <c r="E79" t="str">
        <f>"10419323"</f>
        <v>10419323</v>
      </c>
      <c r="F79" t="str">
        <f t="shared" si="4"/>
        <v>Affy 1.0 ST</v>
      </c>
      <c r="G79" t="str">
        <f>"MGI:2183453"</f>
        <v>MGI:2183453</v>
      </c>
      <c r="H79" t="str">
        <f>"Dlgap5"</f>
        <v>Dlgap5</v>
      </c>
      <c r="I79" t="s">
        <v>171</v>
      </c>
      <c r="J79" t="s">
        <v>155</v>
      </c>
    </row>
    <row r="80" spans="1:10">
      <c r="A80">
        <v>10605674</v>
      </c>
      <c r="B80">
        <v>9.9206294000827704</v>
      </c>
      <c r="C80">
        <v>9.4162174759603392</v>
      </c>
      <c r="E80" t="str">
        <f>"10605674"</f>
        <v>10605674</v>
      </c>
      <c r="F80" t="str">
        <f t="shared" si="4"/>
        <v>Affy 1.0 ST</v>
      </c>
      <c r="G80" t="str">
        <f>"MGI:99660"</f>
        <v>MGI:99660</v>
      </c>
      <c r="H80" t="str">
        <f>"Pola1"</f>
        <v>Pola1</v>
      </c>
      <c r="I80" t="s">
        <v>172</v>
      </c>
      <c r="J80" t="s">
        <v>155</v>
      </c>
    </row>
    <row r="81" spans="1:10">
      <c r="A81">
        <v>10540738</v>
      </c>
      <c r="B81">
        <v>9.8229291600870194</v>
      </c>
      <c r="C81">
        <v>8.1037400590019395</v>
      </c>
      <c r="E81" t="str">
        <f>"10540738"</f>
        <v>10540738</v>
      </c>
      <c r="F81" t="str">
        <f t="shared" si="4"/>
        <v>Affy 1.0 ST</v>
      </c>
      <c r="G81" t="str">
        <f>"MGI:2448480"</f>
        <v>MGI:2448480</v>
      </c>
      <c r="H81" t="str">
        <f>"Fancd2"</f>
        <v>Fancd2</v>
      </c>
      <c r="I81" t="s">
        <v>173</v>
      </c>
      <c r="J81" t="s">
        <v>155</v>
      </c>
    </row>
    <row r="82" spans="1:10">
      <c r="A82">
        <v>10453512</v>
      </c>
      <c r="B82">
        <v>9.7660642663347002</v>
      </c>
      <c r="C82">
        <v>7.0617668154607003</v>
      </c>
      <c r="E82" t="str">
        <f>"10453512"</f>
        <v>10453512</v>
      </c>
      <c r="F82" t="str">
        <f t="shared" si="4"/>
        <v>Affy 1.0 ST</v>
      </c>
      <c r="G82" t="str">
        <f>"MGI:103561"</f>
        <v>MGI:103561</v>
      </c>
      <c r="H82" t="str">
        <f>"Kpna2"</f>
        <v>Kpna2</v>
      </c>
      <c r="I82" t="str">
        <f>"karyopherin (importin) alpha 2"</f>
        <v>karyopherin (importin) alpha 2</v>
      </c>
      <c r="J82" t="str">
        <f t="shared" ref="J82:J91" si="6">"protein coding gene"</f>
        <v>protein coding gene</v>
      </c>
    </row>
    <row r="83" spans="1:10">
      <c r="A83">
        <v>10573261</v>
      </c>
      <c r="B83">
        <v>9.7478725664174206</v>
      </c>
      <c r="C83">
        <v>7.3914150061254302</v>
      </c>
      <c r="E83" t="str">
        <f>"10573261"</f>
        <v>10573261</v>
      </c>
      <c r="F83" t="str">
        <f t="shared" si="4"/>
        <v>Affy 1.0 ST</v>
      </c>
      <c r="G83" t="str">
        <f>"MGI:1914179"</f>
        <v>MGI:1914179</v>
      </c>
      <c r="H83" t="str">
        <f>"Asf1b"</f>
        <v>Asf1b</v>
      </c>
      <c r="I83" t="str">
        <f>"ASF1 anti-silencing function 1 homolog B (S. cerevisiae)"</f>
        <v>ASF1 anti-silencing function 1 homolog B (S. cerevisiae)</v>
      </c>
      <c r="J83" t="str">
        <f t="shared" si="6"/>
        <v>protein coding gene</v>
      </c>
    </row>
    <row r="84" spans="1:10">
      <c r="A84">
        <v>10542079</v>
      </c>
      <c r="B84">
        <v>9.74075046502867</v>
      </c>
      <c r="C84">
        <v>7.8380327998925399</v>
      </c>
      <c r="E84" t="str">
        <f>"10542079"</f>
        <v>10542079</v>
      </c>
      <c r="F84" t="str">
        <f t="shared" si="4"/>
        <v>Affy 1.0 ST</v>
      </c>
      <c r="G84" t="str">
        <f>"MGI:1347487"</f>
        <v>MGI:1347487</v>
      </c>
      <c r="H84" t="str">
        <f>"Foxm1"</f>
        <v>Foxm1</v>
      </c>
      <c r="I84" t="str">
        <f>"forkhead box M1"</f>
        <v>forkhead box M1</v>
      </c>
      <c r="J84" t="str">
        <f t="shared" si="6"/>
        <v>protein coding gene</v>
      </c>
    </row>
    <row r="85" spans="1:10">
      <c r="A85">
        <v>10504957</v>
      </c>
      <c r="B85">
        <v>9.7386532885824302</v>
      </c>
      <c r="C85">
        <v>8.9107898248447395</v>
      </c>
      <c r="E85" t="str">
        <f>"10504957"</f>
        <v>10504957</v>
      </c>
      <c r="F85" t="str">
        <f t="shared" si="4"/>
        <v>Affy 1.0 ST</v>
      </c>
      <c r="G85" t="str">
        <f>"MGI:106067"</f>
        <v>MGI:106067</v>
      </c>
      <c r="H85" t="str">
        <f>"Smc2"</f>
        <v>Smc2</v>
      </c>
      <c r="I85" t="str">
        <f>"structural maintenance of chromosomes 2"</f>
        <v>structural maintenance of chromosomes 2</v>
      </c>
      <c r="J85" t="str">
        <f t="shared" si="6"/>
        <v>protein coding gene</v>
      </c>
    </row>
    <row r="86" spans="1:10">
      <c r="A86">
        <v>10516246</v>
      </c>
      <c r="B86">
        <v>9.6726934578010599</v>
      </c>
      <c r="C86">
        <v>7.36603202441961</v>
      </c>
      <c r="E86" t="str">
        <f>"10516246"</f>
        <v>10516246</v>
      </c>
      <c r="F86" t="str">
        <f t="shared" si="4"/>
        <v>Affy 1.0 ST</v>
      </c>
      <c r="G86" t="str">
        <f>"MGI:1196274"</f>
        <v>MGI:1196274</v>
      </c>
      <c r="H86" t="str">
        <f>"Cdca8"</f>
        <v>Cdca8</v>
      </c>
      <c r="I86" t="str">
        <f>"cell division cycle associated 8"</f>
        <v>cell division cycle associated 8</v>
      </c>
      <c r="J86" t="str">
        <f t="shared" si="6"/>
        <v>protein coding gene</v>
      </c>
    </row>
    <row r="87" spans="1:10">
      <c r="A87">
        <v>10594774</v>
      </c>
      <c r="B87">
        <v>9.6587216669571205</v>
      </c>
      <c r="C87">
        <v>6.95476804504559</v>
      </c>
      <c r="E87" t="str">
        <f>"10594774"</f>
        <v>10594774</v>
      </c>
      <c r="F87" t="str">
        <f t="shared" si="4"/>
        <v>Affy 1.0 ST</v>
      </c>
      <c r="G87" t="str">
        <f>"MGI:88311"</f>
        <v>MGI:88311</v>
      </c>
      <c r="H87" t="str">
        <f>"Ccnb2"</f>
        <v>Ccnb2</v>
      </c>
      <c r="I87" t="str">
        <f>"cyclin B2"</f>
        <v>cyclin B2</v>
      </c>
      <c r="J87" t="str">
        <f t="shared" si="6"/>
        <v>protein coding gene</v>
      </c>
    </row>
    <row r="88" spans="1:10">
      <c r="A88">
        <v>10384373</v>
      </c>
      <c r="B88">
        <v>9.6584144545960395</v>
      </c>
      <c r="C88">
        <v>8.5824452661940107</v>
      </c>
      <c r="E88" t="str">
        <f>"10384373"</f>
        <v>10384373</v>
      </c>
      <c r="F88" t="str">
        <f t="shared" si="4"/>
        <v>Affy 1.0 ST</v>
      </c>
      <c r="G88" t="str">
        <f>"MGI:1890648"</f>
        <v>MGI:1890648</v>
      </c>
      <c r="H88" t="str">
        <f>"Fignl1"</f>
        <v>Fignl1</v>
      </c>
      <c r="I88" t="str">
        <f>"fidgetin-like 1"</f>
        <v>fidgetin-like 1</v>
      </c>
      <c r="J88" t="str">
        <f t="shared" si="6"/>
        <v>protein coding gene</v>
      </c>
    </row>
    <row r="89" spans="1:10">
      <c r="A89">
        <v>10538832</v>
      </c>
      <c r="B89">
        <v>9.6540235651609496</v>
      </c>
      <c r="C89">
        <v>8.8001706333162595</v>
      </c>
      <c r="E89" t="str">
        <f>"10538832"</f>
        <v>10538832</v>
      </c>
      <c r="F89" t="str">
        <f t="shared" si="4"/>
        <v>Affy 1.0 ST</v>
      </c>
      <c r="G89" t="str">
        <f>"MGI:1860374"</f>
        <v>MGI:1860374</v>
      </c>
      <c r="H89" t="str">
        <f>"Mad2l1"</f>
        <v>Mad2l1</v>
      </c>
      <c r="I89" t="str">
        <f>"MAD2 mitotic arrest deficient-like 1 (yeast)"</f>
        <v>MAD2 mitotic arrest deficient-like 1 (yeast)</v>
      </c>
      <c r="J89" t="str">
        <f t="shared" si="6"/>
        <v>protein coding gene</v>
      </c>
    </row>
    <row r="90" spans="1:10">
      <c r="A90">
        <v>10438690</v>
      </c>
      <c r="B90">
        <v>9.4929296802467</v>
      </c>
      <c r="C90">
        <v>8.60519257283282</v>
      </c>
      <c r="E90" t="str">
        <f>"10438690"</f>
        <v>10438690</v>
      </c>
      <c r="F90" t="str">
        <f t="shared" si="4"/>
        <v>Affy 1.0 ST</v>
      </c>
      <c r="G90" t="str">
        <f>"MGI:2146571"</f>
        <v>MGI:2146571</v>
      </c>
      <c r="H90" t="str">
        <f>"Rfc4"</f>
        <v>Rfc4</v>
      </c>
      <c r="I90" t="str">
        <f>"replication factor C (activator 1) 4"</f>
        <v>replication factor C (activator 1) 4</v>
      </c>
      <c r="J90" t="str">
        <f t="shared" si="6"/>
        <v>protein coding gene</v>
      </c>
    </row>
    <row r="91" spans="1:10">
      <c r="A91">
        <v>10382998</v>
      </c>
      <c r="B91">
        <v>9.3369778345971</v>
      </c>
      <c r="C91">
        <v>7.1994116775464301</v>
      </c>
      <c r="E91" t="str">
        <f>"10382998"</f>
        <v>10382998</v>
      </c>
      <c r="F91" t="str">
        <f t="shared" si="4"/>
        <v>Affy 1.0 ST</v>
      </c>
      <c r="G91" t="str">
        <f>"MGI:1203517"</f>
        <v>MGI:1203517</v>
      </c>
      <c r="H91" t="str">
        <f>"Birc5"</f>
        <v>Birc5</v>
      </c>
      <c r="I91" t="str">
        <f>"baculoviral IAP repeat-containing 5"</f>
        <v>baculoviral IAP repeat-containing 5</v>
      </c>
      <c r="J91" t="str">
        <f t="shared" si="6"/>
        <v>protein coding gene</v>
      </c>
    </row>
    <row r="92" spans="1:10">
      <c r="A92">
        <v>10515090</v>
      </c>
      <c r="B92">
        <v>9.3332638828580894</v>
      </c>
      <c r="C92">
        <v>5.4794141880903497</v>
      </c>
      <c r="E92" t="str">
        <f>"10515090"</f>
        <v>10515090</v>
      </c>
      <c r="F92" t="str">
        <f t="shared" si="4"/>
        <v>Affy 1.0 ST</v>
      </c>
      <c r="G92" t="str">
        <f>"MGI:105388"</f>
        <v>MGI:105388</v>
      </c>
      <c r="H92" t="str">
        <f>"Cdkn2c"</f>
        <v>Cdkn2c</v>
      </c>
      <c r="I92" t="s">
        <v>174</v>
      </c>
      <c r="J92" t="s">
        <v>155</v>
      </c>
    </row>
    <row r="93" spans="1:10">
      <c r="A93">
        <v>10421877</v>
      </c>
      <c r="B93">
        <v>9.2814406756875201</v>
      </c>
      <c r="C93">
        <v>8.0152935049320799</v>
      </c>
      <c r="E93" t="str">
        <f>"10421877"</f>
        <v>10421877</v>
      </c>
      <c r="F93" t="str">
        <f t="shared" si="4"/>
        <v>Affy 1.0 ST</v>
      </c>
      <c r="G93" t="str">
        <f>"MGI:1927222"</f>
        <v>MGI:1927222</v>
      </c>
      <c r="H93" t="str">
        <f>"Diap3"</f>
        <v>Diap3</v>
      </c>
      <c r="I93" t="str">
        <f>"diaphanous homolog 3 (Drosophila)"</f>
        <v>diaphanous homolog 3 (Drosophila)</v>
      </c>
      <c r="J93" t="str">
        <f t="shared" ref="J93:J98" si="7">"protein coding gene"</f>
        <v>protein coding gene</v>
      </c>
    </row>
    <row r="94" spans="1:10">
      <c r="A94">
        <v>10411728</v>
      </c>
      <c r="B94">
        <v>9.2180191210661597</v>
      </c>
      <c r="C94">
        <v>8.1509417633078503</v>
      </c>
      <c r="E94" t="str">
        <f>"10411728"</f>
        <v>10411728</v>
      </c>
      <c r="F94" t="str">
        <f t="shared" si="4"/>
        <v>Affy 1.0 ST</v>
      </c>
      <c r="G94" t="str">
        <f>"MGI:1349448"</f>
        <v>MGI:1349448</v>
      </c>
      <c r="H94" t="str">
        <f>"Cenph"</f>
        <v>Cenph</v>
      </c>
      <c r="I94" t="str">
        <f>"centromere protein H"</f>
        <v>centromere protein H</v>
      </c>
      <c r="J94" t="str">
        <f t="shared" si="7"/>
        <v>protein coding gene</v>
      </c>
    </row>
    <row r="95" spans="1:10">
      <c r="A95">
        <v>10424779</v>
      </c>
      <c r="B95">
        <v>9.0611774829896099</v>
      </c>
      <c r="C95">
        <v>7.2265718736229099</v>
      </c>
      <c r="E95" t="str">
        <f>"10424779"</f>
        <v>10424779</v>
      </c>
      <c r="F95" t="str">
        <f t="shared" si="4"/>
        <v>Affy 1.0 ST</v>
      </c>
      <c r="G95" t="str">
        <f>"MGI:1913447"</f>
        <v>MGI:1913447</v>
      </c>
      <c r="H95" t="str">
        <f>"Cks2"</f>
        <v>Cks2</v>
      </c>
      <c r="I95" t="str">
        <f>"CDC28 protein kinase regulatory subunit 2"</f>
        <v>CDC28 protein kinase regulatory subunit 2</v>
      </c>
      <c r="J95" t="str">
        <f t="shared" si="7"/>
        <v>protein coding gene</v>
      </c>
    </row>
    <row r="96" spans="1:10">
      <c r="A96">
        <v>10478572</v>
      </c>
      <c r="B96">
        <v>9.0350519238796991</v>
      </c>
      <c r="C96">
        <v>6.7614004633621798</v>
      </c>
      <c r="E96" t="str">
        <f>"10478572"</f>
        <v>10478572</v>
      </c>
      <c r="F96" t="str">
        <f t="shared" si="4"/>
        <v>Affy 1.0 ST</v>
      </c>
      <c r="G96" t="str">
        <f>"MGI:1915862"</f>
        <v>MGI:1915862</v>
      </c>
      <c r="H96" t="str">
        <f>"Ube2c"</f>
        <v>Ube2c</v>
      </c>
      <c r="I96" t="str">
        <f>"ubiquitin-conjugating enzyme E2C"</f>
        <v>ubiquitin-conjugating enzyme E2C</v>
      </c>
      <c r="J96" t="str">
        <f t="shared" si="7"/>
        <v>protein coding gene</v>
      </c>
    </row>
    <row r="97" spans="1:10">
      <c r="A97">
        <v>10555695</v>
      </c>
      <c r="B97">
        <v>9.0274200115842707</v>
      </c>
      <c r="C97">
        <v>7.6599898209204804</v>
      </c>
      <c r="E97" t="str">
        <f>"10555695"</f>
        <v>10555695</v>
      </c>
      <c r="F97" t="str">
        <f t="shared" si="4"/>
        <v>Affy 1.0 ST</v>
      </c>
      <c r="G97" t="str">
        <f>"MGI:98180"</f>
        <v>MGI:98180</v>
      </c>
      <c r="H97" t="str">
        <f>"Rrm1"</f>
        <v>Rrm1</v>
      </c>
      <c r="I97" t="str">
        <f>"ribonucleotide reductase M1"</f>
        <v>ribonucleotide reductase M1</v>
      </c>
      <c r="J97" t="str">
        <f t="shared" si="7"/>
        <v>protein coding gene</v>
      </c>
    </row>
    <row r="98" spans="1:10">
      <c r="A98">
        <v>10497520</v>
      </c>
      <c r="B98">
        <v>9.0216085054082793</v>
      </c>
      <c r="C98">
        <v>8.1174572437266796</v>
      </c>
      <c r="E98" t="str">
        <f>"10497520"</f>
        <v>10497520</v>
      </c>
      <c r="F98" t="str">
        <f t="shared" si="4"/>
        <v>Affy 1.0 ST</v>
      </c>
      <c r="G98" t="str">
        <f>"MGI:95281"</f>
        <v>MGI:95281</v>
      </c>
      <c r="H98" t="str">
        <f>"Ect2"</f>
        <v>Ect2</v>
      </c>
      <c r="I98" t="str">
        <f>"ect2 oncogene"</f>
        <v>ect2 oncogene</v>
      </c>
      <c r="J98" t="str">
        <f t="shared" si="7"/>
        <v>protein coding gene</v>
      </c>
    </row>
    <row r="99" spans="1:10">
      <c r="A99">
        <v>10404026</v>
      </c>
      <c r="B99">
        <v>8.9847499132179998</v>
      </c>
      <c r="C99">
        <v>7.9572096304589</v>
      </c>
      <c r="E99" t="str">
        <f>"10404026"</f>
        <v>10404026</v>
      </c>
      <c r="F99" t="str">
        <f t="shared" si="4"/>
        <v>Affy 1.0 ST</v>
      </c>
      <c r="G99" t="str">
        <f>"MGI:2448309"</f>
        <v>MGI:2448309</v>
      </c>
      <c r="H99" t="str">
        <f>"Hist1h2af"</f>
        <v>Hist1h2af</v>
      </c>
      <c r="I99" t="s">
        <v>175</v>
      </c>
      <c r="J99" t="s">
        <v>155</v>
      </c>
    </row>
    <row r="100" spans="1:10">
      <c r="A100">
        <v>10575733</v>
      </c>
      <c r="B100">
        <v>8.9108203345753996</v>
      </c>
      <c r="C100">
        <v>6.2945608746669004</v>
      </c>
      <c r="E100" t="str">
        <f>"10575733"</f>
        <v>10575733</v>
      </c>
      <c r="F100" t="str">
        <f t="shared" si="4"/>
        <v>Affy 1.0 ST</v>
      </c>
      <c r="G100" t="str">
        <f>"MGI:1919405"</f>
        <v>MGI:1919405</v>
      </c>
      <c r="H100" t="str">
        <f>"Cenpn"</f>
        <v>Cenpn</v>
      </c>
      <c r="I100" t="str">
        <f>"centromere protein N"</f>
        <v>centromere protein N</v>
      </c>
      <c r="J100" t="str">
        <f>"protein coding gene"</f>
        <v>protein coding gene</v>
      </c>
    </row>
    <row r="101" spans="1:10">
      <c r="A101">
        <v>10432511</v>
      </c>
      <c r="B101">
        <v>8.89779760028628</v>
      </c>
      <c r="C101">
        <v>7.26851880663994</v>
      </c>
      <c r="E101" t="str">
        <f>"10432511"</f>
        <v>10432511</v>
      </c>
      <c r="F101" t="str">
        <f t="shared" si="4"/>
        <v>Affy 1.0 ST</v>
      </c>
      <c r="G101" t="str">
        <f>"MGI:1349423"</f>
        <v>MGI:1349423</v>
      </c>
      <c r="H101" t="str">
        <f>"Racgap1"</f>
        <v>Racgap1</v>
      </c>
      <c r="I101" t="str">
        <f>"Rac GTPase-activating protein 1"</f>
        <v>Rac GTPase-activating protein 1</v>
      </c>
      <c r="J101" t="str">
        <f>"protein coding gene"</f>
        <v>protein coding gene</v>
      </c>
    </row>
    <row r="102" spans="1:10">
      <c r="A102">
        <v>10389606</v>
      </c>
      <c r="B102">
        <v>8.8444884864967204</v>
      </c>
      <c r="C102">
        <v>6.5927940253933697</v>
      </c>
      <c r="E102" t="str">
        <f>"10389606"</f>
        <v>10389606</v>
      </c>
      <c r="F102" t="str">
        <f t="shared" si="4"/>
        <v>Affy 1.0 ST</v>
      </c>
      <c r="G102" t="str">
        <f>"MGI:2444496"</f>
        <v>MGI:2444496</v>
      </c>
      <c r="H102" t="str">
        <f>"Prr11"</f>
        <v>Prr11</v>
      </c>
      <c r="I102" t="str">
        <f>"proline rich 11"</f>
        <v>proline rich 11</v>
      </c>
      <c r="J102" t="str">
        <f>"protein coding gene"</f>
        <v>protein coding gene</v>
      </c>
    </row>
    <row r="103" spans="1:10">
      <c r="A103">
        <v>10408083</v>
      </c>
      <c r="B103">
        <v>8.7298048212546693</v>
      </c>
      <c r="C103">
        <v>6.9937728831652004</v>
      </c>
      <c r="E103" t="str">
        <f>"10408083"</f>
        <v>10408083</v>
      </c>
      <c r="F103" t="str">
        <f t="shared" si="4"/>
        <v>Affy 1.0 ST</v>
      </c>
      <c r="G103" t="str">
        <f>"MGI:2448351"</f>
        <v>MGI:2448351</v>
      </c>
      <c r="H103" t="str">
        <f>"Hist2h3b"</f>
        <v>Hist2h3b</v>
      </c>
      <c r="I103" t="s">
        <v>176</v>
      </c>
      <c r="J103" t="s">
        <v>155</v>
      </c>
    </row>
    <row r="104" spans="1:10">
      <c r="A104">
        <v>10491805</v>
      </c>
      <c r="B104">
        <v>8.7043711002714996</v>
      </c>
      <c r="C104">
        <v>6.5280403654025703</v>
      </c>
      <c r="E104" t="str">
        <f>"10491805"</f>
        <v>10491805</v>
      </c>
      <c r="F104" t="str">
        <f t="shared" si="4"/>
        <v>Affy 1.0 ST</v>
      </c>
      <c r="G104" t="str">
        <f>"MGI:101783"</f>
        <v>MGI:101783</v>
      </c>
      <c r="H104" t="str">
        <f>"Plk4"</f>
        <v>Plk4</v>
      </c>
      <c r="I104" t="str">
        <f>"polo-like kinase 4 (Drosophila)"</f>
        <v>polo-like kinase 4 (Drosophila)</v>
      </c>
      <c r="J104" t="str">
        <f>"protein coding gene"</f>
        <v>protein coding gene</v>
      </c>
    </row>
    <row r="105" spans="1:10">
      <c r="A105">
        <v>10371770</v>
      </c>
      <c r="B105">
        <v>8.6690132475789508</v>
      </c>
      <c r="C105">
        <v>6.8852764159419699</v>
      </c>
      <c r="E105" t="str">
        <f>"10371770"</f>
        <v>10371770</v>
      </c>
      <c r="F105" t="str">
        <f t="shared" si="4"/>
        <v>Affy 1.0 ST</v>
      </c>
      <c r="G105" t="str">
        <f>"MGI:1918780"</f>
        <v>MGI:1918780</v>
      </c>
      <c r="H105" t="str">
        <f>"Gas2l3"</f>
        <v>Gas2l3</v>
      </c>
      <c r="I105" t="str">
        <f>"growth arrest-specific 2 like 3"</f>
        <v>growth arrest-specific 2 like 3</v>
      </c>
      <c r="J105" t="str">
        <f>"protein coding gene"</f>
        <v>protein coding gene</v>
      </c>
    </row>
    <row r="106" spans="1:10">
      <c r="A106">
        <v>10494407</v>
      </c>
      <c r="B106">
        <v>8.6292986944843904</v>
      </c>
      <c r="C106">
        <v>6.4907390501190596</v>
      </c>
      <c r="E106" t="str">
        <f>"10494407"</f>
        <v>10494407</v>
      </c>
      <c r="F106" t="str">
        <f t="shared" si="4"/>
        <v>Affy 1.0 ST</v>
      </c>
      <c r="G106" t="str">
        <f>"MGI:2448413"</f>
        <v>MGI:2448413</v>
      </c>
      <c r="H106" t="str">
        <f>"Hist2h2bb"</f>
        <v>Hist2h2bb</v>
      </c>
      <c r="I106" t="s">
        <v>177</v>
      </c>
      <c r="J106" t="s">
        <v>155</v>
      </c>
    </row>
    <row r="107" spans="1:10">
      <c r="A107">
        <v>10485963</v>
      </c>
      <c r="B107">
        <v>8.5928273381618805</v>
      </c>
      <c r="C107">
        <v>7.3470024532555396</v>
      </c>
      <c r="E107" t="str">
        <f>"10485963"</f>
        <v>10485963</v>
      </c>
      <c r="F107" t="str">
        <f t="shared" si="4"/>
        <v>Affy 1.0 ST</v>
      </c>
      <c r="G107" t="str">
        <f>"MGI:2444300"</f>
        <v>MGI:2444300</v>
      </c>
      <c r="H107" t="str">
        <f>"Arhgap11a"</f>
        <v>Arhgap11a</v>
      </c>
      <c r="I107" t="str">
        <f>"Rho GTPase activating protein 11A"</f>
        <v>Rho GTPase activating protein 11A</v>
      </c>
      <c r="J107" t="str">
        <f>"protein coding gene"</f>
        <v>protein coding gene</v>
      </c>
    </row>
    <row r="108" spans="1:10">
      <c r="A108">
        <v>10377405</v>
      </c>
      <c r="B108">
        <v>8.5618147138113994</v>
      </c>
      <c r="C108">
        <v>7.0738951108434396</v>
      </c>
      <c r="E108" t="str">
        <f>"10377405"</f>
        <v>10377405</v>
      </c>
      <c r="F108" t="str">
        <f t="shared" si="4"/>
        <v>Affy 1.0 ST</v>
      </c>
      <c r="G108" t="str">
        <f>"MGI:107168"</f>
        <v>MGI:107168</v>
      </c>
      <c r="H108" t="str">
        <f>"Aurkb"</f>
        <v>Aurkb</v>
      </c>
      <c r="I108" t="str">
        <f>"aurora kinase B"</f>
        <v>aurora kinase B</v>
      </c>
      <c r="J108" t="str">
        <f>"protein coding gene"</f>
        <v>protein coding gene</v>
      </c>
    </row>
    <row r="109" spans="1:10">
      <c r="A109">
        <v>10404069</v>
      </c>
      <c r="B109">
        <v>8.4505041816258295</v>
      </c>
      <c r="C109">
        <v>7.2395339970328001</v>
      </c>
      <c r="E109" t="str">
        <f>"10404069"</f>
        <v>10404069</v>
      </c>
      <c r="F109" t="str">
        <f t="shared" si="4"/>
        <v>Affy 1.0 ST</v>
      </c>
      <c r="G109" t="str">
        <f>"MGI:1931523"</f>
        <v>MGI:1931523</v>
      </c>
      <c r="H109" t="str">
        <f>"Hist1h1a"</f>
        <v>Hist1h1a</v>
      </c>
      <c r="I109" t="s">
        <v>178</v>
      </c>
      <c r="J109" t="s">
        <v>155</v>
      </c>
    </row>
    <row r="110" spans="1:10">
      <c r="A110">
        <v>10504470</v>
      </c>
      <c r="B110">
        <v>8.4490153728370707</v>
      </c>
      <c r="C110">
        <v>6.3175694178766504</v>
      </c>
      <c r="E110" t="str">
        <f>"10504470"</f>
        <v>10504470</v>
      </c>
      <c r="F110" t="str">
        <f t="shared" si="4"/>
        <v>Affy 1.0 ST</v>
      </c>
      <c r="G110" t="str">
        <f>"MGI:106924"</f>
        <v>MGI:106924</v>
      </c>
      <c r="H110" t="str">
        <f>"Melk"</f>
        <v>Melk</v>
      </c>
      <c r="I110" t="str">
        <f>"maternal embryonic leucine zipper kinase"</f>
        <v>maternal embryonic leucine zipper kinase</v>
      </c>
      <c r="J110" t="str">
        <f>"protein coding gene"</f>
        <v>protein coding gene</v>
      </c>
    </row>
    <row r="111" spans="1:10">
      <c r="A111">
        <v>10474902</v>
      </c>
      <c r="B111">
        <v>8.3666230208602297</v>
      </c>
      <c r="C111">
        <v>7.1719720742103501</v>
      </c>
      <c r="E111" t="str">
        <f>"10474902"</f>
        <v>10474902</v>
      </c>
      <c r="F111" t="str">
        <f t="shared" si="4"/>
        <v>Affy 1.0 ST</v>
      </c>
      <c r="G111" t="str">
        <f>"MGI:97890"</f>
        <v>MGI:97890</v>
      </c>
      <c r="H111" t="str">
        <f>"Rad51"</f>
        <v>Rad51</v>
      </c>
      <c r="I111" t="str">
        <f>"RAD51 homolog (S. cerevisiae)"</f>
        <v>RAD51 homolog (S. cerevisiae)</v>
      </c>
      <c r="J111" t="str">
        <f>"protein coding gene"</f>
        <v>protein coding gene</v>
      </c>
    </row>
    <row r="112" spans="1:10">
      <c r="A112">
        <v>10410560</v>
      </c>
      <c r="B112">
        <v>8.35745320841243</v>
      </c>
      <c r="C112">
        <v>6.7946411195207501</v>
      </c>
      <c r="E112" t="str">
        <f>"10410560"</f>
        <v>10410560</v>
      </c>
      <c r="F112" t="str">
        <f t="shared" si="4"/>
        <v>Affy 1.0 ST</v>
      </c>
      <c r="G112" t="str">
        <f>"MGI:1916966"</f>
        <v>MGI:1916966</v>
      </c>
      <c r="H112" t="str">
        <f>"Trip13"</f>
        <v>Trip13</v>
      </c>
      <c r="I112" t="str">
        <f>"thyroid hormone receptor interactor 13"</f>
        <v>thyroid hormone receptor interactor 13</v>
      </c>
      <c r="J112" t="str">
        <f>"protein coding gene"</f>
        <v>protein coding gene</v>
      </c>
    </row>
    <row r="113" spans="1:10">
      <c r="A113">
        <v>10594251</v>
      </c>
      <c r="B113">
        <v>8.2965074196221007</v>
      </c>
      <c r="C113">
        <v>7.2603491588487099</v>
      </c>
      <c r="E113" t="str">
        <f>"10594251"</f>
        <v>10594251</v>
      </c>
      <c r="F113" t="str">
        <f t="shared" si="4"/>
        <v>Affy 1.0 ST</v>
      </c>
      <c r="G113" t="str">
        <f>"MGI:1919069"</f>
        <v>MGI:1919069</v>
      </c>
      <c r="H113" t="str">
        <f>"Kif23"</f>
        <v>Kif23</v>
      </c>
      <c r="I113" t="str">
        <f>"kinesin family member 23"</f>
        <v>kinesin family member 23</v>
      </c>
      <c r="J113" t="str">
        <f>"protein coding gene"</f>
        <v>protein coding gene</v>
      </c>
    </row>
    <row r="114" spans="1:10">
      <c r="A114">
        <v>10550102</v>
      </c>
      <c r="B114">
        <v>8.28160602823462</v>
      </c>
      <c r="C114">
        <v>7.0285216619392701</v>
      </c>
      <c r="E114" t="str">
        <f>"10550102"</f>
        <v>10550102</v>
      </c>
      <c r="F114" t="str">
        <f t="shared" si="4"/>
        <v>Affy 1.0 ST</v>
      </c>
      <c r="G114" t="str">
        <f>"MGI:101789"</f>
        <v>MGI:101789</v>
      </c>
      <c r="H114" t="str">
        <f>"Lig1"</f>
        <v>Lig1</v>
      </c>
      <c r="I114" t="s">
        <v>179</v>
      </c>
      <c r="J114" t="s">
        <v>155</v>
      </c>
    </row>
    <row r="115" spans="1:10">
      <c r="A115">
        <v>10606436</v>
      </c>
      <c r="B115">
        <v>8.1732849253340607</v>
      </c>
      <c r="C115">
        <v>7.0606200099416903</v>
      </c>
      <c r="E115" t="str">
        <f>"10606436"</f>
        <v>10606436</v>
      </c>
      <c r="F115" t="str">
        <f t="shared" si="4"/>
        <v>Affy 1.0 ST</v>
      </c>
      <c r="G115" t="str">
        <f>"MGI:1355295"</f>
        <v>MGI:1355295</v>
      </c>
      <c r="H115" t="str">
        <f>"Hmgn5"</f>
        <v>Hmgn5</v>
      </c>
      <c r="I115" t="str">
        <f>"high-mobility group nucleosome binding domain 5"</f>
        <v>high-mobility group nucleosome binding domain 5</v>
      </c>
      <c r="J115" t="str">
        <f>"protein coding gene"</f>
        <v>protein coding gene</v>
      </c>
    </row>
    <row r="116" spans="1:10">
      <c r="A116">
        <v>10403980</v>
      </c>
      <c r="B116">
        <v>8.1604513080482892</v>
      </c>
      <c r="C116">
        <v>7.0937537592365496</v>
      </c>
      <c r="E116" t="str">
        <f>"10403980"</f>
        <v>10403980</v>
      </c>
      <c r="F116" t="str">
        <f t="shared" si="4"/>
        <v>Affy 1.0 ST</v>
      </c>
      <c r="G116" t="str">
        <f>"MGI:3710645"</f>
        <v>MGI:3710645</v>
      </c>
      <c r="H116" t="str">
        <f>"Hist1h2br"</f>
        <v>Hist1h2br</v>
      </c>
      <c r="I116" t="str">
        <f>"histone cluster 1 H2br"</f>
        <v>histone cluster 1 H2br</v>
      </c>
      <c r="J116" t="str">
        <f>"protein coding gene"</f>
        <v>protein coding gene</v>
      </c>
    </row>
    <row r="117" spans="1:10">
      <c r="A117">
        <v>10508151</v>
      </c>
      <c r="B117">
        <v>8.1578128816433093</v>
      </c>
      <c r="C117">
        <v>6.5541943438963797</v>
      </c>
      <c r="E117" t="str">
        <f>"10508151"</f>
        <v>10508151</v>
      </c>
      <c r="F117" t="str">
        <f t="shared" si="4"/>
        <v>Affy 1.0 ST</v>
      </c>
      <c r="G117" t="str">
        <f>"MGI:2445153"</f>
        <v>MGI:2445153</v>
      </c>
      <c r="H117" t="str">
        <f>"Clspn"</f>
        <v>Clspn</v>
      </c>
      <c r="I117" t="str">
        <f>"claspin homolog (Xenopus laevis)"</f>
        <v>claspin homolog (Xenopus laevis)</v>
      </c>
      <c r="J117" t="str">
        <f>"protein coding gene"</f>
        <v>protein coding gene</v>
      </c>
    </row>
    <row r="118" spans="1:10">
      <c r="A118">
        <v>10577508</v>
      </c>
      <c r="B118">
        <v>8.0632232819277405</v>
      </c>
      <c r="C118">
        <v>4.1054239282720504</v>
      </c>
      <c r="E118" t="str">
        <f>"10577508"</f>
        <v>10577508</v>
      </c>
      <c r="F118" t="str">
        <f t="shared" si="4"/>
        <v>Affy 1.0 ST</v>
      </c>
      <c r="G118" t="str">
        <f>"MGI:1931797"</f>
        <v>MGI:1931797</v>
      </c>
      <c r="H118" t="str">
        <f>"Ckap2"</f>
        <v>Ckap2</v>
      </c>
      <c r="I118" t="str">
        <f>"cytoskeleton associated protein 2"</f>
        <v>cytoskeleton associated protein 2</v>
      </c>
      <c r="J118" t="str">
        <f>"protein coding gene"</f>
        <v>protein coding gene</v>
      </c>
    </row>
    <row r="119" spans="1:10">
      <c r="A119">
        <v>10512065</v>
      </c>
      <c r="B119">
        <v>8.0227929012208996</v>
      </c>
      <c r="C119">
        <v>6.62578157398426</v>
      </c>
      <c r="E119" t="str">
        <f>"10512065"</f>
        <v>10512065</v>
      </c>
      <c r="F119" t="str">
        <f t="shared" si="4"/>
        <v>Affy 1.0 ST</v>
      </c>
      <c r="G119" t="str">
        <f>"MGI:3651413"</f>
        <v>MGI:3651413</v>
      </c>
      <c r="H119" t="str">
        <f>"Gm12387"</f>
        <v>Gm12387</v>
      </c>
      <c r="I119" t="str">
        <f>"predicted gene 12387"</f>
        <v>predicted gene 12387</v>
      </c>
      <c r="J119" t="str">
        <f>"pseudogene"</f>
        <v>pseudogene</v>
      </c>
    </row>
    <row r="120" spans="1:10">
      <c r="A120">
        <v>10541729</v>
      </c>
      <c r="B120">
        <v>7.8914849959179998</v>
      </c>
      <c r="C120">
        <v>5.0407672386404103</v>
      </c>
      <c r="E120" t="str">
        <f>"10541729"</f>
        <v>10541729</v>
      </c>
      <c r="F120" t="str">
        <f t="shared" si="4"/>
        <v>Affy 1.0 ST</v>
      </c>
      <c r="G120" t="str">
        <f>"MGI:1315198"</f>
        <v>MGI:1315198</v>
      </c>
      <c r="H120" t="str">
        <f>"Cdca3"</f>
        <v>Cdca3</v>
      </c>
      <c r="I120" t="str">
        <f>"cell division cycle associated 3"</f>
        <v>cell division cycle associated 3</v>
      </c>
      <c r="J120" t="str">
        <f>"protein coding gene"</f>
        <v>protein coding gene</v>
      </c>
    </row>
    <row r="121" spans="1:10">
      <c r="A121">
        <v>10446074</v>
      </c>
      <c r="B121">
        <v>7.8530049361272702</v>
      </c>
      <c r="C121">
        <v>5.8786186833372396</v>
      </c>
      <c r="E121" t="str">
        <f>"10446074"</f>
        <v>10446074</v>
      </c>
      <c r="F121" t="str">
        <f t="shared" si="4"/>
        <v>Affy 1.0 ST</v>
      </c>
      <c r="G121" t="str">
        <f>"MGI:1338889"</f>
        <v>MGI:1338889</v>
      </c>
      <c r="H121" t="str">
        <f>"Uhrf1"</f>
        <v>Uhrf1</v>
      </c>
      <c r="I121" t="s">
        <v>180</v>
      </c>
      <c r="J121" t="s">
        <v>155</v>
      </c>
    </row>
    <row r="122" spans="1:10">
      <c r="A122">
        <v>10487340</v>
      </c>
      <c r="B122">
        <v>7.6711806005241696</v>
      </c>
      <c r="C122">
        <v>4.7793568471084402</v>
      </c>
      <c r="E122" t="str">
        <f>"10487340"</f>
        <v>10487340</v>
      </c>
      <c r="F122" t="str">
        <f t="shared" si="4"/>
        <v>Affy 1.0 ST</v>
      </c>
      <c r="G122" t="str">
        <f>"MGI:2444777"</f>
        <v>MGI:2444777</v>
      </c>
      <c r="H122" t="str">
        <f>"Ncaph"</f>
        <v>Ncaph</v>
      </c>
      <c r="I122" t="s">
        <v>181</v>
      </c>
      <c r="J122" t="s">
        <v>155</v>
      </c>
    </row>
    <row r="123" spans="1:10">
      <c r="A123">
        <v>10353010</v>
      </c>
      <c r="B123">
        <v>7.6145710520196799</v>
      </c>
      <c r="C123">
        <v>3.3400115734832201</v>
      </c>
      <c r="E123" t="str">
        <f>"10353010"</f>
        <v>10353010</v>
      </c>
      <c r="F123" t="str">
        <f t="shared" si="4"/>
        <v>Affy 1.0 ST</v>
      </c>
      <c r="G123" t="str">
        <f>"MGI:99925"</f>
        <v>MGI:99925</v>
      </c>
      <c r="H123" t="str">
        <f>"Mybl1"</f>
        <v>Mybl1</v>
      </c>
      <c r="I123" t="str">
        <f>"myeloblastosis oncogene-like 1"</f>
        <v>myeloblastosis oncogene-like 1</v>
      </c>
      <c r="J123" t="str">
        <f>"protein coding gene"</f>
        <v>protein coding gene</v>
      </c>
    </row>
    <row r="124" spans="1:10">
      <c r="A124">
        <v>10399391</v>
      </c>
      <c r="B124">
        <v>7.4760936427701701</v>
      </c>
      <c r="C124">
        <v>5.2870758730032499</v>
      </c>
      <c r="E124" t="str">
        <f>"10399391"</f>
        <v>10399391</v>
      </c>
      <c r="F124" t="str">
        <f t="shared" si="4"/>
        <v>Affy 1.0 ST</v>
      </c>
      <c r="G124" t="str">
        <f>"MGI:2443149"</f>
        <v>MGI:2443149</v>
      </c>
      <c r="H124" t="str">
        <f>"Gen1"</f>
        <v>Gen1</v>
      </c>
      <c r="I124" t="s">
        <v>182</v>
      </c>
      <c r="J124" t="s">
        <v>155</v>
      </c>
    </row>
    <row r="125" spans="1:10">
      <c r="A125">
        <v>10544106</v>
      </c>
      <c r="B125">
        <v>7.4288849495239599</v>
      </c>
      <c r="C125">
        <v>4.5874248305599501</v>
      </c>
      <c r="E125" t="str">
        <f>"10544106"</f>
        <v>10544106</v>
      </c>
      <c r="F125" t="str">
        <f>""</f>
        <v/>
      </c>
      <c r="G125" t="str">
        <f>"No associated gene"</f>
        <v>No associated gene</v>
      </c>
    </row>
    <row r="126" spans="1:10">
      <c r="A126">
        <v>10556266</v>
      </c>
      <c r="B126">
        <v>7.3086295625525803</v>
      </c>
      <c r="C126">
        <v>6.6051627190257998</v>
      </c>
      <c r="E126" t="str">
        <f>"10556266"</f>
        <v>10556266</v>
      </c>
      <c r="F126" t="str">
        <f t="shared" ref="F126:F162" si="8">"Affy 1.0 ST"</f>
        <v>Affy 1.0 ST</v>
      </c>
      <c r="G126" t="str">
        <f>"MGI:103075"</f>
        <v>MGI:103075</v>
      </c>
      <c r="H126" t="str">
        <f>"Wee1"</f>
        <v>Wee1</v>
      </c>
      <c r="I126" t="str">
        <f>"WEE 1 homolog 1 (S. pombe)"</f>
        <v>WEE 1 homolog 1 (S. pombe)</v>
      </c>
      <c r="J126" t="str">
        <f>"protein coding gene"</f>
        <v>protein coding gene</v>
      </c>
    </row>
    <row r="127" spans="1:10">
      <c r="A127">
        <v>10494386</v>
      </c>
      <c r="B127">
        <v>7.2486215553308302</v>
      </c>
      <c r="C127">
        <v>3.0696131124648902</v>
      </c>
      <c r="E127" t="str">
        <f>"10494386"</f>
        <v>10494386</v>
      </c>
      <c r="F127" t="str">
        <f t="shared" si="8"/>
        <v>Affy 1.0 ST</v>
      </c>
      <c r="G127" t="str">
        <f>"MGI:2448300"</f>
        <v>MGI:2448300</v>
      </c>
      <c r="H127" t="str">
        <f>"Hist1h2an"</f>
        <v>Hist1h2an</v>
      </c>
      <c r="I127" t="s">
        <v>183</v>
      </c>
      <c r="J127" t="s">
        <v>155</v>
      </c>
    </row>
    <row r="128" spans="1:10">
      <c r="A128">
        <v>10584710</v>
      </c>
      <c r="B128">
        <v>7.2364403454746702</v>
      </c>
      <c r="C128">
        <v>5.0918291479884603</v>
      </c>
      <c r="E128" t="str">
        <f>"10584710"</f>
        <v>10584710</v>
      </c>
      <c r="F128" t="str">
        <f t="shared" si="8"/>
        <v>Affy 1.0 ST</v>
      </c>
      <c r="G128" t="str">
        <f>"MGI:102688"</f>
        <v>MGI:102688</v>
      </c>
      <c r="H128" t="str">
        <f>"H2afx"</f>
        <v>H2afx</v>
      </c>
      <c r="I128" t="s">
        <v>184</v>
      </c>
      <c r="J128" t="s">
        <v>155</v>
      </c>
    </row>
    <row r="129" spans="1:10">
      <c r="A129">
        <v>10416736</v>
      </c>
      <c r="B129">
        <v>7.22677337984533</v>
      </c>
      <c r="C129">
        <v>4.5713036785233001</v>
      </c>
      <c r="E129" t="str">
        <f>"10416736"</f>
        <v>10416736</v>
      </c>
      <c r="F129" t="str">
        <f t="shared" si="8"/>
        <v>Affy 1.0 ST</v>
      </c>
      <c r="G129" t="str">
        <f>"MGI:1924994"</f>
        <v>MGI:1924994</v>
      </c>
      <c r="H129" t="str">
        <f>"6720463M24Rik"</f>
        <v>6720463M24Rik</v>
      </c>
      <c r="I129" t="str">
        <f>"RIKEN cDNA 6720463M24 gene"</f>
        <v>RIKEN cDNA 6720463M24 gene</v>
      </c>
      <c r="J129" t="str">
        <f>"protein coding gene"</f>
        <v>protein coding gene</v>
      </c>
    </row>
    <row r="130" spans="1:10">
      <c r="A130">
        <v>10404051</v>
      </c>
      <c r="B130">
        <v>7.2237379402736899</v>
      </c>
      <c r="C130">
        <v>5.5322837345782601</v>
      </c>
      <c r="E130" t="str">
        <f>"10404051"</f>
        <v>10404051</v>
      </c>
      <c r="F130" t="str">
        <f t="shared" si="8"/>
        <v>Affy 1.0 ST</v>
      </c>
      <c r="G130" t="str">
        <f>"MGI:2448423"</f>
        <v>MGI:2448423</v>
      </c>
      <c r="H130" t="str">
        <f>"Hist1h4d"</f>
        <v>Hist1h4d</v>
      </c>
      <c r="I130" t="s">
        <v>185</v>
      </c>
      <c r="J130" t="s">
        <v>155</v>
      </c>
    </row>
    <row r="131" spans="1:10">
      <c r="A131">
        <v>10389395</v>
      </c>
      <c r="B131">
        <v>7.1941546025788901</v>
      </c>
      <c r="C131">
        <v>6.0783056763528496</v>
      </c>
      <c r="E131" t="str">
        <f>"10389395"</f>
        <v>10389395</v>
      </c>
      <c r="F131" t="str">
        <f t="shared" si="8"/>
        <v>Affy 1.0 ST</v>
      </c>
      <c r="G131" t="str">
        <f>"MGI:2442836"</f>
        <v>MGI:2442836</v>
      </c>
      <c r="H131" t="str">
        <f>"Brip1"</f>
        <v>Brip1</v>
      </c>
      <c r="I131" t="str">
        <f>"BRCA1 interacting protein C-terminal helicase 1"</f>
        <v>BRCA1 interacting protein C-terminal helicase 1</v>
      </c>
      <c r="J131" t="str">
        <f t="shared" ref="J131:J136" si="9">"protein coding gene"</f>
        <v>protein coding gene</v>
      </c>
    </row>
    <row r="132" spans="1:10">
      <c r="A132">
        <v>10363743</v>
      </c>
      <c r="B132">
        <v>7.0187179214005502</v>
      </c>
      <c r="C132">
        <v>3.4783664154456102</v>
      </c>
      <c r="E132" t="str">
        <f>"10363743"</f>
        <v>10363743</v>
      </c>
      <c r="F132" t="str">
        <f t="shared" si="8"/>
        <v>Affy 1.0 ST</v>
      </c>
      <c r="G132" t="str">
        <f>"MGI:2158417"</f>
        <v>MGI:2158417</v>
      </c>
      <c r="H132" t="str">
        <f>"Rtkn2"</f>
        <v>Rtkn2</v>
      </c>
      <c r="I132" t="str">
        <f>"rhotekin 2"</f>
        <v>rhotekin 2</v>
      </c>
      <c r="J132" t="str">
        <f t="shared" si="9"/>
        <v>protein coding gene</v>
      </c>
    </row>
    <row r="133" spans="1:10">
      <c r="A133">
        <v>10391461</v>
      </c>
      <c r="B133">
        <v>7.0011100575528999</v>
      </c>
      <c r="C133">
        <v>5.4449025470015098</v>
      </c>
      <c r="E133" t="str">
        <f>"10391461"</f>
        <v>10391461</v>
      </c>
      <c r="F133" t="str">
        <f t="shared" si="8"/>
        <v>Affy 1.0 ST</v>
      </c>
      <c r="G133" t="str">
        <f>"MGI:104537"</f>
        <v>MGI:104537</v>
      </c>
      <c r="H133" t="str">
        <f>"Brca1"</f>
        <v>Brca1</v>
      </c>
      <c r="I133" t="str">
        <f>"breast cancer 1"</f>
        <v>breast cancer 1</v>
      </c>
      <c r="J133" t="str">
        <f t="shared" si="9"/>
        <v>protein coding gene</v>
      </c>
    </row>
    <row r="134" spans="1:10">
      <c r="A134">
        <v>10515257</v>
      </c>
      <c r="B134">
        <v>6.9554994180317404</v>
      </c>
      <c r="C134">
        <v>5.8837047396196196</v>
      </c>
      <c r="E134" t="str">
        <f>"10515257"</f>
        <v>10515257</v>
      </c>
      <c r="F134" t="str">
        <f t="shared" si="8"/>
        <v>Affy 1.0 ST</v>
      </c>
      <c r="G134" t="str">
        <f>"MGI:894697"</f>
        <v>MGI:894697</v>
      </c>
      <c r="H134" t="str">
        <f>"Rad54l"</f>
        <v>Rad54l</v>
      </c>
      <c r="I134" t="str">
        <f>"RAD54 like (S. cerevisiae)"</f>
        <v>RAD54 like (S. cerevisiae)</v>
      </c>
      <c r="J134" t="str">
        <f t="shared" si="9"/>
        <v>protein coding gene</v>
      </c>
    </row>
    <row r="135" spans="1:10">
      <c r="A135">
        <v>10490104</v>
      </c>
      <c r="B135">
        <v>6.9360425835416697</v>
      </c>
      <c r="C135">
        <v>4.7941760901296702</v>
      </c>
      <c r="E135" t="str">
        <f>"10490104"</f>
        <v>10490104</v>
      </c>
      <c r="F135" t="str">
        <f t="shared" si="8"/>
        <v>Affy 1.0 ST</v>
      </c>
      <c r="G135" t="str">
        <f>"MGI:894678"</f>
        <v>MGI:894678</v>
      </c>
      <c r="H135" t="str">
        <f>"Aurka"</f>
        <v>Aurka</v>
      </c>
      <c r="I135" t="str">
        <f>"aurora kinase A"</f>
        <v>aurora kinase A</v>
      </c>
      <c r="J135" t="str">
        <f t="shared" si="9"/>
        <v>protein coding gene</v>
      </c>
    </row>
    <row r="136" spans="1:10">
      <c r="A136">
        <v>10568150</v>
      </c>
      <c r="B136">
        <v>6.9183868519943399</v>
      </c>
      <c r="C136">
        <v>3.4688618809561702</v>
      </c>
      <c r="E136" t="str">
        <f>"10568150"</f>
        <v>10568150</v>
      </c>
      <c r="F136" t="str">
        <f t="shared" si="8"/>
        <v>Affy 1.0 ST</v>
      </c>
      <c r="G136" t="str">
        <f>"MGI:109233"</f>
        <v>MGI:109233</v>
      </c>
      <c r="H136" t="str">
        <f>"Kif22"</f>
        <v>Kif22</v>
      </c>
      <c r="I136" t="str">
        <f>"kinesin family member 22"</f>
        <v>kinesin family member 22</v>
      </c>
      <c r="J136" t="str">
        <f t="shared" si="9"/>
        <v>protein coding gene</v>
      </c>
    </row>
    <row r="137" spans="1:10">
      <c r="A137">
        <v>10480628</v>
      </c>
      <c r="B137">
        <v>6.8158738613589698</v>
      </c>
      <c r="C137">
        <v>3.8284372371897302</v>
      </c>
      <c r="E137" t="str">
        <f>"10480628"</f>
        <v>10480628</v>
      </c>
      <c r="F137" t="str">
        <f t="shared" si="8"/>
        <v>Affy 1.0 ST</v>
      </c>
      <c r="G137" t="str">
        <f>"MGI:1915472"</f>
        <v>MGI:1915472</v>
      </c>
      <c r="H137" t="str">
        <f>"Tubb2c"</f>
        <v>Tubb2c</v>
      </c>
      <c r="I137" t="s">
        <v>186</v>
      </c>
      <c r="J137" t="s">
        <v>155</v>
      </c>
    </row>
    <row r="138" spans="1:10">
      <c r="A138">
        <v>10409190</v>
      </c>
      <c r="B138">
        <v>6.7917064680083898</v>
      </c>
      <c r="C138">
        <v>3.96338151996915</v>
      </c>
      <c r="E138" t="str">
        <f>"10409190"</f>
        <v>10409190</v>
      </c>
      <c r="F138" t="str">
        <f t="shared" si="8"/>
        <v>Affy 1.0 ST</v>
      </c>
      <c r="G138" t="str">
        <f>"MGI:1913586"</f>
        <v>MGI:1913586</v>
      </c>
      <c r="H138" t="str">
        <f>"Cenpp"</f>
        <v>Cenpp</v>
      </c>
      <c r="I138" t="str">
        <f>"centromere protein P"</f>
        <v>centromere protein P</v>
      </c>
      <c r="J138" t="str">
        <f>"protein coding gene"</f>
        <v>protein coding gene</v>
      </c>
    </row>
    <row r="139" spans="1:10">
      <c r="A139">
        <v>10408210</v>
      </c>
      <c r="B139">
        <v>6.7788824132087404</v>
      </c>
      <c r="C139">
        <v>5.3346734525449797</v>
      </c>
      <c r="E139" t="str">
        <f>"10408210"</f>
        <v>10408210</v>
      </c>
      <c r="F139" t="str">
        <f t="shared" si="8"/>
        <v>Affy 1.0 ST</v>
      </c>
      <c r="G139" t="str">
        <f>"MGI:3710645"</f>
        <v>MGI:3710645</v>
      </c>
      <c r="H139" t="str">
        <f>"Hist1h2br"</f>
        <v>Hist1h2br</v>
      </c>
      <c r="I139" t="str">
        <f>"histone cluster 1 H2br"</f>
        <v>histone cluster 1 H2br</v>
      </c>
      <c r="J139" t="str">
        <f>"protein coding gene"</f>
        <v>protein coding gene</v>
      </c>
    </row>
    <row r="140" spans="1:10">
      <c r="A140">
        <v>10474825</v>
      </c>
      <c r="B140">
        <v>6.6009768965717504</v>
      </c>
      <c r="C140">
        <v>4.43514654316541</v>
      </c>
      <c r="E140" t="str">
        <f>"10474825"</f>
        <v>10474825</v>
      </c>
      <c r="F140" t="str">
        <f t="shared" si="8"/>
        <v>Affy 1.0 ST</v>
      </c>
      <c r="G140" t="str">
        <f>"MGI:1289298"</f>
        <v>MGI:1289298</v>
      </c>
      <c r="H140" t="str">
        <f>"D2Ertd750e"</f>
        <v>D2Ertd750e</v>
      </c>
      <c r="I140" t="s">
        <v>187</v>
      </c>
      <c r="J140" t="s">
        <v>155</v>
      </c>
    </row>
    <row r="141" spans="1:10">
      <c r="A141">
        <v>10465861</v>
      </c>
      <c r="B141">
        <v>6.5694928992467103</v>
      </c>
      <c r="C141">
        <v>3.9613298279895801</v>
      </c>
      <c r="E141" t="str">
        <f>"10465861"</f>
        <v>10465861</v>
      </c>
      <c r="F141" t="str">
        <f t="shared" si="8"/>
        <v>Affy 1.0 ST</v>
      </c>
      <c r="G141" t="str">
        <f>"MGI:1313288"</f>
        <v>MGI:1313288</v>
      </c>
      <c r="H141" t="str">
        <f>"Incenp"</f>
        <v>Incenp</v>
      </c>
      <c r="I141" t="str">
        <f>"inner centromere protein"</f>
        <v>inner centromere protein</v>
      </c>
      <c r="J141" t="str">
        <f>"protein coding gene"</f>
        <v>protein coding gene</v>
      </c>
    </row>
    <row r="142" spans="1:10">
      <c r="A142">
        <v>10571870</v>
      </c>
      <c r="B142">
        <v>6.5508059440255497</v>
      </c>
      <c r="C142">
        <v>5.0089750566330196</v>
      </c>
      <c r="E142" t="str">
        <f>"10571870"</f>
        <v>10571870</v>
      </c>
      <c r="F142" t="str">
        <f t="shared" si="8"/>
        <v>Affy 1.0 ST</v>
      </c>
      <c r="G142" t="str">
        <f>"MGI:96157"</f>
        <v>MGI:96157</v>
      </c>
      <c r="H142" t="str">
        <f>"Hmgb2"</f>
        <v>Hmgb2</v>
      </c>
      <c r="I142" t="str">
        <f>"high mobility group box 2"</f>
        <v>high mobility group box 2</v>
      </c>
      <c r="J142" t="str">
        <f>"protein coding gene"</f>
        <v>protein coding gene</v>
      </c>
    </row>
    <row r="143" spans="1:10">
      <c r="A143">
        <v>10479811</v>
      </c>
      <c r="B143">
        <v>6.5310477258406197</v>
      </c>
      <c r="C143">
        <v>4.8618607671700804</v>
      </c>
      <c r="E143" t="str">
        <f>"10479811"</f>
        <v>10479811</v>
      </c>
      <c r="F143" t="str">
        <f t="shared" si="8"/>
        <v>Affy 1.0 ST</v>
      </c>
      <c r="G143" t="str">
        <f>"MGI:1917274"</f>
        <v>MGI:1917274</v>
      </c>
      <c r="H143" t="str">
        <f>"Mcm10"</f>
        <v>Mcm10</v>
      </c>
      <c r="I143" t="str">
        <f>"minichromosome maintenance deficient 10 (S. cerevisiae)"</f>
        <v>minichromosome maintenance deficient 10 (S. cerevisiae)</v>
      </c>
      <c r="J143" t="str">
        <f>"protein coding gene"</f>
        <v>protein coding gene</v>
      </c>
    </row>
    <row r="144" spans="1:10">
      <c r="A144">
        <v>10594426</v>
      </c>
      <c r="B144">
        <v>6.50162680350165</v>
      </c>
      <c r="C144">
        <v>4.23845903921102</v>
      </c>
      <c r="E144" t="str">
        <f>"10594426"</f>
        <v>10594426</v>
      </c>
      <c r="F144" t="str">
        <f t="shared" si="8"/>
        <v>Affy 1.0 ST</v>
      </c>
      <c r="G144" t="str">
        <f>"MGI:1915264"</f>
        <v>MGI:1915264</v>
      </c>
      <c r="H144" t="str">
        <f>"Zwilch"</f>
        <v>Zwilch</v>
      </c>
      <c r="I144" t="s">
        <v>188</v>
      </c>
      <c r="J144" t="s">
        <v>155</v>
      </c>
    </row>
    <row r="145" spans="1:10">
      <c r="A145">
        <v>10450519</v>
      </c>
      <c r="B145">
        <v>6.3966699151252504</v>
      </c>
      <c r="C145">
        <v>5.3217850678556804</v>
      </c>
      <c r="E145" t="str">
        <f>"10450519"</f>
        <v>10450519</v>
      </c>
      <c r="F145" t="str">
        <f t="shared" si="8"/>
        <v>Affy 1.0 ST</v>
      </c>
      <c r="G145" t="str">
        <f>"MGI:103180"</f>
        <v>MGI:103180</v>
      </c>
      <c r="H145" t="str">
        <f>"Tcf19"</f>
        <v>Tcf19</v>
      </c>
      <c r="I145" t="str">
        <f>"transcription factor 19"</f>
        <v>transcription factor 19</v>
      </c>
      <c r="J145" t="str">
        <f t="shared" ref="J145:J152" si="10">"protein coding gene"</f>
        <v>protein coding gene</v>
      </c>
    </row>
    <row r="146" spans="1:10">
      <c r="A146">
        <v>10426016</v>
      </c>
      <c r="B146">
        <v>6.3721828967596403</v>
      </c>
      <c r="C146">
        <v>2.0361105238892301</v>
      </c>
      <c r="E146" t="str">
        <f>"10426016"</f>
        <v>10426016</v>
      </c>
      <c r="F146" t="str">
        <f t="shared" si="8"/>
        <v>Affy 1.0 ST</v>
      </c>
      <c r="G146" t="str">
        <f>"MGI:1352755"</f>
        <v>MGI:1352755</v>
      </c>
      <c r="H146" t="str">
        <f>"Gtse1"</f>
        <v>Gtse1</v>
      </c>
      <c r="I146" t="str">
        <f>"G two S phase expressed protein 1"</f>
        <v>G two S phase expressed protein 1</v>
      </c>
      <c r="J146" t="str">
        <f t="shared" si="10"/>
        <v>protein coding gene</v>
      </c>
    </row>
    <row r="147" spans="1:10">
      <c r="A147">
        <v>10515744</v>
      </c>
      <c r="B147">
        <v>6.3535567577716501</v>
      </c>
      <c r="C147">
        <v>3.0972923525432199</v>
      </c>
      <c r="E147" t="str">
        <f>"10515744"</f>
        <v>10515744</v>
      </c>
      <c r="F147" t="str">
        <f t="shared" si="8"/>
        <v>Affy 1.0 ST</v>
      </c>
      <c r="G147" t="str">
        <f>"MGI:1859866"</f>
        <v>MGI:1859866</v>
      </c>
      <c r="H147" t="str">
        <f>"Cdc20"</f>
        <v>Cdc20</v>
      </c>
      <c r="I147" t="str">
        <f>"cell division cycle 20 homolog (S. cerevisiae)"</f>
        <v>cell division cycle 20 homolog (S. cerevisiae)</v>
      </c>
      <c r="J147" t="str">
        <f t="shared" si="10"/>
        <v>protein coding gene</v>
      </c>
    </row>
    <row r="148" spans="1:10">
      <c r="A148">
        <v>10586184</v>
      </c>
      <c r="B148">
        <v>6.3265687789802101</v>
      </c>
      <c r="C148">
        <v>5.0863950668706002</v>
      </c>
      <c r="E148" t="str">
        <f>"10586184"</f>
        <v>10586184</v>
      </c>
      <c r="F148" t="str">
        <f t="shared" si="8"/>
        <v>Affy 1.0 ST</v>
      </c>
      <c r="G148" t="str">
        <f>"MGI:1921571"</f>
        <v>MGI:1921571</v>
      </c>
      <c r="H148" t="str">
        <f>"Tipin"</f>
        <v>Tipin</v>
      </c>
      <c r="I148" t="str">
        <f>"timeless interacting protein"</f>
        <v>timeless interacting protein</v>
      </c>
      <c r="J148" t="str">
        <f t="shared" si="10"/>
        <v>protein coding gene</v>
      </c>
    </row>
    <row r="149" spans="1:10">
      <c r="A149">
        <v>10503264</v>
      </c>
      <c r="B149">
        <v>6.3129806857787401</v>
      </c>
      <c r="C149">
        <v>4.7513082792872003</v>
      </c>
      <c r="E149" t="str">
        <f>"10503264"</f>
        <v>10503264</v>
      </c>
      <c r="F149" t="str">
        <f t="shared" si="8"/>
        <v>Affy 1.0 ST</v>
      </c>
      <c r="G149" t="str">
        <f>"MGI:1329034"</f>
        <v>MGI:1329034</v>
      </c>
      <c r="H149" t="str">
        <f>"Ccne2"</f>
        <v>Ccne2</v>
      </c>
      <c r="I149" t="str">
        <f>"cyclin E2"</f>
        <v>cyclin E2</v>
      </c>
      <c r="J149" t="str">
        <f t="shared" si="10"/>
        <v>protein coding gene</v>
      </c>
    </row>
    <row r="150" spans="1:10">
      <c r="A150">
        <v>10524790</v>
      </c>
      <c r="B150">
        <v>6.1815286366865898</v>
      </c>
      <c r="C150">
        <v>4.0431501496014599</v>
      </c>
      <c r="E150" t="str">
        <f>"10524790"</f>
        <v>10524790</v>
      </c>
      <c r="F150" t="str">
        <f t="shared" si="8"/>
        <v>Affy 1.0 ST</v>
      </c>
      <c r="G150" t="str">
        <f>"MGI:105313"</f>
        <v>MGI:105313</v>
      </c>
      <c r="H150" t="str">
        <f>"Cit"</f>
        <v>Cit</v>
      </c>
      <c r="I150" t="str">
        <f>"citron"</f>
        <v>citron</v>
      </c>
      <c r="J150" t="str">
        <f t="shared" si="10"/>
        <v>protein coding gene</v>
      </c>
    </row>
    <row r="151" spans="1:10">
      <c r="A151">
        <v>10438378</v>
      </c>
      <c r="B151">
        <v>6.17678481022668</v>
      </c>
      <c r="C151">
        <v>4.6429675762976403</v>
      </c>
      <c r="E151" t="str">
        <f>"10438378"</f>
        <v>10438378</v>
      </c>
      <c r="F151" t="str">
        <f t="shared" si="8"/>
        <v>Affy 1.0 ST</v>
      </c>
      <c r="G151" t="str">
        <f>"MGI:1338073"</f>
        <v>MGI:1338073</v>
      </c>
      <c r="H151" t="str">
        <f>"Cdc45"</f>
        <v>Cdc45</v>
      </c>
      <c r="I151" t="str">
        <f>"cell division cycle 45 homolog (S. cerevisiae)"</f>
        <v>cell division cycle 45 homolog (S. cerevisiae)</v>
      </c>
      <c r="J151" t="str">
        <f t="shared" si="10"/>
        <v>protein coding gene</v>
      </c>
    </row>
    <row r="152" spans="1:10">
      <c r="A152">
        <v>10499639</v>
      </c>
      <c r="B152">
        <v>6.1726163181995304</v>
      </c>
      <c r="C152">
        <v>4.5196060170502799</v>
      </c>
      <c r="E152" t="str">
        <f>"10499639"</f>
        <v>10499639</v>
      </c>
      <c r="F152" t="str">
        <f t="shared" si="8"/>
        <v>Affy 1.0 ST</v>
      </c>
      <c r="G152" t="str">
        <f>"MGI:1889208"</f>
        <v>MGI:1889208</v>
      </c>
      <c r="H152" t="str">
        <f>"Cks1b"</f>
        <v>Cks1b</v>
      </c>
      <c r="I152" t="str">
        <f>"CDC28 protein kinase 1b"</f>
        <v>CDC28 protein kinase 1b</v>
      </c>
      <c r="J152" t="str">
        <f t="shared" si="10"/>
        <v>protein coding gene</v>
      </c>
    </row>
    <row r="153" spans="1:10">
      <c r="A153">
        <v>10408239</v>
      </c>
      <c r="B153">
        <v>6.1050390644858199</v>
      </c>
      <c r="C153">
        <v>4.7885174352443904</v>
      </c>
      <c r="E153" t="str">
        <f>"10408239"</f>
        <v>10408239</v>
      </c>
      <c r="F153" t="str">
        <f t="shared" si="8"/>
        <v>Affy 1.0 ST</v>
      </c>
      <c r="G153" t="str">
        <f>"MGI:2448351"</f>
        <v>MGI:2448351</v>
      </c>
      <c r="H153" t="str">
        <f>"Hist2h3b"</f>
        <v>Hist2h3b</v>
      </c>
      <c r="I153" t="s">
        <v>176</v>
      </c>
      <c r="J153" t="s">
        <v>155</v>
      </c>
    </row>
    <row r="154" spans="1:10">
      <c r="A154">
        <v>10408202</v>
      </c>
      <c r="B154">
        <v>6.1038130503063996</v>
      </c>
      <c r="C154">
        <v>4.8208045725892799</v>
      </c>
      <c r="E154" t="str">
        <f>"10408202"</f>
        <v>10408202</v>
      </c>
      <c r="F154" t="str">
        <f t="shared" si="8"/>
        <v>Affy 1.0 ST</v>
      </c>
      <c r="G154" t="str">
        <f>"MGI:2448351"</f>
        <v>MGI:2448351</v>
      </c>
      <c r="H154" t="str">
        <f>"Hist2h3b"</f>
        <v>Hist2h3b</v>
      </c>
      <c r="I154" t="s">
        <v>176</v>
      </c>
      <c r="J154" t="s">
        <v>155</v>
      </c>
    </row>
    <row r="155" spans="1:10">
      <c r="A155">
        <v>10427166</v>
      </c>
      <c r="B155">
        <v>6.0821720627270199</v>
      </c>
      <c r="C155">
        <v>3.08706754939886</v>
      </c>
      <c r="E155" t="str">
        <f>"10427166"</f>
        <v>10427166</v>
      </c>
      <c r="F155" t="str">
        <f t="shared" si="8"/>
        <v>Affy 1.0 ST</v>
      </c>
      <c r="G155" t="str">
        <f>"MGI:2146156"</f>
        <v>MGI:2146156</v>
      </c>
      <c r="H155" t="str">
        <f>"Espl1"</f>
        <v>Espl1</v>
      </c>
      <c r="I155" t="str">
        <f>"extra spindle poles-like 1 (S. cerevisiae)"</f>
        <v>extra spindle poles-like 1 (S. cerevisiae)</v>
      </c>
      <c r="J155" t="str">
        <f>"protein coding gene"</f>
        <v>protein coding gene</v>
      </c>
    </row>
    <row r="156" spans="1:10">
      <c r="A156">
        <v>10403943</v>
      </c>
      <c r="B156">
        <v>6.0717216863843699</v>
      </c>
      <c r="C156">
        <v>4.0389706273239696</v>
      </c>
      <c r="E156" t="str">
        <f>"10403943"</f>
        <v>10403943</v>
      </c>
      <c r="F156" t="str">
        <f t="shared" si="8"/>
        <v>Affy 1.0 ST</v>
      </c>
      <c r="G156" t="str">
        <f>"MGI:2448404"</f>
        <v>MGI:2448404</v>
      </c>
      <c r="H156" t="str">
        <f>"Hist1h2bm"</f>
        <v>Hist1h2bm</v>
      </c>
      <c r="I156" t="s">
        <v>189</v>
      </c>
      <c r="J156" t="s">
        <v>155</v>
      </c>
    </row>
    <row r="157" spans="1:10">
      <c r="A157">
        <v>10523923</v>
      </c>
      <c r="B157">
        <v>5.9941713759436999</v>
      </c>
      <c r="C157">
        <v>2.69654318429565</v>
      </c>
      <c r="E157" t="str">
        <f>"10523923"</f>
        <v>10523923</v>
      </c>
      <c r="F157" t="str">
        <f t="shared" si="8"/>
        <v>Affy 1.0 ST</v>
      </c>
      <c r="G157" t="str">
        <f>"MGI:1922974"</f>
        <v>MGI:1922974</v>
      </c>
      <c r="H157" t="str">
        <f>"Ccdc18"</f>
        <v>Ccdc18</v>
      </c>
      <c r="I157" t="str">
        <f>"coiled-coil domain containing 18"</f>
        <v>coiled-coil domain containing 18</v>
      </c>
      <c r="J157" t="str">
        <f>"protein coding gene"</f>
        <v>protein coding gene</v>
      </c>
    </row>
    <row r="158" spans="1:10">
      <c r="A158">
        <v>10351047</v>
      </c>
      <c r="B158">
        <v>5.97586773848347</v>
      </c>
      <c r="C158">
        <v>2.5448880450612101</v>
      </c>
      <c r="E158" t="str">
        <f>"10351047"</f>
        <v>10351047</v>
      </c>
      <c r="F158" t="str">
        <f t="shared" si="8"/>
        <v>Affy 1.0 ST</v>
      </c>
      <c r="G158" t="str">
        <f>"MGI:1917704"</f>
        <v>MGI:1917704</v>
      </c>
      <c r="H158" t="str">
        <f>"Cenpl"</f>
        <v>Cenpl</v>
      </c>
      <c r="I158" t="str">
        <f>"centromere protein L"</f>
        <v>centromere protein L</v>
      </c>
      <c r="J158" t="str">
        <f>"protein coding gene"</f>
        <v>protein coding gene</v>
      </c>
    </row>
    <row r="159" spans="1:10">
      <c r="A159">
        <v>10548086</v>
      </c>
      <c r="B159">
        <v>5.8729739356010002</v>
      </c>
      <c r="C159">
        <v>3.6321379282397301</v>
      </c>
      <c r="E159" t="str">
        <f>"10548086"</f>
        <v>10548086</v>
      </c>
      <c r="F159" t="str">
        <f t="shared" si="8"/>
        <v>Affy 1.0 ST</v>
      </c>
      <c r="G159" t="str">
        <f>"MGI:1098224"</f>
        <v>MGI:1098224</v>
      </c>
      <c r="H159" t="str">
        <f>"Rad51ap1"</f>
        <v>Rad51ap1</v>
      </c>
      <c r="I159" t="str">
        <f>"RAD51 associated protein 1"</f>
        <v>RAD51 associated protein 1</v>
      </c>
      <c r="J159" t="str">
        <f>"protein coding gene"</f>
        <v>protein coding gene</v>
      </c>
    </row>
    <row r="160" spans="1:10">
      <c r="A160">
        <v>10500333</v>
      </c>
      <c r="B160">
        <v>5.8526070633138598</v>
      </c>
      <c r="C160">
        <v>3.5615018221483199</v>
      </c>
      <c r="E160" t="str">
        <f>"10500333"</f>
        <v>10500333</v>
      </c>
      <c r="F160" t="str">
        <f t="shared" si="8"/>
        <v>Affy 1.0 ST</v>
      </c>
      <c r="G160" t="str">
        <f>"MGI:2140113"</f>
        <v>MGI:2140113</v>
      </c>
      <c r="H160" t="str">
        <f>"Hist2h4"</f>
        <v>Hist2h4</v>
      </c>
      <c r="I160" t="s">
        <v>190</v>
      </c>
      <c r="J160" t="s">
        <v>155</v>
      </c>
    </row>
    <row r="161" spans="1:10">
      <c r="A161">
        <v>10476252</v>
      </c>
      <c r="B161">
        <v>5.7588638541834101</v>
      </c>
      <c r="C161">
        <v>0.34008656458860298</v>
      </c>
      <c r="E161" t="str">
        <f>"10476252"</f>
        <v>10476252</v>
      </c>
      <c r="F161" t="str">
        <f t="shared" si="8"/>
        <v>Affy 1.0 ST</v>
      </c>
      <c r="G161" t="str">
        <f>"MGI:99701"</f>
        <v>MGI:99701</v>
      </c>
      <c r="H161" t="str">
        <f>"Cdc25b"</f>
        <v>Cdc25b</v>
      </c>
      <c r="I161" t="str">
        <f>"cell division cycle 25 homolog B (S. pombe)"</f>
        <v>cell division cycle 25 homolog B (S. pombe)</v>
      </c>
      <c r="J161" t="str">
        <f>"protein coding gene"</f>
        <v>protein coding gene</v>
      </c>
    </row>
    <row r="162" spans="1:10">
      <c r="A162">
        <v>10408092</v>
      </c>
      <c r="B162">
        <v>5.7511005314794401</v>
      </c>
      <c r="C162">
        <v>4.3829821419188804</v>
      </c>
      <c r="E162" t="str">
        <f>"10408092"</f>
        <v>10408092</v>
      </c>
      <c r="F162" t="str">
        <f t="shared" si="8"/>
        <v>Affy 1.0 ST</v>
      </c>
      <c r="G162" t="str">
        <f>"MGI:2448441"</f>
        <v>MGI:2448441</v>
      </c>
      <c r="H162" t="str">
        <f>"Hist1h4m"</f>
        <v>Hist1h4m</v>
      </c>
      <c r="I162" t="s">
        <v>191</v>
      </c>
      <c r="J162" t="s">
        <v>155</v>
      </c>
    </row>
    <row r="163" spans="1:10">
      <c r="A163">
        <v>10405189</v>
      </c>
      <c r="B163">
        <v>5.7490305111279598</v>
      </c>
      <c r="C163">
        <v>2.8302780264355101</v>
      </c>
      <c r="E163" t="str">
        <f>"10405189"</f>
        <v>10405189</v>
      </c>
      <c r="F163" t="str">
        <f>""</f>
        <v/>
      </c>
      <c r="G163" t="str">
        <f>"No associated gene"</f>
        <v>No associated gene</v>
      </c>
    </row>
    <row r="164" spans="1:10">
      <c r="A164">
        <v>10592058</v>
      </c>
      <c r="B164">
        <v>5.7188807859964301</v>
      </c>
      <c r="C164">
        <v>4.54710410975727</v>
      </c>
      <c r="E164" t="str">
        <f>"10592058"</f>
        <v>10592058</v>
      </c>
      <c r="F164" t="str">
        <f t="shared" ref="F164:F180" si="11">"Affy 1.0 ST"</f>
        <v>Affy 1.0 ST</v>
      </c>
      <c r="G164" t="str">
        <f>"MGI:107804"</f>
        <v>MGI:107804</v>
      </c>
      <c r="H164" t="str">
        <f>"Tuba1b"</f>
        <v>Tuba1b</v>
      </c>
      <c r="I164" t="s">
        <v>192</v>
      </c>
      <c r="J164" t="s">
        <v>155</v>
      </c>
    </row>
    <row r="165" spans="1:10">
      <c r="A165">
        <v>10438091</v>
      </c>
      <c r="B165">
        <v>5.62630133156458</v>
      </c>
      <c r="C165">
        <v>2.5690999962446401</v>
      </c>
      <c r="E165" t="str">
        <f>"10438091"</f>
        <v>10438091</v>
      </c>
      <c r="F165" t="str">
        <f t="shared" si="11"/>
        <v>Affy 1.0 ST</v>
      </c>
      <c r="G165" t="str">
        <f>"MGI:1917708"</f>
        <v>MGI:1917708</v>
      </c>
      <c r="H165" t="str">
        <f>"2610318N02Rik"</f>
        <v>2610318N02Rik</v>
      </c>
      <c r="I165" t="str">
        <f>"RIKEN cDNA 2610318N02 gene"</f>
        <v>RIKEN cDNA 2610318N02 gene</v>
      </c>
      <c r="J165" t="str">
        <f>"protein coding gene"</f>
        <v>protein coding gene</v>
      </c>
    </row>
    <row r="166" spans="1:10">
      <c r="A166">
        <v>10480087</v>
      </c>
      <c r="B166">
        <v>5.6207947666875304</v>
      </c>
      <c r="C166">
        <v>2.5530173013981199</v>
      </c>
      <c r="E166" t="str">
        <f>"10480087"</f>
        <v>10480087</v>
      </c>
      <c r="F166" t="str">
        <f t="shared" si="11"/>
        <v>Affy 1.0 ST</v>
      </c>
      <c r="G166" t="str">
        <f>"MGI:3650665"</f>
        <v>MGI:3650665</v>
      </c>
      <c r="H166" t="str">
        <f>"Gm13310"</f>
        <v>Gm13310</v>
      </c>
      <c r="I166" t="str">
        <f>"predicted gene 13310"</f>
        <v>predicted gene 13310</v>
      </c>
      <c r="J166" t="str">
        <f>"pseudogene"</f>
        <v>pseudogene</v>
      </c>
    </row>
    <row r="167" spans="1:10">
      <c r="A167">
        <v>10455967</v>
      </c>
      <c r="B167">
        <v>5.6063904632309898</v>
      </c>
      <c r="C167">
        <v>2.04055126168657</v>
      </c>
      <c r="E167" t="str">
        <f>"10455967"</f>
        <v>10455967</v>
      </c>
      <c r="F167" t="str">
        <f t="shared" si="11"/>
        <v>Affy 1.0 ST</v>
      </c>
      <c r="G167" t="str">
        <f>"MGI:1917708"</f>
        <v>MGI:1917708</v>
      </c>
      <c r="H167" t="str">
        <f>"2610318N02Rik"</f>
        <v>2610318N02Rik</v>
      </c>
      <c r="I167" t="str">
        <f>"RIKEN cDNA 2610318N02 gene"</f>
        <v>RIKEN cDNA 2610318N02 gene</v>
      </c>
      <c r="J167" t="str">
        <f>"protein coding gene"</f>
        <v>protein coding gene</v>
      </c>
    </row>
    <row r="168" spans="1:10">
      <c r="A168">
        <v>10572906</v>
      </c>
      <c r="B168">
        <v>5.5688495218352001</v>
      </c>
      <c r="C168">
        <v>4.5054086042063899</v>
      </c>
      <c r="E168" t="str">
        <f>"10572906"</f>
        <v>10572906</v>
      </c>
      <c r="F168" t="str">
        <f t="shared" si="11"/>
        <v>Affy 1.0 ST</v>
      </c>
      <c r="G168" t="str">
        <f>"MGI:103197"</f>
        <v>MGI:103197</v>
      </c>
      <c r="H168" t="str">
        <f>"Mcm5"</f>
        <v>Mcm5</v>
      </c>
      <c r="I168" t="s">
        <v>193</v>
      </c>
      <c r="J168" t="s">
        <v>155</v>
      </c>
    </row>
    <row r="169" spans="1:10">
      <c r="A169">
        <v>10408081</v>
      </c>
      <c r="B169">
        <v>5.5649220226051002</v>
      </c>
      <c r="C169">
        <v>3.8924819878805201</v>
      </c>
      <c r="E169" t="str">
        <f>"10408081"</f>
        <v>10408081</v>
      </c>
      <c r="F169" t="str">
        <f t="shared" si="11"/>
        <v>Affy 1.0 ST</v>
      </c>
      <c r="G169" t="str">
        <f>"MGI:1861461"</f>
        <v>MGI:1861461</v>
      </c>
      <c r="H169" t="str">
        <f>"Hist1h1b"</f>
        <v>Hist1h1b</v>
      </c>
      <c r="I169" t="s">
        <v>194</v>
      </c>
      <c r="J169" t="s">
        <v>155</v>
      </c>
    </row>
    <row r="170" spans="1:10">
      <c r="A170">
        <v>10352709</v>
      </c>
      <c r="B170">
        <v>5.5256077140241997</v>
      </c>
      <c r="C170">
        <v>3.4534161605856601</v>
      </c>
      <c r="E170" t="str">
        <f>"10352709"</f>
        <v>10352709</v>
      </c>
      <c r="F170" t="str">
        <f t="shared" si="11"/>
        <v>Affy 1.0 ST</v>
      </c>
      <c r="G170" t="str">
        <f>"MGI:2685830"</f>
        <v>MGI:2685830</v>
      </c>
      <c r="H170" t="str">
        <f>"Nsl1"</f>
        <v>Nsl1</v>
      </c>
      <c r="I170" t="s">
        <v>195</v>
      </c>
      <c r="J170" t="s">
        <v>155</v>
      </c>
    </row>
    <row r="171" spans="1:10">
      <c r="A171">
        <v>10486255</v>
      </c>
      <c r="B171">
        <v>5.4813507151805796</v>
      </c>
      <c r="C171">
        <v>3.2368264417336201</v>
      </c>
      <c r="E171" t="str">
        <f>"10486255"</f>
        <v>10486255</v>
      </c>
      <c r="F171" t="str">
        <f t="shared" si="11"/>
        <v>Affy 1.0 ST</v>
      </c>
      <c r="G171" t="str">
        <f>"MGI:1917895"</f>
        <v>MGI:1917895</v>
      </c>
      <c r="H171" t="str">
        <f>"Oip5"</f>
        <v>Oip5</v>
      </c>
      <c r="I171" t="str">
        <f>"Opa interacting protein 5"</f>
        <v>Opa interacting protein 5</v>
      </c>
      <c r="J171" t="str">
        <f>"protein coding gene"</f>
        <v>protein coding gene</v>
      </c>
    </row>
    <row r="172" spans="1:10">
      <c r="A172">
        <v>10426669</v>
      </c>
      <c r="B172">
        <v>5.4675858003881403</v>
      </c>
      <c r="C172">
        <v>3.1305405511033202</v>
      </c>
      <c r="E172" t="str">
        <f>"10426669"</f>
        <v>10426669</v>
      </c>
      <c r="F172" t="str">
        <f t="shared" si="11"/>
        <v>Affy 1.0 ST</v>
      </c>
      <c r="G172" t="str">
        <f>"MGI:1925983"</f>
        <v>MGI:1925983</v>
      </c>
      <c r="H172" t="str">
        <f>"Troap"</f>
        <v>Troap</v>
      </c>
      <c r="I172" t="str">
        <f>"trophinin associated protein"</f>
        <v>trophinin associated protein</v>
      </c>
      <c r="J172" t="str">
        <f>"protein coding gene"</f>
        <v>protein coding gene</v>
      </c>
    </row>
    <row r="173" spans="1:10">
      <c r="A173">
        <v>10495935</v>
      </c>
      <c r="B173">
        <v>5.4664043029537801</v>
      </c>
      <c r="C173">
        <v>3.7259092605667798</v>
      </c>
      <c r="E173" t="str">
        <f>"10495935"</f>
        <v>10495935</v>
      </c>
      <c r="F173" t="str">
        <f t="shared" si="11"/>
        <v>Affy 1.0 ST</v>
      </c>
      <c r="G173" t="str">
        <f>"MGI:1918893"</f>
        <v>MGI:1918893</v>
      </c>
      <c r="H173" t="str">
        <f>"4930422G04Rik"</f>
        <v>4930422G04Rik</v>
      </c>
      <c r="I173" t="str">
        <f>"RIKEN cDNA 4930422G04 gene"</f>
        <v>RIKEN cDNA 4930422G04 gene</v>
      </c>
      <c r="J173" t="str">
        <f>"protein coding gene"</f>
        <v>protein coding gene</v>
      </c>
    </row>
    <row r="174" spans="1:10">
      <c r="A174">
        <v>10489078</v>
      </c>
      <c r="B174">
        <v>5.4503728206842101</v>
      </c>
      <c r="C174">
        <v>3.8618634724255898</v>
      </c>
      <c r="E174" t="str">
        <f>"10489078"</f>
        <v>10489078</v>
      </c>
      <c r="F174" t="str">
        <f t="shared" si="11"/>
        <v>Affy 1.0 ST</v>
      </c>
      <c r="G174" t="str">
        <f>"MGI:1914184"</f>
        <v>MGI:1914184</v>
      </c>
      <c r="H174" t="str">
        <f>"Dsn1"</f>
        <v>Dsn1</v>
      </c>
      <c r="I174" t="s">
        <v>196</v>
      </c>
      <c r="J174" t="s">
        <v>155</v>
      </c>
    </row>
    <row r="175" spans="1:10">
      <c r="A175">
        <v>10413710</v>
      </c>
      <c r="B175">
        <v>5.4218589970161197</v>
      </c>
      <c r="C175">
        <v>3.4038146055121499</v>
      </c>
      <c r="E175" t="str">
        <f>"10413710"</f>
        <v>10413710</v>
      </c>
      <c r="F175" t="str">
        <f t="shared" si="11"/>
        <v>Affy 1.0 ST</v>
      </c>
      <c r="G175" t="str">
        <f>"MGI:1917271"</f>
        <v>MGI:1917271</v>
      </c>
      <c r="H175" t="str">
        <f>"Nt5dc2"</f>
        <v>Nt5dc2</v>
      </c>
      <c r="I175" t="str">
        <f>"5'-nucleotidase domain containing 2"</f>
        <v>5'-nucleotidase domain containing 2</v>
      </c>
      <c r="J175" t="str">
        <f>"protein coding gene"</f>
        <v>protein coding gene</v>
      </c>
    </row>
    <row r="176" spans="1:10">
      <c r="A176">
        <v>10408085</v>
      </c>
      <c r="B176">
        <v>5.3835360594582697</v>
      </c>
      <c r="C176">
        <v>4.1078971846008097</v>
      </c>
      <c r="E176" t="str">
        <f>"10408085"</f>
        <v>10408085</v>
      </c>
      <c r="F176" t="str">
        <f t="shared" si="11"/>
        <v>Affy 1.0 ST</v>
      </c>
      <c r="G176" t="str">
        <f>"MGI:2448300"</f>
        <v>MGI:2448300</v>
      </c>
      <c r="H176" t="str">
        <f>"Hist1h2an"</f>
        <v>Hist1h2an</v>
      </c>
      <c r="I176" t="s">
        <v>183</v>
      </c>
      <c r="J176" t="s">
        <v>155</v>
      </c>
    </row>
    <row r="177" spans="1:10">
      <c r="A177">
        <v>10432398</v>
      </c>
      <c r="B177">
        <v>5.3465098711625201</v>
      </c>
      <c r="C177">
        <v>3.89558480175487</v>
      </c>
      <c r="E177" t="str">
        <f>"10432398"</f>
        <v>10432398</v>
      </c>
      <c r="F177" t="str">
        <f t="shared" si="11"/>
        <v>Affy 1.0 ST</v>
      </c>
      <c r="G177" t="str">
        <f>"MGI:107804"</f>
        <v>MGI:107804</v>
      </c>
      <c r="H177" t="str">
        <f>"Tuba1b"</f>
        <v>Tuba1b</v>
      </c>
      <c r="I177" t="s">
        <v>192</v>
      </c>
      <c r="J177" t="s">
        <v>155</v>
      </c>
    </row>
    <row r="178" spans="1:10">
      <c r="A178">
        <v>10408077</v>
      </c>
      <c r="B178">
        <v>5.3205265325129298</v>
      </c>
      <c r="C178">
        <v>3.8503741563514802</v>
      </c>
      <c r="E178" t="str">
        <f>"10408077"</f>
        <v>10408077</v>
      </c>
      <c r="F178" t="str">
        <f t="shared" si="11"/>
        <v>Affy 1.0 ST</v>
      </c>
      <c r="G178" t="str">
        <f>"MGI:2448297"</f>
        <v>MGI:2448297</v>
      </c>
      <c r="H178" t="str">
        <f>"Hist1h2ak"</f>
        <v>Hist1h2ak</v>
      </c>
      <c r="I178" t="s">
        <v>197</v>
      </c>
      <c r="J178" t="s">
        <v>155</v>
      </c>
    </row>
    <row r="179" spans="1:10">
      <c r="A179">
        <v>10435581</v>
      </c>
      <c r="B179">
        <v>5.3070320728196902</v>
      </c>
      <c r="C179">
        <v>3.1542793961586399</v>
      </c>
      <c r="E179" t="str">
        <f>"10435581"</f>
        <v>10435581</v>
      </c>
      <c r="F179" t="str">
        <f t="shared" si="11"/>
        <v>Affy 1.0 ST</v>
      </c>
      <c r="G179" t="str">
        <f>"MGI:2155399"</f>
        <v>MGI:2155399</v>
      </c>
      <c r="H179" t="str">
        <f>"Polq"</f>
        <v>Polq</v>
      </c>
      <c r="I179" t="s">
        <v>111</v>
      </c>
      <c r="J179" t="s">
        <v>155</v>
      </c>
    </row>
    <row r="180" spans="1:10">
      <c r="A180">
        <v>10428763</v>
      </c>
      <c r="B180">
        <v>5.28784425336874</v>
      </c>
      <c r="C180">
        <v>3.7653788964961001</v>
      </c>
      <c r="E180" t="str">
        <f>"10428763"</f>
        <v>10428763</v>
      </c>
      <c r="F180" t="str">
        <f t="shared" si="11"/>
        <v>Affy 1.0 ST</v>
      </c>
      <c r="G180" t="str">
        <f>"MGI:1917722"</f>
        <v>MGI:1917722</v>
      </c>
      <c r="H180" t="str">
        <f>"Atad2"</f>
        <v>Atad2</v>
      </c>
      <c r="I180" t="s">
        <v>112</v>
      </c>
      <c r="J180" t="s">
        <v>155</v>
      </c>
    </row>
    <row r="181" spans="1:10">
      <c r="A181">
        <v>10568731</v>
      </c>
      <c r="B181">
        <v>5.2761530324406101</v>
      </c>
      <c r="C181">
        <v>0.81746529380274702</v>
      </c>
      <c r="E181" t="str">
        <f>"10568731"</f>
        <v>10568731</v>
      </c>
      <c r="F181" t="str">
        <f>""</f>
        <v/>
      </c>
      <c r="G181" t="str">
        <f>"No associated gene"</f>
        <v>No associated gene</v>
      </c>
    </row>
    <row r="182" spans="1:10">
      <c r="A182">
        <v>10476989</v>
      </c>
      <c r="B182">
        <v>5.2615788806255601</v>
      </c>
      <c r="C182">
        <v>3.4276101636365301</v>
      </c>
      <c r="E182" t="str">
        <f>"10476989"</f>
        <v>10476989</v>
      </c>
      <c r="F182" t="str">
        <f t="shared" ref="F182:F188" si="12">"Affy 1.0 ST"</f>
        <v>Affy 1.0 ST</v>
      </c>
      <c r="G182" t="str">
        <f>"MGI:1916520"</f>
        <v>MGI:1916520</v>
      </c>
      <c r="H182" t="str">
        <f>"Gins1"</f>
        <v>Gins1</v>
      </c>
      <c r="I182" t="str">
        <f>"GINS complex subunit 1 (Psf1 homolog)"</f>
        <v>GINS complex subunit 1 (Psf1 homolog)</v>
      </c>
      <c r="J182" t="str">
        <f>"protein coding gene"</f>
        <v>protein coding gene</v>
      </c>
    </row>
    <row r="183" spans="1:10">
      <c r="A183">
        <v>10378053</v>
      </c>
      <c r="B183">
        <v>5.1931467360809398</v>
      </c>
      <c r="C183">
        <v>3.9965629859753702</v>
      </c>
      <c r="E183" t="str">
        <f>"10378053"</f>
        <v>10378053</v>
      </c>
      <c r="F183" t="str">
        <f t="shared" si="12"/>
        <v>Affy 1.0 ST</v>
      </c>
      <c r="G183" t="str">
        <f>"MGI:1924434"</f>
        <v>MGI:1924434</v>
      </c>
      <c r="H183" t="str">
        <f>"Fam64a"</f>
        <v>Fam64a</v>
      </c>
      <c r="I183" t="s">
        <v>113</v>
      </c>
      <c r="J183" t="s">
        <v>155</v>
      </c>
    </row>
    <row r="184" spans="1:10">
      <c r="A184">
        <v>10487930</v>
      </c>
      <c r="B184">
        <v>5.1284338073074798</v>
      </c>
      <c r="C184">
        <v>3.8329536988258401</v>
      </c>
      <c r="E184" t="str">
        <f>"10487930"</f>
        <v>10487930</v>
      </c>
      <c r="F184" t="str">
        <f t="shared" si="12"/>
        <v>Affy 1.0 ST</v>
      </c>
      <c r="G184" t="str">
        <f>"MGI:97503"</f>
        <v>MGI:97503</v>
      </c>
      <c r="H184" t="str">
        <f>"Pcna"</f>
        <v>Pcna</v>
      </c>
      <c r="I184" t="str">
        <f>"proliferating cell nuclear antigen"</f>
        <v>proliferating cell nuclear antigen</v>
      </c>
      <c r="J184" t="str">
        <f>"protein coding gene"</f>
        <v>protein coding gene</v>
      </c>
    </row>
    <row r="185" spans="1:10">
      <c r="A185">
        <v>10424221</v>
      </c>
      <c r="B185">
        <v>5.0927364741596799</v>
      </c>
      <c r="C185">
        <v>3.29683582229179</v>
      </c>
      <c r="E185" t="str">
        <f>"10424221"</f>
        <v>10424221</v>
      </c>
      <c r="F185" t="str">
        <f t="shared" si="12"/>
        <v>Affy 1.0 ST</v>
      </c>
      <c r="G185" t="str">
        <f>"MGI:2684931"</f>
        <v>MGI:2684931</v>
      </c>
      <c r="H185" t="str">
        <f>"Wdr67"</f>
        <v>Wdr67</v>
      </c>
      <c r="I185" t="str">
        <f>"WD repeat domain 67"</f>
        <v>WD repeat domain 67</v>
      </c>
      <c r="J185" t="str">
        <f>"protein coding gene"</f>
        <v>protein coding gene</v>
      </c>
    </row>
    <row r="186" spans="1:10">
      <c r="A186">
        <v>10529299</v>
      </c>
      <c r="B186">
        <v>5.0664329354637196</v>
      </c>
      <c r="C186">
        <v>3.8879393246335199</v>
      </c>
      <c r="E186" t="str">
        <f>"10529299"</f>
        <v>10529299</v>
      </c>
      <c r="F186" t="str">
        <f t="shared" si="12"/>
        <v>Affy 1.0 ST</v>
      </c>
      <c r="G186" t="str">
        <f>"MGI:108402"</f>
        <v>MGI:108402</v>
      </c>
      <c r="H186" t="str">
        <f>"Slbp"</f>
        <v>Slbp</v>
      </c>
      <c r="I186" t="str">
        <f>"stem-loop binding protein"</f>
        <v>stem-loop binding protein</v>
      </c>
      <c r="J186" t="str">
        <f>"protein coding gene"</f>
        <v>protein coding gene</v>
      </c>
    </row>
    <row r="187" spans="1:10">
      <c r="A187">
        <v>10565570</v>
      </c>
      <c r="B187">
        <v>5.05823022071006</v>
      </c>
      <c r="C187">
        <v>2.7825993461999898</v>
      </c>
      <c r="E187" t="str">
        <f>"10565570"</f>
        <v>10565570</v>
      </c>
      <c r="F187" t="str">
        <f t="shared" si="12"/>
        <v>Affy 1.0 ST</v>
      </c>
      <c r="G187" t="str">
        <f>"MGI:1921291"</f>
        <v>MGI:1921291</v>
      </c>
      <c r="H187" t="str">
        <f>"4632434I11Rik"</f>
        <v>4632434I11Rik</v>
      </c>
      <c r="I187" t="str">
        <f>"RIKEN cDNA 4632434I11 gene"</f>
        <v>RIKEN cDNA 4632434I11 gene</v>
      </c>
      <c r="J187" t="str">
        <f>"protein coding gene"</f>
        <v>protein coding gene</v>
      </c>
    </row>
    <row r="188" spans="1:10">
      <c r="A188">
        <v>10537246</v>
      </c>
      <c r="B188">
        <v>5.0549850795252098</v>
      </c>
      <c r="C188">
        <v>3.3259226056735902</v>
      </c>
      <c r="E188" t="str">
        <f>"10537246"</f>
        <v>10537246</v>
      </c>
      <c r="F188" t="str">
        <f t="shared" si="12"/>
        <v>Affy 1.0 ST</v>
      </c>
      <c r="G188" t="str">
        <f>"MGI:2141625"</f>
        <v>MGI:2141625</v>
      </c>
      <c r="H188" t="str">
        <f>"Nup205"</f>
        <v>Nup205</v>
      </c>
      <c r="I188" t="str">
        <f>"nucleoporin 205"</f>
        <v>nucleoporin 205</v>
      </c>
      <c r="J188" t="str">
        <f>"protein coding gene"</f>
        <v>protein coding gene</v>
      </c>
    </row>
    <row r="189" spans="1:10">
      <c r="A189">
        <v>10453715</v>
      </c>
      <c r="B189">
        <v>5.0328743325530896</v>
      </c>
      <c r="C189">
        <v>3.5499205139192802</v>
      </c>
      <c r="E189" t="str">
        <f>"10453715"</f>
        <v>10453715</v>
      </c>
      <c r="F189" t="str">
        <f>""</f>
        <v/>
      </c>
      <c r="G189" t="str">
        <f>"No associated gene"</f>
        <v>No associated gene</v>
      </c>
    </row>
    <row r="190" spans="1:10">
      <c r="A190">
        <v>10540999</v>
      </c>
      <c r="B190">
        <v>5.0074754013844904</v>
      </c>
      <c r="C190">
        <v>3.7608665524849498</v>
      </c>
      <c r="E190" t="str">
        <f>"10540999"</f>
        <v>10540999</v>
      </c>
      <c r="F190" t="str">
        <f t="shared" ref="F190:F228" si="13">"Affy 1.0 ST"</f>
        <v>Affy 1.0 ST</v>
      </c>
      <c r="G190" t="str">
        <f>"MGI:1888388"</f>
        <v>MGI:1888388</v>
      </c>
      <c r="H190" t="str">
        <f>"H2afz"</f>
        <v>H2afz</v>
      </c>
      <c r="I190" t="s">
        <v>114</v>
      </c>
      <c r="J190" t="s">
        <v>155</v>
      </c>
    </row>
    <row r="191" spans="1:10">
      <c r="A191">
        <v>10355329</v>
      </c>
      <c r="B191">
        <v>4.9983132116291697</v>
      </c>
      <c r="C191">
        <v>2.61531508620561</v>
      </c>
      <c r="E191" t="str">
        <f>"10355329"</f>
        <v>10355329</v>
      </c>
      <c r="F191" t="str">
        <f t="shared" si="13"/>
        <v>Affy 1.0 ST</v>
      </c>
      <c r="G191" t="str">
        <f>"MGI:1328361"</f>
        <v>MGI:1328361</v>
      </c>
      <c r="H191" t="str">
        <f>"Bard1"</f>
        <v>Bard1</v>
      </c>
      <c r="I191" t="str">
        <f>"BRCA1 associated RING domain 1"</f>
        <v>BRCA1 associated RING domain 1</v>
      </c>
      <c r="J191" t="str">
        <f>"protein coding gene"</f>
        <v>protein coding gene</v>
      </c>
    </row>
    <row r="192" spans="1:10">
      <c r="A192">
        <v>10414315</v>
      </c>
      <c r="B192">
        <v>4.9973689204589196</v>
      </c>
      <c r="C192">
        <v>2.14443093321254</v>
      </c>
      <c r="E192" t="str">
        <f>"10414315"</f>
        <v>10414315</v>
      </c>
      <c r="F192" t="str">
        <f t="shared" si="13"/>
        <v>Affy 1.0 ST</v>
      </c>
      <c r="G192" t="str">
        <f>"MGI:1919641"</f>
        <v>MGI:1919641</v>
      </c>
      <c r="H192" t="str">
        <f>"Cdkn3"</f>
        <v>Cdkn3</v>
      </c>
      <c r="I192" t="str">
        <f>"cyclin-dependent kinase inhibitor 3"</f>
        <v>cyclin-dependent kinase inhibitor 3</v>
      </c>
      <c r="J192" t="str">
        <f>"protein coding gene"</f>
        <v>protein coding gene</v>
      </c>
    </row>
    <row r="193" spans="1:10">
      <c r="A193">
        <v>10363575</v>
      </c>
      <c r="B193">
        <v>4.9711289813384303</v>
      </c>
      <c r="C193">
        <v>3.2145820287054301</v>
      </c>
      <c r="E193" t="str">
        <f>"10363575"</f>
        <v>10363575</v>
      </c>
      <c r="F193" t="str">
        <f t="shared" si="13"/>
        <v>Affy 1.0 ST</v>
      </c>
      <c r="G193" t="str">
        <f>"MGI:2443732"</f>
        <v>MGI:2443732</v>
      </c>
      <c r="H193" t="str">
        <f>"Dna2"</f>
        <v>Dna2</v>
      </c>
      <c r="I193" t="str">
        <f>"DNA replication helicase 2 homolog (yeast)"</f>
        <v>DNA replication helicase 2 homolog (yeast)</v>
      </c>
      <c r="J193" t="str">
        <f>"protein coding gene"</f>
        <v>protein coding gene</v>
      </c>
    </row>
    <row r="194" spans="1:10">
      <c r="A194">
        <v>10412559</v>
      </c>
      <c r="B194">
        <v>4.9672575588600099</v>
      </c>
      <c r="C194">
        <v>3.6313575864146399</v>
      </c>
      <c r="E194" t="str">
        <f>"10412559"</f>
        <v>10412559</v>
      </c>
      <c r="F194" t="str">
        <f t="shared" si="13"/>
        <v>Affy 1.0 ST</v>
      </c>
      <c r="G194" t="str">
        <f>"MGI:108402"</f>
        <v>MGI:108402</v>
      </c>
      <c r="H194" t="str">
        <f>"Slbp"</f>
        <v>Slbp</v>
      </c>
      <c r="I194" t="str">
        <f>"stem-loop binding protein"</f>
        <v>stem-loop binding protein</v>
      </c>
      <c r="J194" t="str">
        <f>"protein coding gene"</f>
        <v>protein coding gene</v>
      </c>
    </row>
    <row r="195" spans="1:10">
      <c r="A195">
        <v>10494405</v>
      </c>
      <c r="B195">
        <v>4.9652735121937397</v>
      </c>
      <c r="C195">
        <v>3.6783423303026899</v>
      </c>
      <c r="E195" t="str">
        <f>"10494405"</f>
        <v>10494405</v>
      </c>
      <c r="F195" t="str">
        <f t="shared" si="13"/>
        <v>Affy 1.0 ST</v>
      </c>
      <c r="G195" t="str">
        <f>"MGI:2448351"</f>
        <v>MGI:2448351</v>
      </c>
      <c r="H195" t="str">
        <f>"Hist2h3b"</f>
        <v>Hist2h3b</v>
      </c>
      <c r="I195" t="s">
        <v>176</v>
      </c>
      <c r="J195" t="s">
        <v>155</v>
      </c>
    </row>
    <row r="196" spans="1:10">
      <c r="A196">
        <v>10503315</v>
      </c>
      <c r="B196">
        <v>4.9610973809204797</v>
      </c>
      <c r="C196">
        <v>3.4172127311895202</v>
      </c>
      <c r="E196" t="str">
        <f>"10503315"</f>
        <v>10503315</v>
      </c>
      <c r="F196" t="str">
        <f t="shared" si="13"/>
        <v>Affy 1.0 ST</v>
      </c>
      <c r="G196" t="str">
        <f>"MGI:3605986"</f>
        <v>MGI:3605986</v>
      </c>
      <c r="H196" t="str">
        <f>"Rad54b"</f>
        <v>Rad54b</v>
      </c>
      <c r="I196" t="str">
        <f>"RAD54 homolog B (S. cerevisiae)"</f>
        <v>RAD54 homolog B (S. cerevisiae)</v>
      </c>
      <c r="J196" t="str">
        <f>"protein coding gene"</f>
        <v>protein coding gene</v>
      </c>
    </row>
    <row r="197" spans="1:10">
      <c r="A197">
        <v>10408118</v>
      </c>
      <c r="B197">
        <v>4.9422140759063602</v>
      </c>
      <c r="C197">
        <v>3.38364443827352</v>
      </c>
      <c r="E197" t="str">
        <f>"10408118"</f>
        <v>10408118</v>
      </c>
      <c r="F197" t="str">
        <f t="shared" si="13"/>
        <v>Affy 1.0 ST</v>
      </c>
      <c r="G197" t="str">
        <f>"MGI:3710573"</f>
        <v>MGI:3710573</v>
      </c>
      <c r="H197" t="str">
        <f>"Hist1h2ap"</f>
        <v>Hist1h2ap</v>
      </c>
      <c r="I197" t="s">
        <v>115</v>
      </c>
      <c r="J197" t="s">
        <v>155</v>
      </c>
    </row>
    <row r="198" spans="1:10">
      <c r="A198">
        <v>10416655</v>
      </c>
      <c r="B198">
        <v>4.94179051013439</v>
      </c>
      <c r="C198">
        <v>2.53672770870251</v>
      </c>
      <c r="E198" t="str">
        <f>"10416655"</f>
        <v>10416655</v>
      </c>
      <c r="F198" t="str">
        <f t="shared" si="13"/>
        <v>Affy 1.0 ST</v>
      </c>
      <c r="G198" t="str">
        <f>"MGI:3643058"</f>
        <v>MGI:3643058</v>
      </c>
      <c r="H198" t="str">
        <f>"Gm5465"</f>
        <v>Gm5465</v>
      </c>
      <c r="I198" t="str">
        <f>"predicted gene 5465"</f>
        <v>predicted gene 5465</v>
      </c>
      <c r="J198" t="str">
        <f>"protein coding gene"</f>
        <v>protein coding gene</v>
      </c>
    </row>
    <row r="199" spans="1:10">
      <c r="A199">
        <v>10478160</v>
      </c>
      <c r="B199">
        <v>4.9293012175723003</v>
      </c>
      <c r="C199">
        <v>2.2315328295736401</v>
      </c>
      <c r="E199" t="str">
        <f>"10478160"</f>
        <v>10478160</v>
      </c>
      <c r="F199" t="str">
        <f t="shared" si="13"/>
        <v>Affy 1.0 ST</v>
      </c>
      <c r="G199" t="str">
        <f>"MGI:1919128"</f>
        <v>MGI:1919128</v>
      </c>
      <c r="H199" t="str">
        <f>"Fam83d"</f>
        <v>Fam83d</v>
      </c>
      <c r="I199" t="s">
        <v>116</v>
      </c>
      <c r="J199" t="s">
        <v>155</v>
      </c>
    </row>
    <row r="200" spans="1:10">
      <c r="A200">
        <v>10495794</v>
      </c>
      <c r="B200">
        <v>4.9159715952115803</v>
      </c>
      <c r="C200">
        <v>1.5432413491571599</v>
      </c>
      <c r="E200" t="str">
        <f>"10495794"</f>
        <v>10495794</v>
      </c>
      <c r="F200" t="str">
        <f t="shared" si="13"/>
        <v>Affy 1.0 ST</v>
      </c>
      <c r="G200" t="str">
        <f>"MGI:2651499"</f>
        <v>MGI:2651499</v>
      </c>
      <c r="H200" t="str">
        <f>"Pde5a"</f>
        <v>Pde5a</v>
      </c>
      <c r="I200" t="s">
        <v>117</v>
      </c>
      <c r="J200" t="s">
        <v>155</v>
      </c>
    </row>
    <row r="201" spans="1:10">
      <c r="A201">
        <v>10501402</v>
      </c>
      <c r="B201">
        <v>4.9130106600928398</v>
      </c>
      <c r="C201">
        <v>1.7514369747387399</v>
      </c>
      <c r="E201" t="str">
        <f>"10501402"</f>
        <v>10501402</v>
      </c>
      <c r="F201" t="str">
        <f t="shared" si="13"/>
        <v>Affy 1.0 ST</v>
      </c>
      <c r="G201" t="str">
        <f>"MGI:1923373"</f>
        <v>MGI:1923373</v>
      </c>
      <c r="H201" t="str">
        <f>"Gpsm2"</f>
        <v>Gpsm2</v>
      </c>
      <c r="I201" t="s">
        <v>118</v>
      </c>
      <c r="J201" t="s">
        <v>155</v>
      </c>
    </row>
    <row r="202" spans="1:10">
      <c r="A202">
        <v>10518352</v>
      </c>
      <c r="B202">
        <v>4.8925949559773798</v>
      </c>
      <c r="C202">
        <v>2.49569893861494</v>
      </c>
      <c r="E202" t="str">
        <f>"10518352"</f>
        <v>10518352</v>
      </c>
      <c r="F202" t="str">
        <f t="shared" si="13"/>
        <v>Affy 1.0 ST</v>
      </c>
      <c r="G202" t="str">
        <f>"MGI:96157"</f>
        <v>MGI:96157</v>
      </c>
      <c r="H202" t="str">
        <f>"Hmgb2"</f>
        <v>Hmgb2</v>
      </c>
      <c r="I202" t="str">
        <f>"high mobility group box 2"</f>
        <v>high mobility group box 2</v>
      </c>
      <c r="J202" t="str">
        <f>"protein coding gene"</f>
        <v>protein coding gene</v>
      </c>
    </row>
    <row r="203" spans="1:10">
      <c r="A203">
        <v>10500630</v>
      </c>
      <c r="B203">
        <v>4.8685911709156597</v>
      </c>
      <c r="C203">
        <v>2.2669135738933899</v>
      </c>
      <c r="E203" t="str">
        <f>"10500630"</f>
        <v>10500630</v>
      </c>
      <c r="F203" t="str">
        <f t="shared" si="13"/>
        <v>Affy 1.0 ST</v>
      </c>
      <c r="G203" t="str">
        <f>"MGI:1921294"</f>
        <v>MGI:1921294</v>
      </c>
      <c r="H203" t="str">
        <f>"Ttf2"</f>
        <v>Ttf2</v>
      </c>
      <c r="I203" t="s">
        <v>119</v>
      </c>
      <c r="J203" t="s">
        <v>155</v>
      </c>
    </row>
    <row r="204" spans="1:10">
      <c r="A204">
        <v>10586416</v>
      </c>
      <c r="B204">
        <v>4.8501434835169599</v>
      </c>
      <c r="C204">
        <v>1.59465697178599</v>
      </c>
      <c r="E204" t="str">
        <f>"10586416"</f>
        <v>10586416</v>
      </c>
      <c r="F204" t="str">
        <f t="shared" si="13"/>
        <v>Affy 1.0 ST</v>
      </c>
      <c r="G204" t="str">
        <f>"MGI:2143057"</f>
        <v>MGI:2143057</v>
      </c>
      <c r="H204" t="str">
        <f>"Pif1"</f>
        <v>Pif1</v>
      </c>
      <c r="I204" t="str">
        <f>"PIF1 5'-to-3' DNA helicase homolog (S. cerevisiae)"</f>
        <v>PIF1 5'-to-3' DNA helicase homolog (S. cerevisiae)</v>
      </c>
      <c r="J204" t="str">
        <f>"protein coding gene"</f>
        <v>protein coding gene</v>
      </c>
    </row>
    <row r="205" spans="1:10">
      <c r="A205">
        <v>10408246</v>
      </c>
      <c r="B205">
        <v>4.8440148311965503</v>
      </c>
      <c r="C205">
        <v>3.55031958922318</v>
      </c>
      <c r="E205" t="str">
        <f>"10408246"</f>
        <v>10408246</v>
      </c>
      <c r="F205" t="str">
        <f t="shared" si="13"/>
        <v>Affy 1.0 ST</v>
      </c>
      <c r="G205" t="str">
        <f>"MGI:2668828"</f>
        <v>MGI:2668828</v>
      </c>
      <c r="H205" t="str">
        <f>"Hist1h3a"</f>
        <v>Hist1h3a</v>
      </c>
      <c r="I205" t="s">
        <v>120</v>
      </c>
      <c r="J205" t="s">
        <v>155</v>
      </c>
    </row>
    <row r="206" spans="1:10">
      <c r="A206">
        <v>10379989</v>
      </c>
      <c r="B206">
        <v>4.8144465396137797</v>
      </c>
      <c r="C206">
        <v>2.5851330739445699</v>
      </c>
      <c r="E206" t="str">
        <f>"10379989"</f>
        <v>10379989</v>
      </c>
      <c r="F206" t="str">
        <f t="shared" si="13"/>
        <v>Affy 1.0 ST</v>
      </c>
      <c r="G206" t="str">
        <f>"MGI:1913390"</f>
        <v>MGI:1913390</v>
      </c>
      <c r="H206" t="str">
        <f>"Fam33a"</f>
        <v>Fam33a</v>
      </c>
      <c r="I206" t="s">
        <v>121</v>
      </c>
      <c r="J206" t="s">
        <v>155</v>
      </c>
    </row>
    <row r="207" spans="1:10">
      <c r="A207">
        <v>10396068</v>
      </c>
      <c r="B207">
        <v>4.8069395664228098</v>
      </c>
      <c r="C207">
        <v>2.32121856735951</v>
      </c>
      <c r="E207" t="str">
        <f>"10396068"</f>
        <v>10396068</v>
      </c>
      <c r="F207" t="str">
        <f t="shared" si="13"/>
        <v>Affy 1.0 ST</v>
      </c>
      <c r="G207" t="str">
        <f>"MGI:1916956"</f>
        <v>MGI:1916956</v>
      </c>
      <c r="H207" t="str">
        <f>"Ppil5"</f>
        <v>Ppil5</v>
      </c>
      <c r="I207" t="str">
        <f>"peptidylprolyl isomerase (cyclophilin) like 5"</f>
        <v>peptidylprolyl isomerase (cyclophilin) like 5</v>
      </c>
      <c r="J207" t="str">
        <f>"protein coding gene"</f>
        <v>protein coding gene</v>
      </c>
    </row>
    <row r="208" spans="1:10">
      <c r="A208">
        <v>10408243</v>
      </c>
      <c r="B208">
        <v>4.7512581891647701</v>
      </c>
      <c r="C208">
        <v>3.3103084719517302</v>
      </c>
      <c r="E208" t="str">
        <f>"10408243"</f>
        <v>10408243</v>
      </c>
      <c r="F208" t="str">
        <f t="shared" si="13"/>
        <v>Affy 1.0 ST</v>
      </c>
      <c r="G208" t="str">
        <f>"MGI:2448420"</f>
        <v>MGI:2448420</v>
      </c>
      <c r="H208" t="str">
        <f>"Hist1h4b"</f>
        <v>Hist1h4b</v>
      </c>
      <c r="I208" t="s">
        <v>122</v>
      </c>
      <c r="J208" t="s">
        <v>155</v>
      </c>
    </row>
    <row r="209" spans="1:10">
      <c r="A209">
        <v>10564978</v>
      </c>
      <c r="B209">
        <v>4.6986442184367103</v>
      </c>
      <c r="C209">
        <v>2.74147841639213</v>
      </c>
      <c r="E209" t="str">
        <f>"10564978"</f>
        <v>10564978</v>
      </c>
      <c r="F209" t="str">
        <f t="shared" si="13"/>
        <v>Affy 1.0 ST</v>
      </c>
      <c r="G209" t="str">
        <f>"MGI:1328362"</f>
        <v>MGI:1328362</v>
      </c>
      <c r="H209" t="str">
        <f>"Blm"</f>
        <v>Blm</v>
      </c>
      <c r="I209" t="s">
        <v>123</v>
      </c>
      <c r="J209" t="s">
        <v>155</v>
      </c>
    </row>
    <row r="210" spans="1:10">
      <c r="A210">
        <v>10520521</v>
      </c>
      <c r="B210">
        <v>4.68799862100603</v>
      </c>
      <c r="C210">
        <v>1.9912394763946799</v>
      </c>
      <c r="E210" t="str">
        <f>"10520521"</f>
        <v>10520521</v>
      </c>
      <c r="F210" t="str">
        <f t="shared" si="13"/>
        <v>Affy 1.0 ST</v>
      </c>
      <c r="G210" t="str">
        <f>"MGI:88375"</f>
        <v>MGI:88375</v>
      </c>
      <c r="H210" t="str">
        <f>"Cenpa"</f>
        <v>Cenpa</v>
      </c>
      <c r="I210" t="str">
        <f>"centromere protein A"</f>
        <v>centromere protein A</v>
      </c>
      <c r="J210" t="str">
        <f>"protein coding gene"</f>
        <v>protein coding gene</v>
      </c>
    </row>
    <row r="211" spans="1:10">
      <c r="A211">
        <v>10547943</v>
      </c>
      <c r="B211">
        <v>4.6734145412174604</v>
      </c>
      <c r="C211">
        <v>2.2598204023719699</v>
      </c>
      <c r="E211" t="str">
        <f>"10547943"</f>
        <v>10547943</v>
      </c>
      <c r="F211" t="str">
        <f t="shared" si="13"/>
        <v>Affy 1.0 ST</v>
      </c>
      <c r="G211" t="str">
        <f>"MGI:1915548"</f>
        <v>MGI:1915548</v>
      </c>
      <c r="H211" t="str">
        <f>"Ncapd2"</f>
        <v>Ncapd2</v>
      </c>
      <c r="I211" t="s">
        <v>124</v>
      </c>
      <c r="J211" t="s">
        <v>155</v>
      </c>
    </row>
    <row r="212" spans="1:10">
      <c r="A212">
        <v>10528915</v>
      </c>
      <c r="B212">
        <v>4.6623325266521496</v>
      </c>
      <c r="C212">
        <v>3.3360857918826698</v>
      </c>
      <c r="E212" t="str">
        <f>"10528915"</f>
        <v>10528915</v>
      </c>
      <c r="F212" t="str">
        <f t="shared" si="13"/>
        <v>Affy 1.0 ST</v>
      </c>
      <c r="G212" t="str">
        <f>"MGI:98878"</f>
        <v>MGI:98878</v>
      </c>
      <c r="H212" t="str">
        <f>"Tyms"</f>
        <v>Tyms</v>
      </c>
      <c r="I212" t="str">
        <f>"thymidylate synthase"</f>
        <v>thymidylate synthase</v>
      </c>
      <c r="J212" t="str">
        <f>"protein coding gene"</f>
        <v>protein coding gene</v>
      </c>
    </row>
    <row r="213" spans="1:10">
      <c r="A213">
        <v>10606071</v>
      </c>
      <c r="B213">
        <v>4.6343526796638503</v>
      </c>
      <c r="C213">
        <v>2.3998671179111701</v>
      </c>
      <c r="E213" t="str">
        <f>"10606071"</f>
        <v>10606071</v>
      </c>
      <c r="F213" t="str">
        <f t="shared" si="13"/>
        <v>Affy 1.0 ST</v>
      </c>
      <c r="G213" t="str">
        <f>"MGI:2654144"</f>
        <v>MGI:2654144</v>
      </c>
      <c r="H213" t="str">
        <f>"Ercc6l"</f>
        <v>Ercc6l</v>
      </c>
      <c r="I213" t="str">
        <f>"excision repair cross-complementing rodent repair deficiency complementation group 6 - like"</f>
        <v>excision repair cross-complementing rodent repair deficiency complementation group 6 - like</v>
      </c>
      <c r="J213" t="str">
        <f>"protein coding gene"</f>
        <v>protein coding gene</v>
      </c>
    </row>
    <row r="214" spans="1:10">
      <c r="A214">
        <v>10528077</v>
      </c>
      <c r="B214">
        <v>4.6342146363975001</v>
      </c>
      <c r="C214">
        <v>1.93535909834354</v>
      </c>
      <c r="E214" t="str">
        <f>"10528077"</f>
        <v>10528077</v>
      </c>
      <c r="F214" t="str">
        <f t="shared" si="13"/>
        <v>Affy 1.0 ST</v>
      </c>
      <c r="G214" t="str">
        <f>"MGI:1351328"</f>
        <v>MGI:1351328</v>
      </c>
      <c r="H214" t="str">
        <f>"Dbf4"</f>
        <v>Dbf4</v>
      </c>
      <c r="I214" t="str">
        <f>"DBF4 homolog (S. cerevisiae)"</f>
        <v>DBF4 homolog (S. cerevisiae)</v>
      </c>
      <c r="J214" t="str">
        <f>"protein coding gene"</f>
        <v>protein coding gene</v>
      </c>
    </row>
    <row r="215" spans="1:10">
      <c r="A215">
        <v>10409031</v>
      </c>
      <c r="B215">
        <v>4.6118846810520404</v>
      </c>
      <c r="C215">
        <v>3.2384837884622599</v>
      </c>
      <c r="E215" t="str">
        <f>"10409031"</f>
        <v>10409031</v>
      </c>
      <c r="F215" t="str">
        <f t="shared" si="13"/>
        <v>Affy 1.0 ST</v>
      </c>
      <c r="G215" t="str">
        <f>"MGI:1926209"</f>
        <v>MGI:1926209</v>
      </c>
      <c r="H215" t="str">
        <f>"Dek"</f>
        <v>Dek</v>
      </c>
      <c r="I215" t="str">
        <f>"DEK oncogene (DNA binding)"</f>
        <v>DEK oncogene (DNA binding)</v>
      </c>
      <c r="J215" t="str">
        <f>"protein coding gene"</f>
        <v>protein coding gene</v>
      </c>
    </row>
    <row r="216" spans="1:10">
      <c r="A216">
        <v>10509168</v>
      </c>
      <c r="B216">
        <v>4.5817167755255603</v>
      </c>
      <c r="C216">
        <v>2.7075279101298899</v>
      </c>
      <c r="E216" t="str">
        <f>"10509168"</f>
        <v>10509168</v>
      </c>
      <c r="F216" t="str">
        <f t="shared" si="13"/>
        <v>Affy 1.0 ST</v>
      </c>
      <c r="G216" t="str">
        <f>"MGI:1096341"</f>
        <v>MGI:1096341</v>
      </c>
      <c r="H216" t="str">
        <f>"E2f2"</f>
        <v>E2f2</v>
      </c>
      <c r="I216" t="str">
        <f>"E2F transcription factor 2"</f>
        <v>E2F transcription factor 2</v>
      </c>
      <c r="J216" t="str">
        <f>"protein coding gene"</f>
        <v>protein coding gene</v>
      </c>
    </row>
    <row r="217" spans="1:10">
      <c r="A217">
        <v>10545672</v>
      </c>
      <c r="B217">
        <v>4.56455251139925</v>
      </c>
      <c r="C217">
        <v>2.52634678069407</v>
      </c>
      <c r="E217" t="str">
        <f>"10545672"</f>
        <v>10545672</v>
      </c>
      <c r="F217" t="str">
        <f t="shared" si="13"/>
        <v>Affy 1.0 ST</v>
      </c>
      <c r="G217" t="str">
        <f>"MGI:1338850"</f>
        <v>MGI:1338850</v>
      </c>
      <c r="H217" t="str">
        <f>"Mthfd2"</f>
        <v>Mthfd2</v>
      </c>
      <c r="I217" t="s">
        <v>125</v>
      </c>
      <c r="J217" t="s">
        <v>155</v>
      </c>
    </row>
    <row r="218" spans="1:10">
      <c r="A218">
        <v>10374590</v>
      </c>
      <c r="B218">
        <v>4.5641864459333297</v>
      </c>
      <c r="C218">
        <v>3.1938377383527898</v>
      </c>
      <c r="E218" t="str">
        <f>"10374590"</f>
        <v>10374590</v>
      </c>
      <c r="F218" t="str">
        <f t="shared" si="13"/>
        <v>Affy 1.0 ST</v>
      </c>
      <c r="G218" t="str">
        <f>"MGI:2144013"</f>
        <v>MGI:2144013</v>
      </c>
      <c r="H218" t="str">
        <f>"Xpo1"</f>
        <v>Xpo1</v>
      </c>
      <c r="I218" t="s">
        <v>126</v>
      </c>
      <c r="J218" t="s">
        <v>155</v>
      </c>
    </row>
    <row r="219" spans="1:10">
      <c r="A219">
        <v>10379363</v>
      </c>
      <c r="B219">
        <v>4.5532174931932001</v>
      </c>
      <c r="C219">
        <v>2.4030470832412298</v>
      </c>
      <c r="E219" t="str">
        <f>"10379363"</f>
        <v>10379363</v>
      </c>
      <c r="F219" t="str">
        <f t="shared" si="13"/>
        <v>Affy 1.0 ST</v>
      </c>
      <c r="G219" t="str">
        <f>"MGI:2442925"</f>
        <v>MGI:2442925</v>
      </c>
      <c r="H219" t="str">
        <f>"Atad5"</f>
        <v>Atad5</v>
      </c>
      <c r="I219" t="s">
        <v>127</v>
      </c>
      <c r="J219" t="s">
        <v>155</v>
      </c>
    </row>
    <row r="220" spans="1:10">
      <c r="A220">
        <v>10500324</v>
      </c>
      <c r="B220">
        <v>4.5429897012356699</v>
      </c>
      <c r="C220">
        <v>2.6306152449372702</v>
      </c>
      <c r="E220" t="str">
        <f>"10500324"</f>
        <v>10500324</v>
      </c>
      <c r="F220" t="str">
        <f t="shared" si="13"/>
        <v>Affy 1.0 ST</v>
      </c>
      <c r="G220" t="str">
        <f>"MGI:2448316"</f>
        <v>MGI:2448316</v>
      </c>
      <c r="H220" t="str">
        <f>"Hist2h2ac"</f>
        <v>Hist2h2ac</v>
      </c>
      <c r="I220" t="s">
        <v>128</v>
      </c>
      <c r="J220" t="s">
        <v>155</v>
      </c>
    </row>
    <row r="221" spans="1:10">
      <c r="A221">
        <v>10503617</v>
      </c>
      <c r="B221">
        <v>4.5116137823899196</v>
      </c>
      <c r="C221">
        <v>2.99813260254155</v>
      </c>
      <c r="E221" t="str">
        <f>"10503617"</f>
        <v>10503617</v>
      </c>
      <c r="F221" t="str">
        <f t="shared" si="13"/>
        <v>Affy 1.0 ST</v>
      </c>
      <c r="G221" t="str">
        <f>"MGI:2684980"</f>
        <v>MGI:2684980</v>
      </c>
      <c r="H221" t="str">
        <f>"Mms22l"</f>
        <v>Mms22l</v>
      </c>
      <c r="I221" t="s">
        <v>129</v>
      </c>
      <c r="J221" t="s">
        <v>155</v>
      </c>
    </row>
    <row r="222" spans="1:10">
      <c r="A222">
        <v>10562563</v>
      </c>
      <c r="B222">
        <v>4.4973834576992999</v>
      </c>
      <c r="C222">
        <v>1.7865813400497299</v>
      </c>
      <c r="E222" t="str">
        <f>"10562563"</f>
        <v>10562563</v>
      </c>
      <c r="F222" t="str">
        <f t="shared" si="13"/>
        <v>Affy 1.0 ST</v>
      </c>
      <c r="G222" t="str">
        <f>"MGI:88316"</f>
        <v>MGI:88316</v>
      </c>
      <c r="H222" t="str">
        <f>"Ccne1"</f>
        <v>Ccne1</v>
      </c>
      <c r="I222" t="str">
        <f>"cyclin E1"</f>
        <v>cyclin E1</v>
      </c>
      <c r="J222" t="str">
        <f>"protein coding gene"</f>
        <v>protein coding gene</v>
      </c>
    </row>
    <row r="223" spans="1:10">
      <c r="A223">
        <v>10524266</v>
      </c>
      <c r="B223">
        <v>4.4794049815091803</v>
      </c>
      <c r="C223">
        <v>2.9818707191224001</v>
      </c>
      <c r="E223" t="str">
        <f>"10524266"</f>
        <v>10524266</v>
      </c>
      <c r="F223" t="str">
        <f t="shared" si="13"/>
        <v>Affy 1.0 ST</v>
      </c>
      <c r="G223" t="str">
        <f>"MGI:1355321"</f>
        <v>MGI:1355321</v>
      </c>
      <c r="H223" t="str">
        <f>"Chek2"</f>
        <v>Chek2</v>
      </c>
      <c r="I223" t="str">
        <f>"CHK2 checkpoint homolog (S. pombe)"</f>
        <v>CHK2 checkpoint homolog (S. pombe)</v>
      </c>
      <c r="J223" t="str">
        <f>"protein coding gene"</f>
        <v>protein coding gene</v>
      </c>
    </row>
    <row r="224" spans="1:10">
      <c r="A224">
        <v>10357391</v>
      </c>
      <c r="B224">
        <v>4.4386062921750096</v>
      </c>
      <c r="C224">
        <v>2.86051994424</v>
      </c>
      <c r="E224" t="str">
        <f>"10357391"</f>
        <v>10357391</v>
      </c>
      <c r="F224" t="str">
        <f t="shared" si="13"/>
        <v>Affy 1.0 ST</v>
      </c>
      <c r="G224" t="str">
        <f>"MGI:1918362"</f>
        <v>MGI:1918362</v>
      </c>
      <c r="H224" t="str">
        <f>"Zranb3"</f>
        <v>Zranb3</v>
      </c>
      <c r="I224" t="s">
        <v>130</v>
      </c>
      <c r="J224" t="s">
        <v>155</v>
      </c>
    </row>
    <row r="225" spans="1:10">
      <c r="A225">
        <v>10475362</v>
      </c>
      <c r="B225">
        <v>4.4253348539145998</v>
      </c>
      <c r="C225">
        <v>2.09804359821988</v>
      </c>
      <c r="E225" t="str">
        <f>"10475362"</f>
        <v>10475362</v>
      </c>
      <c r="F225" t="str">
        <f t="shared" si="13"/>
        <v>Affy 1.0 ST</v>
      </c>
      <c r="G225" t="str">
        <f>"MGI:1926186"</f>
        <v>MGI:1926186</v>
      </c>
      <c r="H225" t="str">
        <f>"Wdr76"</f>
        <v>Wdr76</v>
      </c>
      <c r="I225" t="str">
        <f>"WD repeat domain 76"</f>
        <v>WD repeat domain 76</v>
      </c>
      <c r="J225" t="str">
        <f>"protein coding gene"</f>
        <v>protein coding gene</v>
      </c>
    </row>
    <row r="226" spans="1:10">
      <c r="A226">
        <v>10388234</v>
      </c>
      <c r="B226">
        <v>4.40644935668369</v>
      </c>
      <c r="C226">
        <v>1.93170207902629</v>
      </c>
      <c r="E226" t="str">
        <f>"10388234"</f>
        <v>10388234</v>
      </c>
      <c r="F226" t="str">
        <f t="shared" si="13"/>
        <v>Affy 1.0 ST</v>
      </c>
      <c r="G226" t="str">
        <f>"MGI:1194498"</f>
        <v>MGI:1194498</v>
      </c>
      <c r="H226" t="str">
        <f>"Gsg2"</f>
        <v>Gsg2</v>
      </c>
      <c r="I226" t="str">
        <f>"germ cell-specific gene 2"</f>
        <v>germ cell-specific gene 2</v>
      </c>
      <c r="J226" t="str">
        <f>"protein coding gene"</f>
        <v>protein coding gene</v>
      </c>
    </row>
    <row r="227" spans="1:10">
      <c r="A227">
        <v>10374400</v>
      </c>
      <c r="B227">
        <v>4.4060586226879099</v>
      </c>
      <c r="C227">
        <v>3.02840175108985</v>
      </c>
      <c r="E227" t="str">
        <f>"10374400"</f>
        <v>10374400</v>
      </c>
      <c r="F227" t="str">
        <f t="shared" si="13"/>
        <v>Affy 1.0 ST</v>
      </c>
      <c r="G227" t="str">
        <f>"MGI:2442569"</f>
        <v>MGI:2442569</v>
      </c>
      <c r="H227" t="str">
        <f>"Fbxo48"</f>
        <v>Fbxo48</v>
      </c>
      <c r="I227" t="str">
        <f>"F-box protein 48"</f>
        <v>F-box protein 48</v>
      </c>
      <c r="J227" t="str">
        <f>"protein coding gene"</f>
        <v>protein coding gene</v>
      </c>
    </row>
    <row r="228" spans="1:10">
      <c r="A228">
        <v>10349637</v>
      </c>
      <c r="B228">
        <v>4.38405850499809</v>
      </c>
      <c r="C228">
        <v>0.85803176728002795</v>
      </c>
      <c r="E228" t="str">
        <f>"10349637"</f>
        <v>10349637</v>
      </c>
      <c r="F228" t="str">
        <f t="shared" si="13"/>
        <v>Affy 1.0 ST</v>
      </c>
      <c r="G228" t="str">
        <f>"MGI:1919669"</f>
        <v>MGI:1919669</v>
      </c>
      <c r="H228" t="str">
        <f>"Fam72a"</f>
        <v>Fam72a</v>
      </c>
      <c r="I228" t="s">
        <v>131</v>
      </c>
      <c r="J228" t="s">
        <v>155</v>
      </c>
    </row>
    <row r="229" spans="1:10">
      <c r="A229">
        <v>10390746</v>
      </c>
      <c r="B229">
        <v>4.3711537330627896</v>
      </c>
      <c r="C229">
        <v>0.71815377450074303</v>
      </c>
      <c r="E229" t="str">
        <f>"10390746"</f>
        <v>10390746</v>
      </c>
      <c r="F229" t="str">
        <f>""</f>
        <v/>
      </c>
      <c r="G229" t="str">
        <f>"No associated gene"</f>
        <v>No associated gene</v>
      </c>
    </row>
    <row r="230" spans="1:10">
      <c r="A230">
        <v>10407081</v>
      </c>
      <c r="B230">
        <v>4.36146080972342</v>
      </c>
      <c r="C230">
        <v>2.4819059030928501</v>
      </c>
      <c r="E230" t="str">
        <f>"10407081"</f>
        <v>10407081</v>
      </c>
      <c r="F230" t="str">
        <f>"Affy 1.0 ST"</f>
        <v>Affy 1.0 ST</v>
      </c>
      <c r="G230" t="str">
        <f>"MGI:2145425"</f>
        <v>MGI:2145425</v>
      </c>
      <c r="H230" t="str">
        <f>"Depdc1b"</f>
        <v>Depdc1b</v>
      </c>
      <c r="I230" t="str">
        <f>"DEP domain containing 1B"</f>
        <v>DEP domain containing 1B</v>
      </c>
      <c r="J230" t="str">
        <f>"protein coding gene"</f>
        <v>protein coding gene</v>
      </c>
    </row>
    <row r="231" spans="1:10">
      <c r="A231">
        <v>10512236</v>
      </c>
      <c r="B231">
        <v>4.35872056124024</v>
      </c>
      <c r="C231">
        <v>1.9747235781789001</v>
      </c>
      <c r="E231" t="str">
        <f>"10512236"</f>
        <v>10512236</v>
      </c>
      <c r="F231" t="str">
        <f>"Affy 1.0 ST"</f>
        <v>Affy 1.0 ST</v>
      </c>
      <c r="G231" t="str">
        <f>"MGI:1918345"</f>
        <v>MGI:1918345</v>
      </c>
      <c r="H231" t="str">
        <f>"Kif24"</f>
        <v>Kif24</v>
      </c>
      <c r="I231" t="str">
        <f>"kinesin family member 24"</f>
        <v>kinesin family member 24</v>
      </c>
      <c r="J231" t="str">
        <f>"protein coding gene"</f>
        <v>protein coding gene</v>
      </c>
    </row>
    <row r="232" spans="1:10">
      <c r="A232">
        <v>10408321</v>
      </c>
      <c r="B232">
        <v>4.3569599490415296</v>
      </c>
      <c r="C232">
        <v>2.6328925395179601</v>
      </c>
      <c r="E232" t="str">
        <f>"10408321"</f>
        <v>10408321</v>
      </c>
      <c r="F232" t="str">
        <f>"Affy 1.0 ST"</f>
        <v>Affy 1.0 ST</v>
      </c>
      <c r="G232" t="str">
        <f>"MGI:1927344"</f>
        <v>MGI:1927344</v>
      </c>
      <c r="H232" t="str">
        <f>"Gmnn"</f>
        <v>Gmnn</v>
      </c>
      <c r="I232" t="str">
        <f>"geminin"</f>
        <v>geminin</v>
      </c>
      <c r="J232" t="str">
        <f>"protein coding gene"</f>
        <v>protein coding gene</v>
      </c>
    </row>
    <row r="233" spans="1:10">
      <c r="A233">
        <v>10352954</v>
      </c>
      <c r="B233">
        <v>4.3567512663994998</v>
      </c>
      <c r="C233">
        <v>1.8052114111220099</v>
      </c>
      <c r="E233" t="str">
        <f>"10352954"</f>
        <v>10352954</v>
      </c>
      <c r="F233" t="str">
        <f>"Affy 1.0 ST"</f>
        <v>Affy 1.0 ST</v>
      </c>
      <c r="G233" t="str">
        <f>"MGI:1098219"</f>
        <v>MGI:1098219</v>
      </c>
      <c r="H233" t="str">
        <f>"Hmgb3"</f>
        <v>Hmgb3</v>
      </c>
      <c r="I233" t="str">
        <f>"high mobility group box 3"</f>
        <v>high mobility group box 3</v>
      </c>
      <c r="J233" t="str">
        <f>"protein coding gene"</f>
        <v>protein coding gene</v>
      </c>
    </row>
    <row r="234" spans="1:10">
      <c r="A234">
        <v>10341707</v>
      </c>
      <c r="B234">
        <v>4.32315263712752</v>
      </c>
      <c r="C234">
        <v>1.9873364648799701</v>
      </c>
      <c r="E234" t="str">
        <f>"10341707"</f>
        <v>10341707</v>
      </c>
      <c r="F234" t="str">
        <f>""</f>
        <v/>
      </c>
      <c r="G234" t="str">
        <f>"No associated gene"</f>
        <v>No associated gene</v>
      </c>
    </row>
    <row r="235" spans="1:10">
      <c r="A235">
        <v>10350590</v>
      </c>
      <c r="B235">
        <v>4.3157158284816299</v>
      </c>
      <c r="C235">
        <v>2.1147317354911102</v>
      </c>
      <c r="E235" t="str">
        <f>"10350590"</f>
        <v>10350590</v>
      </c>
      <c r="F235" t="str">
        <f t="shared" ref="F235:F259" si="14">"Affy 1.0 ST"</f>
        <v>Affy 1.0 ST</v>
      </c>
      <c r="G235" t="str">
        <f>"MGI:3643639"</f>
        <v>MGI:3643639</v>
      </c>
      <c r="H235" t="str">
        <f>"Ska2l-ps"</f>
        <v>Ska2l-ps</v>
      </c>
      <c r="I235" t="s">
        <v>132</v>
      </c>
      <c r="J235" t="s">
        <v>133</v>
      </c>
    </row>
    <row r="236" spans="1:10">
      <c r="A236">
        <v>10375234</v>
      </c>
      <c r="B236">
        <v>4.3034004944077902</v>
      </c>
      <c r="C236">
        <v>1.9532226250079101</v>
      </c>
      <c r="E236" t="str">
        <f>"10375234"</f>
        <v>10375234</v>
      </c>
      <c r="F236" t="str">
        <f t="shared" si="14"/>
        <v>Affy 1.0 ST</v>
      </c>
      <c r="G236" t="str">
        <f>"MGI:1277103"</f>
        <v>MGI:1277103</v>
      </c>
      <c r="H236" t="str">
        <f>"Nudcd2"</f>
        <v>Nudcd2</v>
      </c>
      <c r="I236" t="str">
        <f>"NudC domain containing 2"</f>
        <v>NudC domain containing 2</v>
      </c>
      <c r="J236" t="str">
        <f t="shared" ref="J236:J241" si="15">"protein coding gene"</f>
        <v>protein coding gene</v>
      </c>
    </row>
    <row r="237" spans="1:10">
      <c r="A237">
        <v>10527801</v>
      </c>
      <c r="B237">
        <v>4.3005630975601301</v>
      </c>
      <c r="C237">
        <v>2.8922077177904</v>
      </c>
      <c r="E237" t="str">
        <f>"10527801"</f>
        <v>10527801</v>
      </c>
      <c r="F237" t="str">
        <f t="shared" si="14"/>
        <v>Affy 1.0 ST</v>
      </c>
      <c r="G237" t="str">
        <f>"MGI:109337"</f>
        <v>MGI:109337</v>
      </c>
      <c r="H237" t="str">
        <f>"Brca2"</f>
        <v>Brca2</v>
      </c>
      <c r="I237" t="str">
        <f>"breast cancer 2"</f>
        <v>breast cancer 2</v>
      </c>
      <c r="J237" t="str">
        <f t="shared" si="15"/>
        <v>protein coding gene</v>
      </c>
    </row>
    <row r="238" spans="1:10">
      <c r="A238">
        <v>10506680</v>
      </c>
      <c r="B238">
        <v>4.2985290126134403</v>
      </c>
      <c r="C238">
        <v>2.7480600989826498</v>
      </c>
      <c r="E238" t="str">
        <f>"10506680"</f>
        <v>10506680</v>
      </c>
      <c r="F238" t="str">
        <f t="shared" si="14"/>
        <v>Affy 1.0 ST</v>
      </c>
      <c r="G238" t="str">
        <f>"MGI:1920037"</f>
        <v>MGI:1920037</v>
      </c>
      <c r="H238" t="str">
        <f>"Tmem48"</f>
        <v>Tmem48</v>
      </c>
      <c r="I238" t="str">
        <f>"transmembrane protein 48"</f>
        <v>transmembrane protein 48</v>
      </c>
      <c r="J238" t="str">
        <f t="shared" si="15"/>
        <v>protein coding gene</v>
      </c>
    </row>
    <row r="239" spans="1:10">
      <c r="A239">
        <v>10401852</v>
      </c>
      <c r="B239">
        <v>4.2836070810237503</v>
      </c>
      <c r="C239">
        <v>2.82071485922252</v>
      </c>
      <c r="E239" t="str">
        <f>"10401852"</f>
        <v>10401852</v>
      </c>
      <c r="F239" t="str">
        <f t="shared" si="14"/>
        <v>Affy 1.0 ST</v>
      </c>
      <c r="G239" t="str">
        <f>"MGI:1922466"</f>
        <v>MGI:1922466</v>
      </c>
      <c r="H239" t="str">
        <f>"4930534B04Rik"</f>
        <v>4930534B04Rik</v>
      </c>
      <c r="I239" t="str">
        <f>"RIKEN cDNA 4930534B04 gene"</f>
        <v>RIKEN cDNA 4930534B04 gene</v>
      </c>
      <c r="J239" t="str">
        <f t="shared" si="15"/>
        <v>protein coding gene</v>
      </c>
    </row>
    <row r="240" spans="1:10">
      <c r="A240">
        <v>10523802</v>
      </c>
      <c r="B240">
        <v>4.2761763386234799</v>
      </c>
      <c r="C240">
        <v>2.5835346017310399</v>
      </c>
      <c r="E240" t="str">
        <f>"10523802"</f>
        <v>10523802</v>
      </c>
      <c r="F240" t="str">
        <f t="shared" si="14"/>
        <v>Affy 1.0 ST</v>
      </c>
      <c r="G240" t="str">
        <f>"MGI:1309511"</f>
        <v>MGI:1309511</v>
      </c>
      <c r="H240" t="str">
        <f>"Cdc7"</f>
        <v>Cdc7</v>
      </c>
      <c r="I240" t="str">
        <f>"cell division cycle 7 (S. cerevisiae)"</f>
        <v>cell division cycle 7 (S. cerevisiae)</v>
      </c>
      <c r="J240" t="str">
        <f t="shared" si="15"/>
        <v>protein coding gene</v>
      </c>
    </row>
    <row r="241" spans="1:10">
      <c r="A241">
        <v>10349733</v>
      </c>
      <c r="B241">
        <v>4.2677175956640303</v>
      </c>
      <c r="C241">
        <v>2.79988333686221</v>
      </c>
      <c r="E241" t="str">
        <f>"10349733"</f>
        <v>10349733</v>
      </c>
      <c r="F241" t="str">
        <f t="shared" si="14"/>
        <v>Affy 1.0 ST</v>
      </c>
      <c r="G241" t="str">
        <f>"MGI:1934811"</f>
        <v>MGI:1934811</v>
      </c>
      <c r="H241" t="str">
        <f>"Nucks1"</f>
        <v>Nucks1</v>
      </c>
      <c r="I241" t="str">
        <f>"nuclear casein kinase and cyclin-dependent kinase substrate 1"</f>
        <v>nuclear casein kinase and cyclin-dependent kinase substrate 1</v>
      </c>
      <c r="J241" t="str">
        <f t="shared" si="15"/>
        <v>protein coding gene</v>
      </c>
    </row>
    <row r="242" spans="1:10">
      <c r="A242">
        <v>10361995</v>
      </c>
      <c r="B242">
        <v>4.2195886852583504</v>
      </c>
      <c r="C242">
        <v>2.8566214086564599</v>
      </c>
      <c r="E242" t="str">
        <f>"10361995"</f>
        <v>10361995</v>
      </c>
      <c r="F242" t="str">
        <f t="shared" si="14"/>
        <v>Affy 1.0 ST</v>
      </c>
      <c r="G242" t="str">
        <f>"MGI:1919054"</f>
        <v>MGI:1919054</v>
      </c>
      <c r="H242" t="str">
        <f>"Fam54a"</f>
        <v>Fam54a</v>
      </c>
      <c r="I242" t="s">
        <v>134</v>
      </c>
      <c r="J242" t="s">
        <v>155</v>
      </c>
    </row>
    <row r="243" spans="1:10">
      <c r="A243">
        <v>10510172</v>
      </c>
      <c r="B243">
        <v>4.2075419184795004</v>
      </c>
      <c r="C243">
        <v>2.18914846062806</v>
      </c>
      <c r="E243" t="str">
        <f>"10510172"</f>
        <v>10510172</v>
      </c>
      <c r="F243" t="str">
        <f t="shared" si="14"/>
        <v>Affy 1.0 ST</v>
      </c>
      <c r="G243" t="str">
        <f>"MGI:96157"</f>
        <v>MGI:96157</v>
      </c>
      <c r="H243" t="str">
        <f>"Hmgb2"</f>
        <v>Hmgb2</v>
      </c>
      <c r="I243" t="str">
        <f>"high mobility group box 2"</f>
        <v>high mobility group box 2</v>
      </c>
      <c r="J243" t="str">
        <f t="shared" ref="J243:J248" si="16">"protein coding gene"</f>
        <v>protein coding gene</v>
      </c>
    </row>
    <row r="244" spans="1:10">
      <c r="A244">
        <v>10366554</v>
      </c>
      <c r="B244">
        <v>4.1591587981662803</v>
      </c>
      <c r="C244">
        <v>1.5251429260724101</v>
      </c>
      <c r="E244" t="str">
        <f>"10366554"</f>
        <v>10366554</v>
      </c>
      <c r="F244" t="str">
        <f t="shared" si="14"/>
        <v>Affy 1.0 ST</v>
      </c>
      <c r="G244" t="str">
        <f>"MGI:96951"</f>
        <v>MGI:96951</v>
      </c>
      <c r="H244" t="str">
        <f>"Mdm1"</f>
        <v>Mdm1</v>
      </c>
      <c r="I244" t="str">
        <f>"transformed mouse 3T3 cell double minute 1"</f>
        <v>transformed mouse 3T3 cell double minute 1</v>
      </c>
      <c r="J244" t="str">
        <f t="shared" si="16"/>
        <v>protein coding gene</v>
      </c>
    </row>
    <row r="245" spans="1:10">
      <c r="A245">
        <v>10389627</v>
      </c>
      <c r="B245">
        <v>4.1510419717330702</v>
      </c>
      <c r="C245">
        <v>1.7647732688855799</v>
      </c>
      <c r="E245" t="str">
        <f>"10389627"</f>
        <v>10389627</v>
      </c>
      <c r="F245" t="str">
        <f t="shared" si="14"/>
        <v>Affy 1.0 ST</v>
      </c>
      <c r="G245" t="str">
        <f>"MGI:2150020"</f>
        <v>MGI:2150020</v>
      </c>
      <c r="H245" t="str">
        <f>"Rad51c"</f>
        <v>Rad51c</v>
      </c>
      <c r="I245" t="str">
        <f>"RAD51 homolog c (S. cerevisiae)"</f>
        <v>RAD51 homolog c (S. cerevisiae)</v>
      </c>
      <c r="J245" t="str">
        <f t="shared" si="16"/>
        <v>protein coding gene</v>
      </c>
    </row>
    <row r="246" spans="1:10">
      <c r="A246">
        <v>10495945</v>
      </c>
      <c r="B246">
        <v>4.1485048242329601</v>
      </c>
      <c r="C246">
        <v>2.4634473491359601</v>
      </c>
      <c r="E246" t="str">
        <f>"10495945"</f>
        <v>10495945</v>
      </c>
      <c r="F246" t="str">
        <f t="shared" si="14"/>
        <v>Affy 1.0 ST</v>
      </c>
      <c r="G246" t="str">
        <f>"MGI:1918893"</f>
        <v>MGI:1918893</v>
      </c>
      <c r="H246" t="str">
        <f>"4930422G04Rik"</f>
        <v>4930422G04Rik</v>
      </c>
      <c r="I246" t="str">
        <f>"RIKEN cDNA 4930422G04 gene"</f>
        <v>RIKEN cDNA 4930422G04 gene</v>
      </c>
      <c r="J246" t="str">
        <f t="shared" si="16"/>
        <v>protein coding gene</v>
      </c>
    </row>
    <row r="247" spans="1:10">
      <c r="A247">
        <v>10395612</v>
      </c>
      <c r="B247">
        <v>4.1453383024019903</v>
      </c>
      <c r="C247">
        <v>2.1318150528026898</v>
      </c>
      <c r="E247" t="str">
        <f>"10395612"</f>
        <v>10395612</v>
      </c>
      <c r="F247" t="str">
        <f t="shared" si="14"/>
        <v>Affy 1.0 ST</v>
      </c>
      <c r="G247" t="str">
        <f>"MGI:2444298"</f>
        <v>MGI:2444298</v>
      </c>
      <c r="H247" t="str">
        <f>"G2e3"</f>
        <v>G2e3</v>
      </c>
      <c r="I247" t="str">
        <f>"G2/M-phase specific E3 ubiquitin ligase"</f>
        <v>G2/M-phase specific E3 ubiquitin ligase</v>
      </c>
      <c r="J247" t="str">
        <f t="shared" si="16"/>
        <v>protein coding gene</v>
      </c>
    </row>
    <row r="248" spans="1:10">
      <c r="A248">
        <v>10453867</v>
      </c>
      <c r="B248">
        <v>4.1372870404116098</v>
      </c>
      <c r="C248">
        <v>1.4909256610733199</v>
      </c>
      <c r="E248" t="str">
        <f>"10453867"</f>
        <v>10453867</v>
      </c>
      <c r="F248" t="str">
        <f t="shared" si="14"/>
        <v>Affy 1.0 ST</v>
      </c>
      <c r="G248" t="str">
        <f>"MGI:2442995"</f>
        <v>MGI:2442995</v>
      </c>
      <c r="H248" t="str">
        <f>"Rbbp8"</f>
        <v>Rbbp8</v>
      </c>
      <c r="I248" t="str">
        <f>"retinoblastoma binding protein 8"</f>
        <v>retinoblastoma binding protein 8</v>
      </c>
      <c r="J248" t="str">
        <f t="shared" si="16"/>
        <v>protein coding gene</v>
      </c>
    </row>
    <row r="249" spans="1:10">
      <c r="A249">
        <v>10586454</v>
      </c>
      <c r="B249">
        <v>4.1299984992799397</v>
      </c>
      <c r="C249">
        <v>1.9839214972511101</v>
      </c>
      <c r="E249" t="str">
        <f>"10586454"</f>
        <v>10586454</v>
      </c>
      <c r="F249" t="str">
        <f t="shared" si="14"/>
        <v>Affy 1.0 ST</v>
      </c>
      <c r="G249" t="str">
        <f>"MGI:2442964"</f>
        <v>MGI:2442964</v>
      </c>
      <c r="H249" t="str">
        <f>"D030028M11Rik"</f>
        <v>D030028M11Rik</v>
      </c>
      <c r="I249" t="str">
        <f>"RIKEN cDNA D030028M11 gene"</f>
        <v>RIKEN cDNA D030028M11 gene</v>
      </c>
      <c r="J249" t="str">
        <f>"unclassified gene"</f>
        <v>unclassified gene</v>
      </c>
    </row>
    <row r="250" spans="1:10">
      <c r="A250">
        <v>10473919</v>
      </c>
      <c r="B250">
        <v>4.1260981413567803</v>
      </c>
      <c r="C250">
        <v>1.86918728165496</v>
      </c>
      <c r="E250" t="str">
        <f>"10473919"</f>
        <v>10473919</v>
      </c>
      <c r="F250" t="str">
        <f t="shared" si="14"/>
        <v>Affy 1.0 ST</v>
      </c>
      <c r="G250" t="str">
        <f>"MGI:1923036"</f>
        <v>MGI:1923036</v>
      </c>
      <c r="H250" t="str">
        <f>"Ckap5"</f>
        <v>Ckap5</v>
      </c>
      <c r="I250" t="str">
        <f>"cytoskeleton associated protein 5"</f>
        <v>cytoskeleton associated protein 5</v>
      </c>
      <c r="J250" t="str">
        <f>"protein coding gene"</f>
        <v>protein coding gene</v>
      </c>
    </row>
    <row r="251" spans="1:10">
      <c r="A251">
        <v>10359648</v>
      </c>
      <c r="B251">
        <v>4.12350115631381</v>
      </c>
      <c r="C251">
        <v>1.9965250702061099</v>
      </c>
      <c r="E251" t="str">
        <f>"10359648"</f>
        <v>10359648</v>
      </c>
      <c r="F251" t="str">
        <f t="shared" si="14"/>
        <v>Affy 1.0 ST</v>
      </c>
      <c r="G251" t="str">
        <f>"MGI:3590554"</f>
        <v>MGI:3590554</v>
      </c>
      <c r="H251" t="str">
        <f>"BC055324"</f>
        <v>BC055324</v>
      </c>
      <c r="I251" t="str">
        <f>"cDNA sequence BC055324"</f>
        <v>cDNA sequence BC055324</v>
      </c>
      <c r="J251" t="str">
        <f>"protein coding gene"</f>
        <v>protein coding gene</v>
      </c>
    </row>
    <row r="252" spans="1:10">
      <c r="A252">
        <v>10567412</v>
      </c>
      <c r="B252">
        <v>4.1207726212019598</v>
      </c>
      <c r="C252">
        <v>1.16488730219744</v>
      </c>
      <c r="E252" t="str">
        <f>"10567412"</f>
        <v>10567412</v>
      </c>
      <c r="F252" t="str">
        <f t="shared" si="14"/>
        <v>Affy 1.0 ST</v>
      </c>
      <c r="G252" t="str">
        <f>"MGI:1918401"</f>
        <v>MGI:1918401</v>
      </c>
      <c r="H252" t="str">
        <f>"Eri2"</f>
        <v>Eri2</v>
      </c>
      <c r="I252" t="str">
        <f>"exoribonuclease 2"</f>
        <v>exoribonuclease 2</v>
      </c>
      <c r="J252" t="str">
        <f>"protein coding gene"</f>
        <v>protein coding gene</v>
      </c>
    </row>
    <row r="253" spans="1:10">
      <c r="A253">
        <v>10446027</v>
      </c>
      <c r="B253">
        <v>4.1017474036148398</v>
      </c>
      <c r="C253">
        <v>2.6930486810597101</v>
      </c>
      <c r="E253" t="str">
        <f>"10446027"</f>
        <v>10446027</v>
      </c>
      <c r="F253" t="str">
        <f t="shared" si="14"/>
        <v>Affy 1.0 ST</v>
      </c>
      <c r="G253" t="str">
        <f>"MGI:1351331"</f>
        <v>MGI:1351331</v>
      </c>
      <c r="H253" t="str">
        <f>"Chaf1a"</f>
        <v>Chaf1a</v>
      </c>
      <c r="I253" t="s">
        <v>135</v>
      </c>
      <c r="J253" t="s">
        <v>155</v>
      </c>
    </row>
    <row r="254" spans="1:10">
      <c r="A254">
        <v>10521136</v>
      </c>
      <c r="B254">
        <v>4.1002494796117901</v>
      </c>
      <c r="C254">
        <v>1.9192793546434599</v>
      </c>
      <c r="E254" t="str">
        <f>"10521136"</f>
        <v>10521136</v>
      </c>
      <c r="F254" t="str">
        <f t="shared" si="14"/>
        <v>Affy 1.0 ST</v>
      </c>
      <c r="G254" t="str">
        <f>"MGI:1276574"</f>
        <v>MGI:1276574</v>
      </c>
      <c r="H254" t="str">
        <f>"Whsc1"</f>
        <v>Whsc1</v>
      </c>
      <c r="I254" t="str">
        <f>"Wolf-Hirschhorn syndrome candidate 1 (human)"</f>
        <v>Wolf-Hirschhorn syndrome candidate 1 (human)</v>
      </c>
      <c r="J254" t="str">
        <f>"protein coding gene"</f>
        <v>protein coding gene</v>
      </c>
    </row>
    <row r="255" spans="1:10">
      <c r="A255">
        <v>10581800</v>
      </c>
      <c r="B255">
        <v>4.0803222687129903</v>
      </c>
      <c r="C255">
        <v>2.4654019220973802</v>
      </c>
      <c r="E255" t="str">
        <f>"10581800"</f>
        <v>10581800</v>
      </c>
      <c r="F255" t="str">
        <f t="shared" si="14"/>
        <v>Affy 1.0 ST</v>
      </c>
      <c r="G255" t="str">
        <f>"MGI:2384584"</f>
        <v>MGI:2384584</v>
      </c>
      <c r="H255" t="str">
        <f>"Rfwd3"</f>
        <v>Rfwd3</v>
      </c>
      <c r="I255" t="str">
        <f>"ring finger and WD repeat domain 3"</f>
        <v>ring finger and WD repeat domain 3</v>
      </c>
      <c r="J255" t="str">
        <f>"protein coding gene"</f>
        <v>protein coding gene</v>
      </c>
    </row>
    <row r="256" spans="1:10">
      <c r="A256">
        <v>10519488</v>
      </c>
      <c r="B256">
        <v>4.07784981752725</v>
      </c>
      <c r="C256">
        <v>1.8087138263923399</v>
      </c>
      <c r="E256" t="str">
        <f>"10519488"</f>
        <v>10519488</v>
      </c>
      <c r="F256" t="str">
        <f t="shared" si="14"/>
        <v>Affy 1.0 ST</v>
      </c>
      <c r="G256" t="str">
        <f>"MGI:1915472"</f>
        <v>MGI:1915472</v>
      </c>
      <c r="H256" t="str">
        <f>"Tubb2c"</f>
        <v>Tubb2c</v>
      </c>
      <c r="I256" t="s">
        <v>186</v>
      </c>
      <c r="J256" t="s">
        <v>155</v>
      </c>
    </row>
    <row r="257" spans="1:10">
      <c r="A257">
        <v>10433088</v>
      </c>
      <c r="B257">
        <v>4.0737834063241296</v>
      </c>
      <c r="C257">
        <v>2.5063412399305798</v>
      </c>
      <c r="E257" t="str">
        <f>"10433088"</f>
        <v>10433088</v>
      </c>
      <c r="F257" t="str">
        <f t="shared" si="14"/>
        <v>Affy 1.0 ST</v>
      </c>
      <c r="G257" t="str">
        <f>"MGI:109372"</f>
        <v>MGI:109372</v>
      </c>
      <c r="H257" t="str">
        <f>"Cbx5"</f>
        <v>Cbx5</v>
      </c>
      <c r="I257" t="str">
        <f>"chromobox homolog 5 (Drosophila HP1a)"</f>
        <v>chromobox homolog 5 (Drosophila HP1a)</v>
      </c>
      <c r="J257" t="str">
        <f>"protein coding gene"</f>
        <v>protein coding gene</v>
      </c>
    </row>
    <row r="258" spans="1:10">
      <c r="A258">
        <v>10390050</v>
      </c>
      <c r="B258">
        <v>4.0648981192672702</v>
      </c>
      <c r="C258">
        <v>2.0229683615101401</v>
      </c>
      <c r="E258" t="str">
        <f>"10390050"</f>
        <v>10390050</v>
      </c>
      <c r="F258" t="str">
        <f t="shared" si="14"/>
        <v>Affy 1.0 ST</v>
      </c>
      <c r="G258" t="str">
        <f>"MGI:3576783"</f>
        <v>MGI:3576783</v>
      </c>
      <c r="H258" t="str">
        <f>"Eme1"</f>
        <v>Eme1</v>
      </c>
      <c r="I258" t="str">
        <f>"essential meiotic endonuclease 1 homolog 1 (S. pombe)"</f>
        <v>essential meiotic endonuclease 1 homolog 1 (S. pombe)</v>
      </c>
      <c r="J258" t="str">
        <f>"protein coding gene"</f>
        <v>protein coding gene</v>
      </c>
    </row>
    <row r="259" spans="1:10">
      <c r="A259">
        <v>10371603</v>
      </c>
      <c r="B259">
        <v>4.0514806860546404</v>
      </c>
      <c r="C259">
        <v>1.71564851475255</v>
      </c>
      <c r="E259" t="str">
        <f>"10371603"</f>
        <v>10371603</v>
      </c>
      <c r="F259" t="str">
        <f t="shared" si="14"/>
        <v>Affy 1.0 ST</v>
      </c>
      <c r="G259" t="str">
        <f>"MGI:3647484"</f>
        <v>MGI:3647484</v>
      </c>
      <c r="H259" t="str">
        <f>"Gm6653"</f>
        <v>Gm6653</v>
      </c>
      <c r="I259" t="str">
        <f>"predicted gene 6653"</f>
        <v>predicted gene 6653</v>
      </c>
      <c r="J259" t="str">
        <f>"unclassified gene"</f>
        <v>unclassified gene</v>
      </c>
    </row>
    <row r="260" spans="1:10">
      <c r="A260">
        <v>10477004</v>
      </c>
      <c r="B260">
        <v>3.9234785590636898</v>
      </c>
      <c r="C260">
        <v>2.5854408154403301</v>
      </c>
      <c r="E260" t="str">
        <f>"10477004"</f>
        <v>10477004</v>
      </c>
      <c r="F260" t="str">
        <f>""</f>
        <v/>
      </c>
      <c r="G260" t="str">
        <f>"No associated gene"</f>
        <v>No associated gene</v>
      </c>
    </row>
    <row r="261" spans="1:10">
      <c r="A261">
        <v>10415791</v>
      </c>
      <c r="B261">
        <v>3.9170609954329101</v>
      </c>
      <c r="C261">
        <v>2.1872356016882</v>
      </c>
      <c r="E261" t="str">
        <f>"10415791"</f>
        <v>10415791</v>
      </c>
      <c r="F261" t="str">
        <f t="shared" ref="F261:F277" si="17">"Affy 1.0 ST"</f>
        <v>Affy 1.0 ST</v>
      </c>
      <c r="G261" t="str">
        <f>"MGI:1914403"</f>
        <v>MGI:1914403</v>
      </c>
      <c r="H261" t="str">
        <f>"Rnaseh2b"</f>
        <v>Rnaseh2b</v>
      </c>
      <c r="I261" t="s">
        <v>136</v>
      </c>
      <c r="J261" t="s">
        <v>155</v>
      </c>
    </row>
    <row r="262" spans="1:10">
      <c r="A262">
        <v>10368370</v>
      </c>
      <c r="B262">
        <v>3.9026462763355001</v>
      </c>
      <c r="C262">
        <v>1.9853296156695299</v>
      </c>
      <c r="E262" t="str">
        <f>"10368370"</f>
        <v>10368370</v>
      </c>
      <c r="F262" t="str">
        <f t="shared" si="17"/>
        <v>Affy 1.0 ST</v>
      </c>
      <c r="G262" t="str">
        <f>"MGI:3646579"</f>
        <v>MGI:3646579</v>
      </c>
      <c r="H262" t="str">
        <f>"Gm8681"</f>
        <v>Gm8681</v>
      </c>
      <c r="I262" t="str">
        <f>"predicted gene 8681"</f>
        <v>predicted gene 8681</v>
      </c>
      <c r="J262" t="str">
        <f>"pseudogene"</f>
        <v>pseudogene</v>
      </c>
    </row>
    <row r="263" spans="1:10">
      <c r="A263">
        <v>10573615</v>
      </c>
      <c r="B263">
        <v>3.8823936088834299</v>
      </c>
      <c r="C263">
        <v>2.3876524949645601</v>
      </c>
      <c r="E263" t="str">
        <f>"10573615"</f>
        <v>10573615</v>
      </c>
      <c r="F263" t="str">
        <f t="shared" si="17"/>
        <v>Affy 1.0 ST</v>
      </c>
      <c r="G263" t="str">
        <f>"MGI:1929285"</f>
        <v>MGI:1929285</v>
      </c>
      <c r="H263" t="str">
        <f>"Orc6"</f>
        <v>Orc6</v>
      </c>
      <c r="I263" t="s">
        <v>137</v>
      </c>
      <c r="J263" t="s">
        <v>155</v>
      </c>
    </row>
    <row r="264" spans="1:10">
      <c r="A264">
        <v>10402073</v>
      </c>
      <c r="B264">
        <v>3.8647437125098301</v>
      </c>
      <c r="C264">
        <v>1.5313716391829699</v>
      </c>
      <c r="E264" t="str">
        <f>"10402073"</f>
        <v>10402073</v>
      </c>
      <c r="F264" t="str">
        <f t="shared" si="17"/>
        <v>Affy 1.0 ST</v>
      </c>
      <c r="G264" t="str">
        <f>"MGI:1926017"</f>
        <v>MGI:1926017</v>
      </c>
      <c r="H264" t="str">
        <f>"2610021K21Rik"</f>
        <v>2610021K21Rik</v>
      </c>
      <c r="I264" t="str">
        <f>"RIKEN cDNA 2610021K21 gene"</f>
        <v>RIKEN cDNA 2610021K21 gene</v>
      </c>
      <c r="J264" t="str">
        <f>"protein coding gene"</f>
        <v>protein coding gene</v>
      </c>
    </row>
    <row r="265" spans="1:10">
      <c r="A265">
        <v>10474437</v>
      </c>
      <c r="B265">
        <v>3.8548726754994802</v>
      </c>
      <c r="C265">
        <v>2.0803728847800498</v>
      </c>
      <c r="E265" t="str">
        <f>"10474437"</f>
        <v>10474437</v>
      </c>
      <c r="F265" t="str">
        <f t="shared" si="17"/>
        <v>Affy 1.0 ST</v>
      </c>
      <c r="G265" t="str">
        <f>"MGI:1915451"</f>
        <v>MGI:1915451</v>
      </c>
      <c r="H265" t="str">
        <f>"Ccdc34"</f>
        <v>Ccdc34</v>
      </c>
      <c r="I265" t="str">
        <f>"coiled-coil domain containing 34"</f>
        <v>coiled-coil domain containing 34</v>
      </c>
      <c r="J265" t="str">
        <f>"protein coding gene"</f>
        <v>protein coding gene</v>
      </c>
    </row>
    <row r="266" spans="1:10">
      <c r="A266">
        <v>10355325</v>
      </c>
      <c r="B266">
        <v>3.8439882075155101</v>
      </c>
      <c r="C266">
        <v>1.66909403780459</v>
      </c>
      <c r="E266" t="str">
        <f>"10355325"</f>
        <v>10355325</v>
      </c>
      <c r="F266" t="str">
        <f t="shared" si="17"/>
        <v>Affy 1.0 ST</v>
      </c>
      <c r="G266" t="str">
        <f>"MGI:1328361"</f>
        <v>MGI:1328361</v>
      </c>
      <c r="H266" t="str">
        <f>"Bard1"</f>
        <v>Bard1</v>
      </c>
      <c r="I266" t="str">
        <f>"BRCA1 associated RING domain 1"</f>
        <v>BRCA1 associated RING domain 1</v>
      </c>
      <c r="J266" t="str">
        <f>"protein coding gene"</f>
        <v>protein coding gene</v>
      </c>
    </row>
    <row r="267" spans="1:10">
      <c r="A267">
        <v>10408111</v>
      </c>
      <c r="B267">
        <v>3.83791442008385</v>
      </c>
      <c r="C267">
        <v>1.6989138451216499</v>
      </c>
      <c r="E267" t="str">
        <f>"10408111"</f>
        <v>10408111</v>
      </c>
      <c r="F267" t="str">
        <f t="shared" si="17"/>
        <v>Affy 1.0 ST</v>
      </c>
      <c r="G267" t="str">
        <f>"MGI:3710573"</f>
        <v>MGI:3710573</v>
      </c>
      <c r="H267" t="str">
        <f>"Hist1h2ap"</f>
        <v>Hist1h2ap</v>
      </c>
      <c r="I267" t="s">
        <v>115</v>
      </c>
      <c r="J267" t="s">
        <v>155</v>
      </c>
    </row>
    <row r="268" spans="1:10">
      <c r="A268">
        <v>10408477</v>
      </c>
      <c r="B268">
        <v>3.8374615383467598</v>
      </c>
      <c r="C268">
        <v>2.5014494459605898</v>
      </c>
      <c r="E268" t="str">
        <f>"10408477"</f>
        <v>10408477</v>
      </c>
      <c r="F268" t="str">
        <f t="shared" si="17"/>
        <v>Affy 1.0 ST</v>
      </c>
      <c r="G268" t="str">
        <f>"MGI:1096340"</f>
        <v>MGI:1096340</v>
      </c>
      <c r="H268" t="str">
        <f>"E2f3"</f>
        <v>E2f3</v>
      </c>
      <c r="I268" t="str">
        <f>"E2F transcription factor 3"</f>
        <v>E2F transcription factor 3</v>
      </c>
      <c r="J268" t="str">
        <f>"protein coding gene"</f>
        <v>protein coding gene</v>
      </c>
    </row>
    <row r="269" spans="1:10">
      <c r="A269">
        <v>10604528</v>
      </c>
      <c r="B269">
        <v>3.8314506835056501</v>
      </c>
      <c r="C269">
        <v>1.6464381893522999</v>
      </c>
      <c r="E269" t="str">
        <f>"10604528"</f>
        <v>10604528</v>
      </c>
      <c r="F269" t="str">
        <f t="shared" si="17"/>
        <v>Affy 1.0 ST</v>
      </c>
      <c r="G269" t="str">
        <f>"MGI:2444912"</f>
        <v>MGI:2444912</v>
      </c>
      <c r="H269" t="str">
        <f>"Mbnl3"</f>
        <v>Mbnl3</v>
      </c>
      <c r="I269" t="str">
        <f>"muscleblind-like 3 (Drosophila)"</f>
        <v>muscleblind-like 3 (Drosophila)</v>
      </c>
      <c r="J269" t="str">
        <f>"protein coding gene"</f>
        <v>protein coding gene</v>
      </c>
    </row>
    <row r="270" spans="1:10">
      <c r="A270">
        <v>10495035</v>
      </c>
      <c r="B270">
        <v>3.8115432560131599</v>
      </c>
      <c r="C270">
        <v>2.37653222504618</v>
      </c>
      <c r="E270" t="str">
        <f>"10495035"</f>
        <v>10495035</v>
      </c>
      <c r="F270" t="str">
        <f t="shared" si="17"/>
        <v>Affy 1.0 ST</v>
      </c>
      <c r="G270" t="str">
        <f>"MGI:106013"</f>
        <v>MGI:106013</v>
      </c>
      <c r="H270" t="str">
        <f>"Slc16a1"</f>
        <v>Slc16a1</v>
      </c>
      <c r="I270" t="s">
        <v>138</v>
      </c>
      <c r="J270" t="s">
        <v>155</v>
      </c>
    </row>
    <row r="271" spans="1:10">
      <c r="A271">
        <v>10359386</v>
      </c>
      <c r="B271">
        <v>3.8074129712315701</v>
      </c>
      <c r="C271">
        <v>1.7052996966106999</v>
      </c>
      <c r="E271" t="str">
        <f>"10359386"</f>
        <v>10359386</v>
      </c>
      <c r="F271" t="str">
        <f t="shared" si="17"/>
        <v>Affy 1.0 ST</v>
      </c>
      <c r="G271" t="str">
        <f>"MGI:2442510"</f>
        <v>MGI:2442510</v>
      </c>
      <c r="H271" t="str">
        <f>"Dars2"</f>
        <v>Dars2</v>
      </c>
      <c r="I271" t="str">
        <f>"aspartyl-tRNA synthetase 2 (mitochondrial)"</f>
        <v>aspartyl-tRNA synthetase 2 (mitochondrial)</v>
      </c>
      <c r="J271" t="str">
        <f>"protein coding gene"</f>
        <v>protein coding gene</v>
      </c>
    </row>
    <row r="272" spans="1:10">
      <c r="A272">
        <v>10408197</v>
      </c>
      <c r="B272">
        <v>3.8070352737781299</v>
      </c>
      <c r="C272">
        <v>2.0003628194137399</v>
      </c>
      <c r="E272" t="str">
        <f>"10408197"</f>
        <v>10408197</v>
      </c>
      <c r="F272" t="str">
        <f t="shared" si="17"/>
        <v>Affy 1.0 ST</v>
      </c>
      <c r="G272" t="str">
        <f>"MGI:2448387"</f>
        <v>MGI:2448387</v>
      </c>
      <c r="H272" t="str">
        <f>"Hist1h2bh"</f>
        <v>Hist1h2bh</v>
      </c>
      <c r="I272" t="s">
        <v>139</v>
      </c>
      <c r="J272" t="s">
        <v>155</v>
      </c>
    </row>
    <row r="273" spans="1:10">
      <c r="A273">
        <v>10366277</v>
      </c>
      <c r="B273">
        <v>3.7842965189530302</v>
      </c>
      <c r="C273">
        <v>1.9841628646421201</v>
      </c>
      <c r="E273" t="str">
        <f>"10366277"</f>
        <v>10366277</v>
      </c>
      <c r="F273" t="str">
        <f t="shared" si="17"/>
        <v>Affy 1.0 ST</v>
      </c>
      <c r="G273" t="str">
        <f>"MGI:1289147"</f>
        <v>MGI:1289147</v>
      </c>
      <c r="H273" t="str">
        <f>"E2f7"</f>
        <v>E2f7</v>
      </c>
      <c r="I273" t="str">
        <f>"E2F transcription factor 7"</f>
        <v>E2F transcription factor 7</v>
      </c>
      <c r="J273" t="str">
        <f>"protein coding gene"</f>
        <v>protein coding gene</v>
      </c>
    </row>
    <row r="274" spans="1:10">
      <c r="A274">
        <v>10465912</v>
      </c>
      <c r="B274">
        <v>3.77305985599246</v>
      </c>
      <c r="C274">
        <v>2.3765648383690898</v>
      </c>
      <c r="E274" t="str">
        <f>"10465912"</f>
        <v>10465912</v>
      </c>
      <c r="F274" t="str">
        <f t="shared" si="17"/>
        <v>Affy 1.0 ST</v>
      </c>
      <c r="G274" t="str">
        <f>"MGI:102779"</f>
        <v>MGI:102779</v>
      </c>
      <c r="H274" t="str">
        <f>"Fen1"</f>
        <v>Fen1</v>
      </c>
      <c r="I274" t="str">
        <f>"flap structure specific endonuclease 1"</f>
        <v>flap structure specific endonuclease 1</v>
      </c>
      <c r="J274" t="str">
        <f>"protein coding gene"</f>
        <v>protein coding gene</v>
      </c>
    </row>
    <row r="275" spans="1:10">
      <c r="A275">
        <v>10591369</v>
      </c>
      <c r="B275">
        <v>3.70904706270484</v>
      </c>
      <c r="C275">
        <v>1.99902712255649</v>
      </c>
      <c r="E275" t="str">
        <f>"10591369"</f>
        <v>10591369</v>
      </c>
      <c r="F275" t="str">
        <f t="shared" si="17"/>
        <v>Affy 1.0 ST</v>
      </c>
      <c r="G275" t="str">
        <f>"MGI:94912"</f>
        <v>MGI:94912</v>
      </c>
      <c r="H275" t="str">
        <f>"Dnmt1"</f>
        <v>Dnmt1</v>
      </c>
      <c r="I275" t="str">
        <f>"DNA methyltransferase (cytosine-5) 1"</f>
        <v>DNA methyltransferase (cytosine-5) 1</v>
      </c>
      <c r="J275" t="str">
        <f>"protein coding gene"</f>
        <v>protein coding gene</v>
      </c>
    </row>
    <row r="276" spans="1:10">
      <c r="A276">
        <v>10367179</v>
      </c>
      <c r="B276">
        <v>3.70255619969975</v>
      </c>
      <c r="C276">
        <v>2.1319756096301101</v>
      </c>
      <c r="E276" t="str">
        <f>"10367179"</f>
        <v>10367179</v>
      </c>
      <c r="F276" t="str">
        <f t="shared" si="17"/>
        <v>Affy 1.0 ST</v>
      </c>
      <c r="G276" t="str">
        <f>"MGI:1321393"</f>
        <v>MGI:1321393</v>
      </c>
      <c r="H276" t="str">
        <f>"Timeless"</f>
        <v>Timeless</v>
      </c>
      <c r="I276" t="str">
        <f>"timeless homolog (Drosophila)"</f>
        <v>timeless homolog (Drosophila)</v>
      </c>
      <c r="J276" t="str">
        <f>"protein coding gene"</f>
        <v>protein coding gene</v>
      </c>
    </row>
    <row r="277" spans="1:10">
      <c r="A277">
        <v>10539617</v>
      </c>
      <c r="B277">
        <v>3.6819389137673699</v>
      </c>
      <c r="C277">
        <v>1.0289955975362099</v>
      </c>
      <c r="E277" t="str">
        <f>"10539617"</f>
        <v>10539617</v>
      </c>
      <c r="F277" t="str">
        <f t="shared" si="17"/>
        <v>Affy 1.0 ST</v>
      </c>
      <c r="G277" t="str">
        <f>"MGI:1934606"</f>
        <v>MGI:1934606</v>
      </c>
      <c r="H277" t="str">
        <f>"Alms1"</f>
        <v>Alms1</v>
      </c>
      <c r="I277" t="str">
        <f>"Alstrom syndrome 1 homolog (human)"</f>
        <v>Alstrom syndrome 1 homolog (human)</v>
      </c>
      <c r="J277" t="str">
        <f>"protein coding gene"</f>
        <v>protein coding gene</v>
      </c>
    </row>
    <row r="278" spans="1:10">
      <c r="A278">
        <v>10515086</v>
      </c>
      <c r="B278">
        <v>3.6671160387409798</v>
      </c>
      <c r="C278">
        <v>0.38704757915427002</v>
      </c>
      <c r="E278" t="str">
        <f>"10515086"</f>
        <v>10515086</v>
      </c>
      <c r="F278" t="str">
        <f>""</f>
        <v/>
      </c>
      <c r="G278" t="str">
        <f>"No associated gene"</f>
        <v>No associated gene</v>
      </c>
    </row>
    <row r="279" spans="1:10">
      <c r="A279">
        <v>10512489</v>
      </c>
      <c r="B279">
        <v>3.63538836488843</v>
      </c>
      <c r="C279">
        <v>2.1969547878284299</v>
      </c>
      <c r="E279" t="str">
        <f>"10512489"</f>
        <v>10512489</v>
      </c>
      <c r="F279" t="str">
        <f t="shared" ref="F279:F296" si="18">"Affy 1.0 ST"</f>
        <v>Affy 1.0 ST</v>
      </c>
      <c r="G279" t="str">
        <f>"MGI:3036286"</f>
        <v>MGI:3036286</v>
      </c>
      <c r="H279" t="str">
        <f>"E130306D19Rik"</f>
        <v>E130306D19Rik</v>
      </c>
      <c r="I279" t="str">
        <f>"RIKEN cDNA E130306D19 gene"</f>
        <v>RIKEN cDNA E130306D19 gene</v>
      </c>
      <c r="J279" t="str">
        <f t="shared" ref="J279:J285" si="19">"protein coding gene"</f>
        <v>protein coding gene</v>
      </c>
    </row>
    <row r="280" spans="1:10">
      <c r="A280">
        <v>10478355</v>
      </c>
      <c r="B280">
        <v>3.63031506145881</v>
      </c>
      <c r="C280">
        <v>1.7776978343741201</v>
      </c>
      <c r="E280" t="str">
        <f>"10478355"</f>
        <v>10478355</v>
      </c>
      <c r="F280" t="str">
        <f t="shared" si="18"/>
        <v>Affy 1.0 ST</v>
      </c>
      <c r="G280" t="str">
        <f>"MGI:101785"</f>
        <v>MGI:101785</v>
      </c>
      <c r="H280" t="str">
        <f>"Mybl2"</f>
        <v>Mybl2</v>
      </c>
      <c r="I280" t="str">
        <f>"myeloblastosis oncogene-like 2"</f>
        <v>myeloblastosis oncogene-like 2</v>
      </c>
      <c r="J280" t="str">
        <f t="shared" si="19"/>
        <v>protein coding gene</v>
      </c>
    </row>
    <row r="281" spans="1:10">
      <c r="A281">
        <v>10585586</v>
      </c>
      <c r="B281">
        <v>3.6223312068710301</v>
      </c>
      <c r="C281">
        <v>1.2144957482447301</v>
      </c>
      <c r="E281" t="str">
        <f>"10585586"</f>
        <v>10585586</v>
      </c>
      <c r="F281" t="str">
        <f t="shared" si="18"/>
        <v>Affy 1.0 ST</v>
      </c>
      <c r="G281" t="str">
        <f>"MGI:1925141"</f>
        <v>MGI:1925141</v>
      </c>
      <c r="H281" t="str">
        <f>"Ube2s"</f>
        <v>Ube2s</v>
      </c>
      <c r="I281" t="str">
        <f>"ubiquitin-conjugating enzyme E2S"</f>
        <v>ubiquitin-conjugating enzyme E2S</v>
      </c>
      <c r="J281" t="str">
        <f t="shared" si="19"/>
        <v>protein coding gene</v>
      </c>
    </row>
    <row r="282" spans="1:10">
      <c r="A282">
        <v>10405047</v>
      </c>
      <c r="B282">
        <v>3.6216668059388701</v>
      </c>
      <c r="C282">
        <v>1.36300147094112</v>
      </c>
      <c r="E282" t="str">
        <f>"10405047"</f>
        <v>10405047</v>
      </c>
      <c r="F282" t="str">
        <f t="shared" si="18"/>
        <v>Affy 1.0 ST</v>
      </c>
      <c r="G282" t="str">
        <f>"MGI:1913945"</f>
        <v>MGI:1913945</v>
      </c>
      <c r="H282" t="str">
        <f>"Aspn"</f>
        <v>Aspn</v>
      </c>
      <c r="I282" t="str">
        <f>"asporin"</f>
        <v>asporin</v>
      </c>
      <c r="J282" t="str">
        <f t="shared" si="19"/>
        <v>protein coding gene</v>
      </c>
    </row>
    <row r="283" spans="1:10">
      <c r="A283">
        <v>10530892</v>
      </c>
      <c r="B283">
        <v>3.6134625951774999</v>
      </c>
      <c r="C283">
        <v>1.36628227327744</v>
      </c>
      <c r="E283" t="str">
        <f>"10530892"</f>
        <v>10530892</v>
      </c>
      <c r="F283" t="str">
        <f t="shared" si="18"/>
        <v>Affy 1.0 ST</v>
      </c>
      <c r="G283" t="str">
        <f>"MGI:99700"</f>
        <v>MGI:99700</v>
      </c>
      <c r="H283" t="str">
        <f>"Cenpc1"</f>
        <v>Cenpc1</v>
      </c>
      <c r="I283" t="str">
        <f>"centromere protein C1"</f>
        <v>centromere protein C1</v>
      </c>
      <c r="J283" t="str">
        <f t="shared" si="19"/>
        <v>protein coding gene</v>
      </c>
    </row>
    <row r="284" spans="1:10">
      <c r="A284">
        <v>10394538</v>
      </c>
      <c r="B284">
        <v>3.6127519775839301</v>
      </c>
      <c r="C284">
        <v>2.17788377106758</v>
      </c>
      <c r="E284" t="str">
        <f>"10394538"</f>
        <v>10394538</v>
      </c>
      <c r="F284" t="str">
        <f t="shared" si="18"/>
        <v>Affy 1.0 ST</v>
      </c>
      <c r="G284" t="str">
        <f>"MGI:108451"</f>
        <v>MGI:108451</v>
      </c>
      <c r="H284" t="str">
        <f>"Acaca"</f>
        <v>Acaca</v>
      </c>
      <c r="I284" t="str">
        <f>"acetyl-Coenzyme A carboxylase alpha"</f>
        <v>acetyl-Coenzyme A carboxylase alpha</v>
      </c>
      <c r="J284" t="str">
        <f t="shared" si="19"/>
        <v>protein coding gene</v>
      </c>
    </row>
    <row r="285" spans="1:10">
      <c r="A285">
        <v>10472212</v>
      </c>
      <c r="B285">
        <v>3.61148986896794</v>
      </c>
      <c r="C285">
        <v>1.96560024196116</v>
      </c>
      <c r="E285" t="str">
        <f>"10472212"</f>
        <v>10472212</v>
      </c>
      <c r="F285" t="str">
        <f t="shared" si="18"/>
        <v>Affy 1.0 ST</v>
      </c>
      <c r="G285" t="str">
        <f>"MGI:109281"</f>
        <v>MGI:109281</v>
      </c>
      <c r="H285" t="str">
        <f>"Pkp4"</f>
        <v>Pkp4</v>
      </c>
      <c r="I285" t="str">
        <f>"plakophilin 4"</f>
        <v>plakophilin 4</v>
      </c>
      <c r="J285" t="str">
        <f t="shared" si="19"/>
        <v>protein coding gene</v>
      </c>
    </row>
    <row r="286" spans="1:10">
      <c r="A286">
        <v>10500329</v>
      </c>
      <c r="B286">
        <v>3.5868286752426499</v>
      </c>
      <c r="C286">
        <v>1.9244247894219699</v>
      </c>
      <c r="E286" t="str">
        <f>"10500329"</f>
        <v>10500329</v>
      </c>
      <c r="F286" t="str">
        <f t="shared" si="18"/>
        <v>Affy 1.0 ST</v>
      </c>
      <c r="G286" t="str">
        <f>"MGI:96097"</f>
        <v>MGI:96097</v>
      </c>
      <c r="H286" t="str">
        <f>"Hist2h2aa1"</f>
        <v>Hist2h2aa1</v>
      </c>
      <c r="I286" t="s">
        <v>140</v>
      </c>
      <c r="J286" t="s">
        <v>155</v>
      </c>
    </row>
    <row r="287" spans="1:10">
      <c r="A287">
        <v>10565862</v>
      </c>
      <c r="B287">
        <v>3.5862954466835801</v>
      </c>
      <c r="C287">
        <v>2.28536675924604</v>
      </c>
      <c r="E287" t="str">
        <f>"10565862"</f>
        <v>10565862</v>
      </c>
      <c r="F287" t="str">
        <f t="shared" si="18"/>
        <v>Affy 1.0 ST</v>
      </c>
      <c r="G287" t="str">
        <f>"MGI:1915217"</f>
        <v>MGI:1915217</v>
      </c>
      <c r="H287" t="str">
        <f>"Pold3"</f>
        <v>Pold3</v>
      </c>
      <c r="I287" t="s">
        <v>141</v>
      </c>
      <c r="J287" t="s">
        <v>155</v>
      </c>
    </row>
    <row r="288" spans="1:10">
      <c r="A288">
        <v>10542691</v>
      </c>
      <c r="B288">
        <v>3.5753876932365598</v>
      </c>
      <c r="C288">
        <v>1.80609069207552</v>
      </c>
      <c r="E288" t="str">
        <f>"10542691"</f>
        <v>10542691</v>
      </c>
      <c r="F288" t="str">
        <f t="shared" si="18"/>
        <v>Affy 1.0 ST</v>
      </c>
      <c r="G288" t="str">
        <f>"MGI:108424"</f>
        <v>MGI:108424</v>
      </c>
      <c r="H288" t="str">
        <f>"Lrmp"</f>
        <v>Lrmp</v>
      </c>
      <c r="I288" t="str">
        <f>"lymphoid-restricted membrane protein"</f>
        <v>lymphoid-restricted membrane protein</v>
      </c>
      <c r="J288" t="str">
        <f>"protein coding gene"</f>
        <v>protein coding gene</v>
      </c>
    </row>
    <row r="289" spans="1:10">
      <c r="A289">
        <v>10451225</v>
      </c>
      <c r="B289">
        <v>3.57403680943548</v>
      </c>
      <c r="C289">
        <v>0.59307599875133199</v>
      </c>
      <c r="E289" t="str">
        <f>"10451225"</f>
        <v>10451225</v>
      </c>
      <c r="F289" t="str">
        <f t="shared" si="18"/>
        <v>Affy 1.0 ST</v>
      </c>
      <c r="G289" t="str">
        <f>"MGI:1891457"</f>
        <v>MGI:1891457</v>
      </c>
      <c r="H289" t="str">
        <f>"Polh"</f>
        <v>Polh</v>
      </c>
      <c r="I289" t="s">
        <v>142</v>
      </c>
      <c r="J289" t="s">
        <v>155</v>
      </c>
    </row>
    <row r="290" spans="1:10">
      <c r="A290">
        <v>10515295</v>
      </c>
      <c r="B290">
        <v>3.5737552538787001</v>
      </c>
      <c r="C290">
        <v>0.88049126856397197</v>
      </c>
      <c r="E290" t="str">
        <f>"10515295"</f>
        <v>10515295</v>
      </c>
      <c r="F290" t="str">
        <f t="shared" si="18"/>
        <v>Affy 1.0 ST</v>
      </c>
      <c r="G290" t="str">
        <f>"MGI:894676"</f>
        <v>MGI:894676</v>
      </c>
      <c r="H290" t="str">
        <f>"Mast2"</f>
        <v>Mast2</v>
      </c>
      <c r="I290" t="str">
        <f>"microtubule associated serine/threonine kinase 2"</f>
        <v>microtubule associated serine/threonine kinase 2</v>
      </c>
      <c r="J290" t="str">
        <f t="shared" ref="J290:J296" si="20">"protein coding gene"</f>
        <v>protein coding gene</v>
      </c>
    </row>
    <row r="291" spans="1:10">
      <c r="A291">
        <v>10368508</v>
      </c>
      <c r="B291">
        <v>3.5631580905935598</v>
      </c>
      <c r="C291">
        <v>1.3038265799851501</v>
      </c>
      <c r="E291" t="str">
        <f>"10368508"</f>
        <v>10368508</v>
      </c>
      <c r="F291" t="str">
        <f t="shared" si="18"/>
        <v>Affy 1.0 ST</v>
      </c>
      <c r="G291" t="str">
        <f>"MGI:1913561"</f>
        <v>MGI:1913561</v>
      </c>
      <c r="H291" t="str">
        <f>"Cenpw"</f>
        <v>Cenpw</v>
      </c>
      <c r="I291" t="str">
        <f>"centromere protein W"</f>
        <v>centromere protein W</v>
      </c>
      <c r="J291" t="str">
        <f t="shared" si="20"/>
        <v>protein coding gene</v>
      </c>
    </row>
    <row r="292" spans="1:10">
      <c r="A292">
        <v>10559676</v>
      </c>
      <c r="B292">
        <v>3.5283729308531302</v>
      </c>
      <c r="C292">
        <v>0.72080132744830405</v>
      </c>
      <c r="E292" t="str">
        <f>"10559676"</f>
        <v>10559676</v>
      </c>
      <c r="F292" t="str">
        <f t="shared" si="18"/>
        <v>Affy 1.0 ST</v>
      </c>
      <c r="G292" t="str">
        <f>"MGI:1925141"</f>
        <v>MGI:1925141</v>
      </c>
      <c r="H292" t="str">
        <f>"Ube2s"</f>
        <v>Ube2s</v>
      </c>
      <c r="I292" t="str">
        <f>"ubiquitin-conjugating enzyme E2S"</f>
        <v>ubiquitin-conjugating enzyme E2S</v>
      </c>
      <c r="J292" t="str">
        <f t="shared" si="20"/>
        <v>protein coding gene</v>
      </c>
    </row>
    <row r="293" spans="1:10">
      <c r="A293">
        <v>10416155</v>
      </c>
      <c r="B293">
        <v>3.5117182592490601</v>
      </c>
      <c r="C293">
        <v>0.89557362781850702</v>
      </c>
      <c r="E293" t="str">
        <f>"10416155"</f>
        <v>10416155</v>
      </c>
      <c r="F293" t="str">
        <f t="shared" si="18"/>
        <v>Affy 1.0 ST</v>
      </c>
      <c r="G293" t="str">
        <f>"MGI:2145579"</f>
        <v>MGI:2145579</v>
      </c>
      <c r="H293" t="str">
        <f>"Kctd9"</f>
        <v>Kctd9</v>
      </c>
      <c r="I293" t="str">
        <f>"potassium channel tetramerisation domain containing 9"</f>
        <v>potassium channel tetramerisation domain containing 9</v>
      </c>
      <c r="J293" t="str">
        <f t="shared" si="20"/>
        <v>protein coding gene</v>
      </c>
    </row>
    <row r="294" spans="1:10">
      <c r="A294">
        <v>10557519</v>
      </c>
      <c r="B294">
        <v>3.4914740363700201</v>
      </c>
      <c r="C294">
        <v>1.7862708579839499</v>
      </c>
      <c r="E294" t="str">
        <f>"10557519"</f>
        <v>10557519</v>
      </c>
      <c r="F294" t="str">
        <f t="shared" si="18"/>
        <v>Affy 1.0 ST</v>
      </c>
      <c r="G294" t="str">
        <f>"MGI:2142364"</f>
        <v>MGI:2142364</v>
      </c>
      <c r="H294" t="str">
        <f>"Hirip3"</f>
        <v>Hirip3</v>
      </c>
      <c r="I294" t="str">
        <f>"HIRA interacting protein 3"</f>
        <v>HIRA interacting protein 3</v>
      </c>
      <c r="J294" t="str">
        <f t="shared" si="20"/>
        <v>protein coding gene</v>
      </c>
    </row>
    <row r="295" spans="1:10">
      <c r="A295">
        <v>10574033</v>
      </c>
      <c r="B295">
        <v>3.43532722811503</v>
      </c>
      <c r="C295">
        <v>1.8838601765810301</v>
      </c>
      <c r="E295" t="str">
        <f>"10574033"</f>
        <v>10574033</v>
      </c>
      <c r="F295" t="str">
        <f t="shared" si="18"/>
        <v>Affy 1.0 ST</v>
      </c>
      <c r="G295" t="str">
        <f>"MGI:1919055"</f>
        <v>MGI:1919055</v>
      </c>
      <c r="H295" t="str">
        <f>"Nup93"</f>
        <v>Nup93</v>
      </c>
      <c r="I295" t="str">
        <f>"nucleoporin 93"</f>
        <v>nucleoporin 93</v>
      </c>
      <c r="J295" t="str">
        <f t="shared" si="20"/>
        <v>protein coding gene</v>
      </c>
    </row>
    <row r="296" spans="1:10">
      <c r="A296">
        <v>10556640</v>
      </c>
      <c r="B296">
        <v>3.4133402247360598</v>
      </c>
      <c r="C296">
        <v>0.81531626203477603</v>
      </c>
      <c r="E296" t="str">
        <f>"10556640"</f>
        <v>10556640</v>
      </c>
      <c r="F296" t="str">
        <f t="shared" si="18"/>
        <v>Affy 1.0 ST</v>
      </c>
      <c r="G296" t="str">
        <f>"MGI:2141942"</f>
        <v>MGI:2141942</v>
      </c>
      <c r="H296" t="str">
        <f>"6330503K22Rik"</f>
        <v>6330503K22Rik</v>
      </c>
      <c r="I296" t="str">
        <f>"RIKEN cDNA 6330503K22 gene"</f>
        <v>RIKEN cDNA 6330503K22 gene</v>
      </c>
      <c r="J296" t="str">
        <f t="shared" si="20"/>
        <v>protein coding gene</v>
      </c>
    </row>
    <row r="297" spans="1:10">
      <c r="A297">
        <v>10608667</v>
      </c>
      <c r="B297">
        <v>3.3961777521510799</v>
      </c>
      <c r="C297">
        <v>0.73168111346127995</v>
      </c>
      <c r="E297" t="str">
        <f>"10608667"</f>
        <v>10608667</v>
      </c>
      <c r="F297" t="str">
        <f>""</f>
        <v/>
      </c>
      <c r="G297" t="str">
        <f>"No associated gene"</f>
        <v>No associated gene</v>
      </c>
    </row>
    <row r="298" spans="1:10">
      <c r="A298">
        <v>10379646</v>
      </c>
      <c r="B298">
        <v>3.3778453547021901</v>
      </c>
      <c r="C298">
        <v>1.23317205755806</v>
      </c>
      <c r="E298" t="str">
        <f>"10379646"</f>
        <v>10379646</v>
      </c>
      <c r="F298" t="str">
        <f>"Affy 1.0 ST"</f>
        <v>Affy 1.0 ST</v>
      </c>
      <c r="G298" t="str">
        <f>"MGI:1329005"</f>
        <v>MGI:1329005</v>
      </c>
      <c r="H298" t="str">
        <f>"Slfn3"</f>
        <v>Slfn3</v>
      </c>
      <c r="I298" t="str">
        <f>"schlafen 3"</f>
        <v>schlafen 3</v>
      </c>
      <c r="J298" t="str">
        <f>"protein coding gene"</f>
        <v>protein coding gene</v>
      </c>
    </row>
    <row r="299" spans="1:10">
      <c r="A299">
        <v>10554281</v>
      </c>
      <c r="B299">
        <v>3.3654077744878901</v>
      </c>
      <c r="C299">
        <v>0.66663041092664399</v>
      </c>
      <c r="E299" t="str">
        <f>"10554281"</f>
        <v>10554281</v>
      </c>
      <c r="F299" t="str">
        <f>"Affy 1.0 ST"</f>
        <v>Affy 1.0 ST</v>
      </c>
      <c r="G299" t="str">
        <f>"MGI:2384790"</f>
        <v>MGI:2384790</v>
      </c>
      <c r="H299" t="str">
        <f>"Fanci"</f>
        <v>Fanci</v>
      </c>
      <c r="I299" t="s">
        <v>143</v>
      </c>
      <c r="J299" t="s">
        <v>155</v>
      </c>
    </row>
    <row r="300" spans="1:10">
      <c r="A300">
        <v>10371888</v>
      </c>
      <c r="B300">
        <v>3.3560153172428699</v>
      </c>
      <c r="C300">
        <v>1.71402371237325</v>
      </c>
      <c r="E300" t="str">
        <f>"10371888"</f>
        <v>10371888</v>
      </c>
      <c r="F300" t="str">
        <f>"Affy 1.0 ST"</f>
        <v>Affy 1.0 ST</v>
      </c>
      <c r="G300" t="str">
        <f>"MGI:106920"</f>
        <v>MGI:106920</v>
      </c>
      <c r="H300" t="str">
        <f>"Tmpo"</f>
        <v>Tmpo</v>
      </c>
      <c r="I300" t="str">
        <f>"thymopoietin"</f>
        <v>thymopoietin</v>
      </c>
      <c r="J300" t="str">
        <f>"protein coding gene"</f>
        <v>protein coding gene</v>
      </c>
    </row>
    <row r="301" spans="1:10">
      <c r="A301">
        <v>10381664</v>
      </c>
      <c r="B301">
        <v>3.35565754203824</v>
      </c>
      <c r="C301">
        <v>0.95346829814942602</v>
      </c>
      <c r="E301" t="str">
        <f>"10381664"</f>
        <v>10381664</v>
      </c>
      <c r="F301" t="str">
        <f>""</f>
        <v/>
      </c>
      <c r="G301" t="str">
        <f>"No associated gene"</f>
        <v>No associated gene</v>
      </c>
    </row>
    <row r="302" spans="1:10">
      <c r="A302">
        <v>10397719</v>
      </c>
      <c r="B302">
        <v>3.33784384812764</v>
      </c>
      <c r="C302">
        <v>0.59227161079675605</v>
      </c>
      <c r="E302" t="str">
        <f>"10397719"</f>
        <v>10397719</v>
      </c>
      <c r="F302" t="str">
        <f t="shared" ref="F302:F336" si="21">"Affy 1.0 ST"</f>
        <v>Affy 1.0 ST</v>
      </c>
      <c r="G302" t="str">
        <f>"MGI:1920036"</f>
        <v>MGI:1920036</v>
      </c>
      <c r="H302" t="str">
        <f>"Tdp1"</f>
        <v>Tdp1</v>
      </c>
      <c r="I302" t="str">
        <f>"tyrosyl-DNA phosphodiesterase 1"</f>
        <v>tyrosyl-DNA phosphodiesterase 1</v>
      </c>
      <c r="J302" t="str">
        <f>"protein coding gene"</f>
        <v>protein coding gene</v>
      </c>
    </row>
    <row r="303" spans="1:10">
      <c r="A303">
        <v>10400189</v>
      </c>
      <c r="B303">
        <v>3.3270081844468602</v>
      </c>
      <c r="C303">
        <v>1.3692397610703</v>
      </c>
      <c r="E303" t="str">
        <f>"10400189"</f>
        <v>10400189</v>
      </c>
      <c r="F303" t="str">
        <f t="shared" si="21"/>
        <v>Affy 1.0 ST</v>
      </c>
      <c r="G303" t="str">
        <f>"MGI:3643000"</f>
        <v>MGI:3643000</v>
      </c>
      <c r="H303" t="str">
        <f>"Gm7172"</f>
        <v>Gm7172</v>
      </c>
      <c r="I303" t="str">
        <f>"predicted gene 7172"</f>
        <v>predicted gene 7172</v>
      </c>
      <c r="J303" t="str">
        <f>"pseudogene"</f>
        <v>pseudogene</v>
      </c>
    </row>
    <row r="304" spans="1:10">
      <c r="A304">
        <v>10493137</v>
      </c>
      <c r="B304">
        <v>3.3209998037912798</v>
      </c>
      <c r="C304">
        <v>1.70450849738911</v>
      </c>
      <c r="E304" t="str">
        <f>"10493137"</f>
        <v>10493137</v>
      </c>
      <c r="F304" t="str">
        <f t="shared" si="21"/>
        <v>Affy 1.0 ST</v>
      </c>
      <c r="G304" t="str">
        <f>"MGI:3028642"</f>
        <v>MGI:3028642</v>
      </c>
      <c r="H304" t="str">
        <f>"Iqgap3"</f>
        <v>Iqgap3</v>
      </c>
      <c r="I304" t="str">
        <f>"IQ motif containing GTPase activating protein 3"</f>
        <v>IQ motif containing GTPase activating protein 3</v>
      </c>
      <c r="J304" t="str">
        <f t="shared" ref="J304:J312" si="22">"protein coding gene"</f>
        <v>protein coding gene</v>
      </c>
    </row>
    <row r="305" spans="1:10">
      <c r="A305">
        <v>10381548</v>
      </c>
      <c r="B305">
        <v>3.3157762380423401</v>
      </c>
      <c r="C305">
        <v>1.5223616637964299</v>
      </c>
      <c r="E305" t="str">
        <f>"10381548"</f>
        <v>10381548</v>
      </c>
      <c r="F305" t="str">
        <f t="shared" si="21"/>
        <v>Affy 1.0 ST</v>
      </c>
      <c r="G305" t="str">
        <f>"MGI:2387601"</f>
        <v>MGI:2387601</v>
      </c>
      <c r="H305" t="str">
        <f>"BC030867"</f>
        <v>BC030867</v>
      </c>
      <c r="I305" t="str">
        <f>"cDNA sequence BC030867"</f>
        <v>cDNA sequence BC030867</v>
      </c>
      <c r="J305" t="str">
        <f t="shared" si="22"/>
        <v>protein coding gene</v>
      </c>
    </row>
    <row r="306" spans="1:10">
      <c r="A306">
        <v>10354275</v>
      </c>
      <c r="B306">
        <v>3.2889343687210499</v>
      </c>
      <c r="C306">
        <v>1.1388722906695199</v>
      </c>
      <c r="E306" t="str">
        <f>"10354275"</f>
        <v>10354275</v>
      </c>
      <c r="F306" t="str">
        <f t="shared" si="21"/>
        <v>Affy 1.0 ST</v>
      </c>
      <c r="G306" t="str">
        <f>"MGI:1922873"</f>
        <v>MGI:1922873</v>
      </c>
      <c r="H306" t="str">
        <f>"1700029F09Rik"</f>
        <v>1700029F09Rik</v>
      </c>
      <c r="I306" t="str">
        <f>"RIKEN cDNA 1700029F09 gene"</f>
        <v>RIKEN cDNA 1700029F09 gene</v>
      </c>
      <c r="J306" t="str">
        <f t="shared" si="22"/>
        <v>protein coding gene</v>
      </c>
    </row>
    <row r="307" spans="1:10">
      <c r="A307">
        <v>10430748</v>
      </c>
      <c r="B307">
        <v>3.2885567709868799</v>
      </c>
      <c r="C307">
        <v>0.97891572187743203</v>
      </c>
      <c r="E307" t="str">
        <f>"10430748"</f>
        <v>10430748</v>
      </c>
      <c r="F307" t="str">
        <f t="shared" si="21"/>
        <v>Affy 1.0 ST</v>
      </c>
      <c r="G307" t="str">
        <f>"MGI:103071"</f>
        <v>MGI:103071</v>
      </c>
      <c r="H307" t="str">
        <f>"Rangap1"</f>
        <v>Rangap1</v>
      </c>
      <c r="I307" t="str">
        <f>"RAN GTPase activating protein 1"</f>
        <v>RAN GTPase activating protein 1</v>
      </c>
      <c r="J307" t="str">
        <f t="shared" si="22"/>
        <v>protein coding gene</v>
      </c>
    </row>
    <row r="308" spans="1:10">
      <c r="A308">
        <v>10481931</v>
      </c>
      <c r="B308">
        <v>3.2812875602401999</v>
      </c>
      <c r="C308">
        <v>0.22754922341000999</v>
      </c>
      <c r="E308" t="str">
        <f>"10481931"</f>
        <v>10481931</v>
      </c>
      <c r="F308" t="str">
        <f t="shared" si="21"/>
        <v>Affy 1.0 ST</v>
      </c>
      <c r="G308" t="str">
        <f>"MGI:1921266"</f>
        <v>MGI:1921266</v>
      </c>
      <c r="H308" t="str">
        <f>"Phf19"</f>
        <v>Phf19</v>
      </c>
      <c r="I308" t="str">
        <f>"PHD finger protein 19"</f>
        <v>PHD finger protein 19</v>
      </c>
      <c r="J308" t="str">
        <f t="shared" si="22"/>
        <v>protein coding gene</v>
      </c>
    </row>
    <row r="309" spans="1:10">
      <c r="A309">
        <v>10489127</v>
      </c>
      <c r="B309">
        <v>3.26747708289082</v>
      </c>
      <c r="C309">
        <v>1.63554894750723</v>
      </c>
      <c r="E309" t="str">
        <f>"10489127"</f>
        <v>10489127</v>
      </c>
      <c r="F309" t="str">
        <f t="shared" si="21"/>
        <v>Affy 1.0 ST</v>
      </c>
      <c r="G309" t="str">
        <f>"MGI:103300"</f>
        <v>MGI:103300</v>
      </c>
      <c r="H309" t="str">
        <f>"Rbl1"</f>
        <v>Rbl1</v>
      </c>
      <c r="I309" t="str">
        <f>"retinoblastoma-like 1 (p107)"</f>
        <v>retinoblastoma-like 1 (p107)</v>
      </c>
      <c r="J309" t="str">
        <f t="shared" si="22"/>
        <v>protein coding gene</v>
      </c>
    </row>
    <row r="310" spans="1:10">
      <c r="A310">
        <v>10571911</v>
      </c>
      <c r="B310">
        <v>3.2673438362017699</v>
      </c>
      <c r="C310">
        <v>1.71369912624703</v>
      </c>
      <c r="E310" t="str">
        <f>"10571911"</f>
        <v>10571911</v>
      </c>
      <c r="F310" t="str">
        <f t="shared" si="21"/>
        <v>Affy 1.0 ST</v>
      </c>
      <c r="G310" t="str">
        <f>"MGI:1919862"</f>
        <v>MGI:1919862</v>
      </c>
      <c r="H310" t="str">
        <f>"2700029M09Rik"</f>
        <v>2700029M09Rik</v>
      </c>
      <c r="I310" t="str">
        <f>"RIKEN cDNA 2700029M09 gene"</f>
        <v>RIKEN cDNA 2700029M09 gene</v>
      </c>
      <c r="J310" t="str">
        <f t="shared" si="22"/>
        <v>protein coding gene</v>
      </c>
    </row>
    <row r="311" spans="1:10">
      <c r="A311">
        <v>10372091</v>
      </c>
      <c r="B311">
        <v>3.2652209450162499</v>
      </c>
      <c r="C311">
        <v>1.1536477015151101</v>
      </c>
      <c r="E311" t="str">
        <f>"10372091"</f>
        <v>10372091</v>
      </c>
      <c r="F311" t="str">
        <f t="shared" si="21"/>
        <v>Affy 1.0 ST</v>
      </c>
      <c r="G311" t="str">
        <f>"MGI:1922680"</f>
        <v>MGI:1922680</v>
      </c>
      <c r="H311" t="str">
        <f>"3200002M19Rik"</f>
        <v>3200002M19Rik</v>
      </c>
      <c r="I311" t="str">
        <f>"RIKEN cDNA 3200002M19 gene"</f>
        <v>RIKEN cDNA 3200002M19 gene</v>
      </c>
      <c r="J311" t="str">
        <f t="shared" si="22"/>
        <v>protein coding gene</v>
      </c>
    </row>
    <row r="312" spans="1:10">
      <c r="A312">
        <v>10582008</v>
      </c>
      <c r="B312">
        <v>3.2603020661054098</v>
      </c>
      <c r="C312">
        <v>0.78170254454056998</v>
      </c>
      <c r="E312" t="str">
        <f>"10582008"</f>
        <v>10582008</v>
      </c>
      <c r="F312" t="str">
        <f t="shared" si="21"/>
        <v>Affy 1.0 ST</v>
      </c>
      <c r="G312" t="str">
        <f>"MGI:1913781"</f>
        <v>MGI:1913781</v>
      </c>
      <c r="H312" t="str">
        <f>"2310061C15Rik"</f>
        <v>2310061C15Rik</v>
      </c>
      <c r="I312" t="str">
        <f>"RIKEN cDNA 2310061C15 gene"</f>
        <v>RIKEN cDNA 2310061C15 gene</v>
      </c>
      <c r="J312" t="str">
        <f t="shared" si="22"/>
        <v>protein coding gene</v>
      </c>
    </row>
    <row r="313" spans="1:10">
      <c r="A313">
        <v>10587780</v>
      </c>
      <c r="B313">
        <v>3.2573262926151201</v>
      </c>
      <c r="C313">
        <v>1.9051813382457901</v>
      </c>
      <c r="E313" t="str">
        <f>"10587780"</f>
        <v>10587780</v>
      </c>
      <c r="F313" t="str">
        <f t="shared" si="21"/>
        <v>Affy 1.0 ST</v>
      </c>
      <c r="G313" t="str">
        <f>"MGI:107804"</f>
        <v>MGI:107804</v>
      </c>
      <c r="H313" t="str">
        <f>"Tuba1b"</f>
        <v>Tuba1b</v>
      </c>
      <c r="I313" t="s">
        <v>192</v>
      </c>
      <c r="J313" t="s">
        <v>155</v>
      </c>
    </row>
    <row r="314" spans="1:10">
      <c r="A314">
        <v>10366983</v>
      </c>
      <c r="B314">
        <v>3.2513433035064701</v>
      </c>
      <c r="C314">
        <v>1.4575717892745099</v>
      </c>
      <c r="E314" t="str">
        <f>"10366983"</f>
        <v>10366983</v>
      </c>
      <c r="F314" t="str">
        <f t="shared" si="21"/>
        <v>Affy 1.0 ST</v>
      </c>
      <c r="G314" t="str">
        <f>"MGI:2446113"</f>
        <v>MGI:2446113</v>
      </c>
      <c r="H314" t="str">
        <f>"Tmem194"</f>
        <v>Tmem194</v>
      </c>
      <c r="I314" t="str">
        <f>"transmembrane protein 194"</f>
        <v>transmembrane protein 194</v>
      </c>
      <c r="J314" t="str">
        <f t="shared" ref="J314:J323" si="23">"protein coding gene"</f>
        <v>protein coding gene</v>
      </c>
    </row>
    <row r="315" spans="1:10">
      <c r="A315">
        <v>10365574</v>
      </c>
      <c r="B315">
        <v>3.2234077313930598</v>
      </c>
      <c r="C315">
        <v>1.4122677585514201</v>
      </c>
      <c r="E315" t="str">
        <f>"10365574"</f>
        <v>10365574</v>
      </c>
      <c r="F315" t="str">
        <f t="shared" si="21"/>
        <v>Affy 1.0 ST</v>
      </c>
      <c r="G315" t="str">
        <f>"MGI:97629"</f>
        <v>MGI:97629</v>
      </c>
      <c r="H315" t="str">
        <f>"Pmch"</f>
        <v>Pmch</v>
      </c>
      <c r="I315" t="str">
        <f>"pro-melanin-concentrating hormone"</f>
        <v>pro-melanin-concentrating hormone</v>
      </c>
      <c r="J315" t="str">
        <f t="shared" si="23"/>
        <v>protein coding gene</v>
      </c>
    </row>
    <row r="316" spans="1:10">
      <c r="A316">
        <v>10546834</v>
      </c>
      <c r="B316">
        <v>3.2217404133636198</v>
      </c>
      <c r="C316">
        <v>1.4102632797688699</v>
      </c>
      <c r="E316" t="str">
        <f>"10546834"</f>
        <v>10546834</v>
      </c>
      <c r="F316" t="str">
        <f t="shared" si="21"/>
        <v>Affy 1.0 ST</v>
      </c>
      <c r="G316" t="str">
        <f>"MGI:1890476"</f>
        <v>MGI:1890476</v>
      </c>
      <c r="H316" t="str">
        <f>"Rad18"</f>
        <v>Rad18</v>
      </c>
      <c r="I316" t="str">
        <f>"RAD18 homolog (S. cerevisiae)"</f>
        <v>RAD18 homolog (S. cerevisiae)</v>
      </c>
      <c r="J316" t="str">
        <f t="shared" si="23"/>
        <v>protein coding gene</v>
      </c>
    </row>
    <row r="317" spans="1:10">
      <c r="A317">
        <v>10583834</v>
      </c>
      <c r="B317">
        <v>3.2164587300235099</v>
      </c>
      <c r="C317">
        <v>0.84417477404391505</v>
      </c>
      <c r="E317" t="str">
        <f>"10583834"</f>
        <v>10583834</v>
      </c>
      <c r="F317" t="str">
        <f t="shared" si="21"/>
        <v>Affy 1.0 ST</v>
      </c>
      <c r="G317" t="str">
        <f>"MGI:1915533"</f>
        <v>MGI:1915533</v>
      </c>
      <c r="H317" t="str">
        <f>"9530077C05Rik"</f>
        <v>9530077C05Rik</v>
      </c>
      <c r="I317" t="str">
        <f>"RIKEN cDNA 9530077C05 gene"</f>
        <v>RIKEN cDNA 9530077C05 gene</v>
      </c>
      <c r="J317" t="str">
        <f t="shared" si="23"/>
        <v>protein coding gene</v>
      </c>
    </row>
    <row r="318" spans="1:10">
      <c r="A318">
        <v>10469035</v>
      </c>
      <c r="B318">
        <v>3.2035520718976298</v>
      </c>
      <c r="C318">
        <v>1.2102727462404399</v>
      </c>
      <c r="E318" t="str">
        <f>"10469035"</f>
        <v>10469035</v>
      </c>
      <c r="F318" t="str">
        <f t="shared" si="21"/>
        <v>Affy 1.0 ST</v>
      </c>
      <c r="G318" t="str">
        <f>"MGI:1923580"</f>
        <v>MGI:1923580</v>
      </c>
      <c r="H318" t="str">
        <f>"Sephs1"</f>
        <v>Sephs1</v>
      </c>
      <c r="I318" t="str">
        <f>"selenophosphate synthetase 1"</f>
        <v>selenophosphate synthetase 1</v>
      </c>
      <c r="J318" t="str">
        <f t="shared" si="23"/>
        <v>protein coding gene</v>
      </c>
    </row>
    <row r="319" spans="1:10">
      <c r="A319">
        <v>10568568</v>
      </c>
      <c r="B319">
        <v>3.20101477643985</v>
      </c>
      <c r="C319">
        <v>1.5170105689287201</v>
      </c>
      <c r="E319" t="str">
        <f>"10568568"</f>
        <v>10568568</v>
      </c>
      <c r="F319" t="str">
        <f t="shared" si="21"/>
        <v>Affy 1.0 ST</v>
      </c>
      <c r="G319" t="str">
        <f>"MGI:97394"</f>
        <v>MGI:97394</v>
      </c>
      <c r="H319" t="str">
        <f>"Oat"</f>
        <v>Oat</v>
      </c>
      <c r="I319" t="str">
        <f>"ornithine aminotransferase"</f>
        <v>ornithine aminotransferase</v>
      </c>
      <c r="J319" t="str">
        <f t="shared" si="23"/>
        <v>protein coding gene</v>
      </c>
    </row>
    <row r="320" spans="1:10">
      <c r="A320">
        <v>10528790</v>
      </c>
      <c r="B320">
        <v>3.1645126287742502</v>
      </c>
      <c r="C320">
        <v>1.09454375882383</v>
      </c>
      <c r="E320" t="str">
        <f>"10528790"</f>
        <v>10528790</v>
      </c>
      <c r="F320" t="str">
        <f t="shared" si="21"/>
        <v>Affy 1.0 ST</v>
      </c>
      <c r="G320" t="str">
        <f>"MGI:1927345"</f>
        <v>MGI:1927345</v>
      </c>
      <c r="H320" t="str">
        <f>"Xrcc2"</f>
        <v>Xrcc2</v>
      </c>
      <c r="I320" t="str">
        <f>"X-ray repair complementing defective repair in Chinese hamster cells 2"</f>
        <v>X-ray repair complementing defective repair in Chinese hamster cells 2</v>
      </c>
      <c r="J320" t="str">
        <f t="shared" si="23"/>
        <v>protein coding gene</v>
      </c>
    </row>
    <row r="321" spans="1:10">
      <c r="A321">
        <v>10576140</v>
      </c>
      <c r="B321">
        <v>3.1516835420098599</v>
      </c>
      <c r="C321">
        <v>1.22107552480387</v>
      </c>
      <c r="E321" t="str">
        <f>"10576140"</f>
        <v>10576140</v>
      </c>
      <c r="F321" t="str">
        <f t="shared" si="21"/>
        <v>Affy 1.0 ST</v>
      </c>
      <c r="G321" t="str">
        <f>"MGI:1914427"</f>
        <v>MGI:1914427</v>
      </c>
      <c r="H321" t="str">
        <f>"Cdt1"</f>
        <v>Cdt1</v>
      </c>
      <c r="I321" t="str">
        <f>"chromatin licensing and DNA replication factor 1"</f>
        <v>chromatin licensing and DNA replication factor 1</v>
      </c>
      <c r="J321" t="str">
        <f t="shared" si="23"/>
        <v>protein coding gene</v>
      </c>
    </row>
    <row r="322" spans="1:10">
      <c r="A322">
        <v>10582599</v>
      </c>
      <c r="B322">
        <v>3.1440265865392401</v>
      </c>
      <c r="C322">
        <v>1.35963985454855</v>
      </c>
      <c r="E322" t="str">
        <f>"10582599"</f>
        <v>10582599</v>
      </c>
      <c r="F322" t="str">
        <f t="shared" si="21"/>
        <v>Affy 1.0 ST</v>
      </c>
      <c r="G322" t="str">
        <f>"MGI:2442620"</f>
        <v>MGI:2442620</v>
      </c>
      <c r="H322" t="str">
        <f>"Nup133"</f>
        <v>Nup133</v>
      </c>
      <c r="I322" t="str">
        <f>"nucleoporin 133"</f>
        <v>nucleoporin 133</v>
      </c>
      <c r="J322" t="str">
        <f t="shared" si="23"/>
        <v>protein coding gene</v>
      </c>
    </row>
    <row r="323" spans="1:10">
      <c r="A323">
        <v>10355327</v>
      </c>
      <c r="B323">
        <v>3.1435631954662</v>
      </c>
      <c r="C323">
        <v>1.0115578326227099</v>
      </c>
      <c r="E323" t="str">
        <f>"10355327"</f>
        <v>10355327</v>
      </c>
      <c r="F323" t="str">
        <f t="shared" si="21"/>
        <v>Affy 1.0 ST</v>
      </c>
      <c r="G323" t="str">
        <f>"MGI:1328361"</f>
        <v>MGI:1328361</v>
      </c>
      <c r="H323" t="str">
        <f>"Bard1"</f>
        <v>Bard1</v>
      </c>
      <c r="I323" t="str">
        <f>"BRCA1 associated RING domain 1"</f>
        <v>BRCA1 associated RING domain 1</v>
      </c>
      <c r="J323" t="str">
        <f t="shared" si="23"/>
        <v>protein coding gene</v>
      </c>
    </row>
    <row r="324" spans="1:10">
      <c r="A324">
        <v>10603135</v>
      </c>
      <c r="B324">
        <v>3.13867626089539</v>
      </c>
      <c r="C324">
        <v>0.94947244498974004</v>
      </c>
      <c r="E324" t="str">
        <f>"10603135"</f>
        <v>10603135</v>
      </c>
      <c r="F324" t="str">
        <f t="shared" si="21"/>
        <v>Affy 1.0 ST</v>
      </c>
      <c r="G324" t="str">
        <f>"MGI:2448558"</f>
        <v>MGI:2448558</v>
      </c>
      <c r="H324" t="str">
        <f>"Fancb"</f>
        <v>Fancb</v>
      </c>
      <c r="I324" t="s">
        <v>144</v>
      </c>
      <c r="J324" t="s">
        <v>155</v>
      </c>
    </row>
    <row r="325" spans="1:10">
      <c r="A325">
        <v>10591556</v>
      </c>
      <c r="B325">
        <v>3.1361533666490198</v>
      </c>
      <c r="C325">
        <v>1.1778908143954501</v>
      </c>
      <c r="E325" t="str">
        <f>"10591556"</f>
        <v>10591556</v>
      </c>
      <c r="F325" t="str">
        <f t="shared" si="21"/>
        <v>Affy 1.0 ST</v>
      </c>
      <c r="G325" t="str">
        <f>"MGI:1914879"</f>
        <v>MGI:1914879</v>
      </c>
      <c r="H325" t="str">
        <f>"Spc24"</f>
        <v>Spc24</v>
      </c>
      <c r="I325" t="s">
        <v>145</v>
      </c>
      <c r="J325" t="s">
        <v>155</v>
      </c>
    </row>
    <row r="326" spans="1:10">
      <c r="A326">
        <v>10545534</v>
      </c>
      <c r="B326">
        <v>3.1296838454468698</v>
      </c>
      <c r="C326">
        <v>1.0443142586248599</v>
      </c>
      <c r="E326" t="str">
        <f>"10545534"</f>
        <v>10545534</v>
      </c>
      <c r="F326" t="str">
        <f t="shared" si="21"/>
        <v>Affy 1.0 ST</v>
      </c>
      <c r="G326" t="str">
        <f>"MGI:2388131"</f>
        <v>MGI:2388131</v>
      </c>
      <c r="H326" t="str">
        <f>"Rnf26"</f>
        <v>Rnf26</v>
      </c>
      <c r="I326" t="str">
        <f>"ring finger protein 26"</f>
        <v>ring finger protein 26</v>
      </c>
      <c r="J326" t="str">
        <f>"protein coding gene"</f>
        <v>protein coding gene</v>
      </c>
    </row>
    <row r="327" spans="1:10">
      <c r="A327">
        <v>10592154</v>
      </c>
      <c r="B327">
        <v>3.1233246009946098</v>
      </c>
      <c r="C327">
        <v>0.116526833807628</v>
      </c>
      <c r="E327" t="str">
        <f>"10592154"</f>
        <v>10592154</v>
      </c>
      <c r="F327" t="str">
        <f t="shared" si="21"/>
        <v>Affy 1.0 ST</v>
      </c>
      <c r="G327" t="str">
        <f>"MGI:1924082"</f>
        <v>MGI:1924082</v>
      </c>
      <c r="H327" t="str">
        <f>"Hyls1"</f>
        <v>Hyls1</v>
      </c>
      <c r="I327" t="str">
        <f>"hydrolethalus syndrome 1"</f>
        <v>hydrolethalus syndrome 1</v>
      </c>
      <c r="J327" t="str">
        <f>"protein coding gene"</f>
        <v>protein coding gene</v>
      </c>
    </row>
    <row r="328" spans="1:10">
      <c r="A328">
        <v>10394560</v>
      </c>
      <c r="B328">
        <v>3.1217415282291801</v>
      </c>
      <c r="C328">
        <v>1.6999745670266699</v>
      </c>
      <c r="E328" t="str">
        <f>"10394560"</f>
        <v>10394560</v>
      </c>
      <c r="F328" t="str">
        <f t="shared" si="21"/>
        <v>Affy 1.0 ST</v>
      </c>
      <c r="G328" t="str">
        <f>"MGI:1914491"</f>
        <v>MGI:1914491</v>
      </c>
      <c r="H328" t="str">
        <f>"Smc6"</f>
        <v>Smc6</v>
      </c>
      <c r="I328" t="str">
        <f>"structural maintenance of chromosomes 6"</f>
        <v>structural maintenance of chromosomes 6</v>
      </c>
      <c r="J328" t="str">
        <f>"protein coding gene"</f>
        <v>protein coding gene</v>
      </c>
    </row>
    <row r="329" spans="1:10">
      <c r="A329">
        <v>10404028</v>
      </c>
      <c r="B329">
        <v>3.1131787012080898</v>
      </c>
      <c r="C329">
        <v>0.98881442931961006</v>
      </c>
      <c r="E329" t="str">
        <f>"10404028"</f>
        <v>10404028</v>
      </c>
      <c r="F329" t="str">
        <f t="shared" si="21"/>
        <v>Affy 1.0 ST</v>
      </c>
      <c r="G329" t="str">
        <f>"MGI:2145541"</f>
        <v>MGI:2145541</v>
      </c>
      <c r="H329" t="str">
        <f>"Hist1h3g"</f>
        <v>Hist1h3g</v>
      </c>
      <c r="I329" t="s">
        <v>146</v>
      </c>
      <c r="J329" t="s">
        <v>155</v>
      </c>
    </row>
    <row r="330" spans="1:10">
      <c r="A330">
        <v>10490815</v>
      </c>
      <c r="B330">
        <v>3.1048202025154201</v>
      </c>
      <c r="C330">
        <v>0.98963319851725795</v>
      </c>
      <c r="E330" t="str">
        <f>"10490815"</f>
        <v>10490815</v>
      </c>
      <c r="F330" t="str">
        <f t="shared" si="21"/>
        <v>Affy 1.0 ST</v>
      </c>
      <c r="G330" t="str">
        <f>"MGI:3645248"</f>
        <v>MGI:3645248</v>
      </c>
      <c r="H330" t="str">
        <f>"Gm5841"</f>
        <v>Gm5841</v>
      </c>
      <c r="I330" t="str">
        <f>"predicted gene 5841"</f>
        <v>predicted gene 5841</v>
      </c>
      <c r="J330" t="str">
        <f>"pseudogene"</f>
        <v>pseudogene</v>
      </c>
    </row>
    <row r="331" spans="1:10">
      <c r="A331">
        <v>10385153</v>
      </c>
      <c r="B331">
        <v>3.1024705466101699</v>
      </c>
      <c r="C331">
        <v>1.0869097419078499</v>
      </c>
      <c r="E331" t="str">
        <f>"10385153"</f>
        <v>10385153</v>
      </c>
      <c r="F331" t="str">
        <f t="shared" si="21"/>
        <v>Affy 1.0 ST</v>
      </c>
      <c r="G331" t="str">
        <f>"MGI:1917635"</f>
        <v>MGI:1917635</v>
      </c>
      <c r="H331" t="str">
        <f>"Ccdc99"</f>
        <v>Ccdc99</v>
      </c>
      <c r="I331" t="str">
        <f>"coiled-coil domain containing 99"</f>
        <v>coiled-coil domain containing 99</v>
      </c>
      <c r="J331" t="str">
        <f>"protein coding gene"</f>
        <v>protein coding gene</v>
      </c>
    </row>
    <row r="332" spans="1:10">
      <c r="A332">
        <v>10350090</v>
      </c>
      <c r="B332">
        <v>3.09135089489292</v>
      </c>
      <c r="C332">
        <v>0.79527164359681801</v>
      </c>
      <c r="E332" t="str">
        <f>"10350090"</f>
        <v>10350090</v>
      </c>
      <c r="F332" t="str">
        <f t="shared" si="21"/>
        <v>Affy 1.0 ST</v>
      </c>
      <c r="G332" t="str">
        <f>"MGI:1914446"</f>
        <v>MGI:1914446</v>
      </c>
      <c r="H332" t="str">
        <f>"Ube2t"</f>
        <v>Ube2t</v>
      </c>
      <c r="I332" t="str">
        <f>"ubiquitin-conjugating enzyme E2T (putative)"</f>
        <v>ubiquitin-conjugating enzyme E2T (putative)</v>
      </c>
      <c r="J332" t="str">
        <f>"protein coding gene"</f>
        <v>protein coding gene</v>
      </c>
    </row>
    <row r="333" spans="1:10">
      <c r="A333">
        <v>10494322</v>
      </c>
      <c r="B333">
        <v>3.07958302472534</v>
      </c>
      <c r="C333">
        <v>0.614095739999862</v>
      </c>
      <c r="E333" t="str">
        <f>"10494322"</f>
        <v>10494322</v>
      </c>
      <c r="F333" t="str">
        <f t="shared" si="21"/>
        <v>Affy 1.0 ST</v>
      </c>
      <c r="G333" t="str">
        <f>"MGI:1913721"</f>
        <v>MGI:1913721</v>
      </c>
      <c r="H333" t="str">
        <f>"Anp32e"</f>
        <v>Anp32e</v>
      </c>
      <c r="I333" t="s">
        <v>147</v>
      </c>
      <c r="J333" t="s">
        <v>155</v>
      </c>
    </row>
    <row r="334" spans="1:10">
      <c r="A334">
        <v>10371159</v>
      </c>
      <c r="B334">
        <v>3.0782004724319001</v>
      </c>
      <c r="C334">
        <v>0.97459303746624004</v>
      </c>
      <c r="E334" t="str">
        <f>"10371159"</f>
        <v>10371159</v>
      </c>
      <c r="F334" t="str">
        <f t="shared" si="21"/>
        <v>Affy 1.0 ST</v>
      </c>
      <c r="G334" t="str">
        <f>"MGI:1926790"</f>
        <v>MGI:1926790</v>
      </c>
      <c r="H334" t="str">
        <f>"Fzr1"</f>
        <v>Fzr1</v>
      </c>
      <c r="I334" t="str">
        <f>"fizzy/cell division cycle 20 related 1 (Drosophila)"</f>
        <v>fizzy/cell division cycle 20 related 1 (Drosophila)</v>
      </c>
      <c r="J334" t="str">
        <f>"protein coding gene"</f>
        <v>protein coding gene</v>
      </c>
    </row>
    <row r="335" spans="1:10">
      <c r="A335">
        <v>10474642</v>
      </c>
      <c r="B335">
        <v>3.0698869527222401</v>
      </c>
      <c r="C335">
        <v>1.38757693477941</v>
      </c>
      <c r="E335" t="str">
        <f>"10474642"</f>
        <v>10474642</v>
      </c>
      <c r="F335" t="str">
        <f t="shared" si="21"/>
        <v>Affy 1.0 ST</v>
      </c>
      <c r="G335" t="str">
        <f>"MGI:3026886"</f>
        <v>MGI:3026886</v>
      </c>
      <c r="H335" t="str">
        <f>"BC052040"</f>
        <v>BC052040</v>
      </c>
      <c r="I335" t="str">
        <f>"cDNA sequence BC052040"</f>
        <v>cDNA sequence BC052040</v>
      </c>
      <c r="J335" t="str">
        <f>"protein coding gene"</f>
        <v>protein coding gene</v>
      </c>
    </row>
    <row r="336" spans="1:10">
      <c r="A336">
        <v>10459576</v>
      </c>
      <c r="B336">
        <v>3.0670506638504098</v>
      </c>
      <c r="C336">
        <v>0.35529525937739997</v>
      </c>
      <c r="E336" t="str">
        <f>"10459576"</f>
        <v>10459576</v>
      </c>
      <c r="F336" t="str">
        <f t="shared" si="21"/>
        <v>Affy 1.0 ST</v>
      </c>
      <c r="G336" t="str">
        <f>"MGI:1923401"</f>
        <v>MGI:1923401</v>
      </c>
      <c r="H336" t="str">
        <f>"Cep76"</f>
        <v>Cep76</v>
      </c>
      <c r="I336" t="str">
        <f>"centrosomal protein 76"</f>
        <v>centrosomal protein 76</v>
      </c>
      <c r="J336" t="str">
        <f>"protein coding gene"</f>
        <v>protein coding gene</v>
      </c>
    </row>
    <row r="337" spans="1:10">
      <c r="A337">
        <v>10340051</v>
      </c>
      <c r="B337">
        <v>3.0657716326466198</v>
      </c>
      <c r="C337">
        <v>0.51701188857617197</v>
      </c>
      <c r="E337" t="str">
        <f>"10340051"</f>
        <v>10340051</v>
      </c>
      <c r="F337" t="str">
        <f>""</f>
        <v/>
      </c>
      <c r="G337" t="str">
        <f>"No associated gene"</f>
        <v>No associated gene</v>
      </c>
    </row>
    <row r="338" spans="1:10">
      <c r="A338">
        <v>10410576</v>
      </c>
      <c r="B338">
        <v>3.0584714695598398</v>
      </c>
      <c r="C338">
        <v>0.77205903300859802</v>
      </c>
      <c r="E338" t="str">
        <f>"10410576"</f>
        <v>10410576</v>
      </c>
      <c r="F338" t="str">
        <f t="shared" ref="F338:F364" si="24">"Affy 1.0 ST"</f>
        <v>Affy 1.0 ST</v>
      </c>
      <c r="G338" t="str">
        <f>"MGI:1921720"</f>
        <v>MGI:1921720</v>
      </c>
      <c r="H338" t="str">
        <f>"Cep72"</f>
        <v>Cep72</v>
      </c>
      <c r="I338" t="str">
        <f>"centrosomal protein 72"</f>
        <v>centrosomal protein 72</v>
      </c>
      <c r="J338" t="str">
        <f>"protein coding gene"</f>
        <v>protein coding gene</v>
      </c>
    </row>
    <row r="339" spans="1:10">
      <c r="A339">
        <v>10539640</v>
      </c>
      <c r="B339">
        <v>3.05798315710111</v>
      </c>
      <c r="C339">
        <v>0.59159452349605202</v>
      </c>
      <c r="E339" t="str">
        <f>"10539640"</f>
        <v>10539640</v>
      </c>
      <c r="F339" t="str">
        <f t="shared" si="24"/>
        <v>Affy 1.0 ST</v>
      </c>
      <c r="G339" t="str">
        <f>"MGI:1934606"</f>
        <v>MGI:1934606</v>
      </c>
      <c r="H339" t="str">
        <f>"Alms1"</f>
        <v>Alms1</v>
      </c>
      <c r="I339" t="str">
        <f>"Alstrom syndrome 1 homolog (human)"</f>
        <v>Alstrom syndrome 1 homolog (human)</v>
      </c>
      <c r="J339" t="str">
        <f>"protein coding gene"</f>
        <v>protein coding gene</v>
      </c>
    </row>
    <row r="340" spans="1:10">
      <c r="A340">
        <v>10547088</v>
      </c>
      <c r="B340">
        <v>3.0562804418549701</v>
      </c>
      <c r="C340">
        <v>1.02470488609979</v>
      </c>
      <c r="E340" t="str">
        <f>"10547088"</f>
        <v>10547088</v>
      </c>
      <c r="F340" t="str">
        <f t="shared" si="24"/>
        <v>Affy 1.0 ST</v>
      </c>
      <c r="G340" t="str">
        <f>"MGI:1333850"</f>
        <v>MGI:1333850</v>
      </c>
      <c r="H340" t="str">
        <f>"Mbd4"</f>
        <v>Mbd4</v>
      </c>
      <c r="I340" t="str">
        <f>"methyl-CpG binding domain protein 4"</f>
        <v>methyl-CpG binding domain protein 4</v>
      </c>
      <c r="J340" t="str">
        <f>"protein coding gene"</f>
        <v>protein coding gene</v>
      </c>
    </row>
    <row r="341" spans="1:10">
      <c r="A341">
        <v>10353733</v>
      </c>
      <c r="B341">
        <v>3.0558093371308299</v>
      </c>
      <c r="C341">
        <v>1.07281495711615</v>
      </c>
      <c r="E341" t="str">
        <f>"10353733"</f>
        <v>10353733</v>
      </c>
      <c r="F341" t="str">
        <f t="shared" si="24"/>
        <v>Affy 1.0 ST</v>
      </c>
      <c r="G341" t="str">
        <f>"MGI:97758"</f>
        <v>MGI:97758</v>
      </c>
      <c r="H341" t="str">
        <f>"Prim2"</f>
        <v>Prim2</v>
      </c>
      <c r="I341" t="s">
        <v>148</v>
      </c>
      <c r="J341" t="s">
        <v>155</v>
      </c>
    </row>
    <row r="342" spans="1:10">
      <c r="A342">
        <v>10396030</v>
      </c>
      <c r="B342">
        <v>3.0493919009153898</v>
      </c>
      <c r="C342">
        <v>0.99469799501550904</v>
      </c>
      <c r="E342" t="str">
        <f>"10396030"</f>
        <v>10396030</v>
      </c>
      <c r="F342" t="str">
        <f t="shared" si="24"/>
        <v>Affy 1.0 ST</v>
      </c>
      <c r="G342" t="str">
        <f>"MGI:2442306"</f>
        <v>MGI:2442306</v>
      </c>
      <c r="H342" t="str">
        <f>"Fancm"</f>
        <v>Fancm</v>
      </c>
      <c r="I342" t="s">
        <v>149</v>
      </c>
      <c r="J342" t="s">
        <v>155</v>
      </c>
    </row>
    <row r="343" spans="1:10">
      <c r="A343">
        <v>10595205</v>
      </c>
      <c r="B343">
        <v>3.0362362899425102</v>
      </c>
      <c r="C343">
        <v>1.41639508113966</v>
      </c>
      <c r="E343" t="str">
        <f>"10595205"</f>
        <v>10595205</v>
      </c>
      <c r="F343" t="str">
        <f t="shared" si="24"/>
        <v>Affy 1.0 ST</v>
      </c>
      <c r="G343" t="str">
        <f>"MGI:1914633"</f>
        <v>MGI:1914633</v>
      </c>
      <c r="H343" t="str">
        <f>"2410127L17Rik"</f>
        <v>2410127L17Rik</v>
      </c>
      <c r="I343" t="str">
        <f>"RIKEN cDNA 2410127L17 gene"</f>
        <v>RIKEN cDNA 2410127L17 gene</v>
      </c>
      <c r="J343" t="str">
        <f>"protein coding gene"</f>
        <v>protein coding gene</v>
      </c>
    </row>
    <row r="344" spans="1:10">
      <c r="A344">
        <v>10444595</v>
      </c>
      <c r="B344">
        <v>3.0220129193964098</v>
      </c>
      <c r="C344">
        <v>1.2150241768768</v>
      </c>
      <c r="E344" t="str">
        <f>"10444595"</f>
        <v>10444595</v>
      </c>
      <c r="F344" t="str">
        <f t="shared" si="24"/>
        <v>Affy 1.0 ST</v>
      </c>
      <c r="G344" t="str">
        <f>"MGI:90676"</f>
        <v>MGI:90676</v>
      </c>
      <c r="H344" t="str">
        <f>"Lsm2"</f>
        <v>Lsm2</v>
      </c>
      <c r="I344" t="s">
        <v>150</v>
      </c>
      <c r="J344" t="s">
        <v>155</v>
      </c>
    </row>
    <row r="345" spans="1:10">
      <c r="A345">
        <v>10499366</v>
      </c>
      <c r="B345">
        <v>3.0098278978478201</v>
      </c>
      <c r="C345">
        <v>1.41805911005442</v>
      </c>
      <c r="E345" t="str">
        <f>"10499366"</f>
        <v>10499366</v>
      </c>
      <c r="F345" t="str">
        <f t="shared" si="24"/>
        <v>Affy 1.0 ST</v>
      </c>
      <c r="G345" t="str">
        <f>"MGI:1914287"</f>
        <v>MGI:1914287</v>
      </c>
      <c r="H345" t="str">
        <f>"Pmf1"</f>
        <v>Pmf1</v>
      </c>
      <c r="I345" t="str">
        <f>"polyamine-modulated factor 1"</f>
        <v>polyamine-modulated factor 1</v>
      </c>
      <c r="J345" t="str">
        <f t="shared" ref="J345:J350" si="25">"protein coding gene"</f>
        <v>protein coding gene</v>
      </c>
    </row>
    <row r="346" spans="1:10">
      <c r="A346">
        <v>10420988</v>
      </c>
      <c r="B346">
        <v>3.00864322343726</v>
      </c>
      <c r="C346">
        <v>0.79777674159785705</v>
      </c>
      <c r="E346" t="str">
        <f>"10420988"</f>
        <v>10420988</v>
      </c>
      <c r="F346" t="str">
        <f t="shared" si="24"/>
        <v>Affy 1.0 ST</v>
      </c>
      <c r="G346" t="str">
        <f>"MGI:1349763"</f>
        <v>MGI:1349763</v>
      </c>
      <c r="H346" t="str">
        <f>"Dpysl2"</f>
        <v>Dpysl2</v>
      </c>
      <c r="I346" t="str">
        <f>"dihydropyrimidinase-like 2"</f>
        <v>dihydropyrimidinase-like 2</v>
      </c>
      <c r="J346" t="str">
        <f t="shared" si="25"/>
        <v>protein coding gene</v>
      </c>
    </row>
    <row r="347" spans="1:10">
      <c r="A347">
        <v>10459755</v>
      </c>
      <c r="B347">
        <v>3.0002221703109901</v>
      </c>
      <c r="C347">
        <v>0.64056011222741305</v>
      </c>
      <c r="E347" t="str">
        <f>"10459755"</f>
        <v>10459755</v>
      </c>
      <c r="F347" t="str">
        <f t="shared" si="24"/>
        <v>Affy 1.0 ST</v>
      </c>
      <c r="G347" t="str">
        <f>"MGI:1913718"</f>
        <v>MGI:1913718</v>
      </c>
      <c r="H347" t="str">
        <f>"Ska1"</f>
        <v>Ska1</v>
      </c>
      <c r="I347" t="str">
        <f>"spindle and kinetochore associated complex subunit 1"</f>
        <v>spindle and kinetochore associated complex subunit 1</v>
      </c>
      <c r="J347" t="str">
        <f t="shared" si="25"/>
        <v>protein coding gene</v>
      </c>
    </row>
    <row r="348" spans="1:10">
      <c r="A348">
        <v>10600017</v>
      </c>
      <c r="B348">
        <v>2.9998339845113402</v>
      </c>
      <c r="C348">
        <v>0.834028895622555</v>
      </c>
      <c r="E348" t="str">
        <f>"10600017"</f>
        <v>10600017</v>
      </c>
      <c r="F348" t="str">
        <f t="shared" si="24"/>
        <v>Affy 1.0 ST</v>
      </c>
      <c r="G348" t="str">
        <f>"MGI:1098219"</f>
        <v>MGI:1098219</v>
      </c>
      <c r="H348" t="str">
        <f>"Hmgb3"</f>
        <v>Hmgb3</v>
      </c>
      <c r="I348" t="str">
        <f>"high mobility group box 3"</f>
        <v>high mobility group box 3</v>
      </c>
      <c r="J348" t="str">
        <f t="shared" si="25"/>
        <v>protein coding gene</v>
      </c>
    </row>
    <row r="349" spans="1:10">
      <c r="A349">
        <v>10574378</v>
      </c>
      <c r="B349">
        <v>2.99826072531223</v>
      </c>
      <c r="C349">
        <v>1.13776117413222</v>
      </c>
      <c r="E349" t="str">
        <f>"10574378"</f>
        <v>10574378</v>
      </c>
      <c r="F349" t="str">
        <f t="shared" si="24"/>
        <v>Affy 1.0 ST</v>
      </c>
      <c r="G349" t="str">
        <f>"MGI:1926083"</f>
        <v>MGI:1926083</v>
      </c>
      <c r="H349" t="str">
        <f>"Gins3"</f>
        <v>Gins3</v>
      </c>
      <c r="I349" t="str">
        <f>"GINS complex subunit 3 (Psf3 homolog)"</f>
        <v>GINS complex subunit 3 (Psf3 homolog)</v>
      </c>
      <c r="J349" t="str">
        <f t="shared" si="25"/>
        <v>protein coding gene</v>
      </c>
    </row>
    <row r="350" spans="1:10">
      <c r="A350">
        <v>10493086</v>
      </c>
      <c r="B350">
        <v>2.9936079812428602</v>
      </c>
      <c r="C350">
        <v>1.1090677371484201</v>
      </c>
      <c r="E350" t="str">
        <f>"10493086"</f>
        <v>10493086</v>
      </c>
      <c r="F350" t="str">
        <f t="shared" si="24"/>
        <v>Affy 1.0 ST</v>
      </c>
      <c r="G350" t="str">
        <f>"MGI:1194494"</f>
        <v>MGI:1194494</v>
      </c>
      <c r="H350" t="str">
        <f>"Hdgf"</f>
        <v>Hdgf</v>
      </c>
      <c r="I350" t="str">
        <f>"hepatoma-derived growth factor"</f>
        <v>hepatoma-derived growth factor</v>
      </c>
      <c r="J350" t="str">
        <f t="shared" si="25"/>
        <v>protein coding gene</v>
      </c>
    </row>
    <row r="351" spans="1:10">
      <c r="A351">
        <v>10410919</v>
      </c>
      <c r="B351">
        <v>2.9899008103567901</v>
      </c>
      <c r="C351">
        <v>0.35176148062856999</v>
      </c>
      <c r="E351" t="str">
        <f>"10410919"</f>
        <v>10410919</v>
      </c>
      <c r="F351" t="str">
        <f t="shared" si="24"/>
        <v>Affy 1.0 ST</v>
      </c>
      <c r="G351" t="str">
        <f>"MGI:3648664"</f>
        <v>MGI:3648664</v>
      </c>
      <c r="H351" t="str">
        <f>"Gm5666"</f>
        <v>Gm5666</v>
      </c>
      <c r="I351" t="str">
        <f>"predicted gene 5666"</f>
        <v>predicted gene 5666</v>
      </c>
      <c r="J351" t="str">
        <f>"pseudogene"</f>
        <v>pseudogene</v>
      </c>
    </row>
    <row r="352" spans="1:10">
      <c r="A352">
        <v>10482177</v>
      </c>
      <c r="B352">
        <v>2.9880398497927598</v>
      </c>
      <c r="C352">
        <v>1.48194636321726</v>
      </c>
      <c r="E352" t="str">
        <f>"10482177"</f>
        <v>10482177</v>
      </c>
      <c r="F352" t="str">
        <f t="shared" si="24"/>
        <v>Affy 1.0 ST</v>
      </c>
      <c r="G352" t="str">
        <f>"MGI:104626"</f>
        <v>MGI:104626</v>
      </c>
      <c r="H352" t="str">
        <f>"Strbp"</f>
        <v>Strbp</v>
      </c>
      <c r="I352" t="str">
        <f>"spermatid perinuclear RNA binding protein"</f>
        <v>spermatid perinuclear RNA binding protein</v>
      </c>
      <c r="J352" t="str">
        <f>"protein coding gene"</f>
        <v>protein coding gene</v>
      </c>
    </row>
    <row r="353" spans="1:10">
      <c r="A353">
        <v>10534974</v>
      </c>
      <c r="B353">
        <v>2.9804271439200298</v>
      </c>
      <c r="C353">
        <v>1.4443077342995301</v>
      </c>
      <c r="E353" t="str">
        <f>"10534974"</f>
        <v>10534974</v>
      </c>
      <c r="F353" t="str">
        <f t="shared" si="24"/>
        <v>Affy 1.0 ST</v>
      </c>
      <c r="G353" t="str">
        <f>"MGI:1298398"</f>
        <v>MGI:1298398</v>
      </c>
      <c r="H353" t="str">
        <f>"Mcm7"</f>
        <v>Mcm7</v>
      </c>
      <c r="I353" t="str">
        <f>"minichromosome maintenance deficient 7 (S. cerevisiae)"</f>
        <v>minichromosome maintenance deficient 7 (S. cerevisiae)</v>
      </c>
      <c r="J353" t="str">
        <f>"protein coding gene"</f>
        <v>protein coding gene</v>
      </c>
    </row>
    <row r="354" spans="1:10">
      <c r="A354">
        <v>10558248</v>
      </c>
      <c r="B354">
        <v>2.96339426004893</v>
      </c>
      <c r="C354">
        <v>0.75727621150943802</v>
      </c>
      <c r="E354" t="str">
        <f>"10558248"</f>
        <v>10558248</v>
      </c>
      <c r="F354" t="str">
        <f t="shared" si="24"/>
        <v>Affy 1.0 ST</v>
      </c>
      <c r="G354" t="str">
        <f>"MGI:1343463"</f>
        <v>MGI:1343463</v>
      </c>
      <c r="H354" t="str">
        <f>"Bub3"</f>
        <v>Bub3</v>
      </c>
      <c r="I354" t="str">
        <f>"budding uninhibited by benzimidazoles 3 homolog (S. cerevisiae)"</f>
        <v>budding uninhibited by benzimidazoles 3 homolog (S. cerevisiae)</v>
      </c>
      <c r="J354" t="str">
        <f>"protein coding gene"</f>
        <v>protein coding gene</v>
      </c>
    </row>
    <row r="355" spans="1:10">
      <c r="A355">
        <v>10497971</v>
      </c>
      <c r="B355">
        <v>2.9475990650514801</v>
      </c>
      <c r="C355">
        <v>0.979792694246298</v>
      </c>
      <c r="E355" t="str">
        <f>"10497971"</f>
        <v>10497971</v>
      </c>
      <c r="F355" t="str">
        <f t="shared" si="24"/>
        <v>Affy 1.0 ST</v>
      </c>
      <c r="G355" t="str">
        <f>"MGI:1914411"</f>
        <v>MGI:1914411</v>
      </c>
      <c r="H355" t="str">
        <f>"Sclt1"</f>
        <v>Sclt1</v>
      </c>
      <c r="I355" t="str">
        <f>"sodium channel and clathrin linker 1"</f>
        <v>sodium channel and clathrin linker 1</v>
      </c>
      <c r="J355" t="str">
        <f>"protein coding gene"</f>
        <v>protein coding gene</v>
      </c>
    </row>
    <row r="356" spans="1:10">
      <c r="A356">
        <v>10408113</v>
      </c>
      <c r="B356">
        <v>2.9464666378193098</v>
      </c>
      <c r="C356">
        <v>1.1945702439529799</v>
      </c>
      <c r="E356" t="str">
        <f>"10408113"</f>
        <v>10408113</v>
      </c>
      <c r="F356" t="str">
        <f t="shared" si="24"/>
        <v>Affy 1.0 ST</v>
      </c>
      <c r="G356" t="str">
        <f>"MGI:2448432"</f>
        <v>MGI:2448432</v>
      </c>
      <c r="H356" t="str">
        <f>"Hist1h4i"</f>
        <v>Hist1h4i</v>
      </c>
      <c r="I356" t="s">
        <v>151</v>
      </c>
      <c r="J356" t="s">
        <v>155</v>
      </c>
    </row>
    <row r="357" spans="1:10">
      <c r="A357">
        <v>10516894</v>
      </c>
      <c r="B357">
        <v>2.9292937473174199</v>
      </c>
      <c r="C357">
        <v>1.12279656928242</v>
      </c>
      <c r="E357" t="str">
        <f>"10516894"</f>
        <v>10516894</v>
      </c>
      <c r="F357" t="str">
        <f t="shared" si="24"/>
        <v>Affy 1.0 ST</v>
      </c>
      <c r="G357" t="str">
        <f>"MGI:1913989"</f>
        <v>MGI:1913989</v>
      </c>
      <c r="H357" t="str">
        <f>"Rcc1"</f>
        <v>Rcc1</v>
      </c>
      <c r="I357" t="str">
        <f>"regulator of chromosome condensation 1"</f>
        <v>regulator of chromosome condensation 1</v>
      </c>
      <c r="J357" t="str">
        <f>"protein coding gene"</f>
        <v>protein coding gene</v>
      </c>
    </row>
    <row r="358" spans="1:10">
      <c r="A358">
        <v>10443047</v>
      </c>
      <c r="B358">
        <v>2.9265119739734198</v>
      </c>
      <c r="C358">
        <v>0.88074075875122104</v>
      </c>
      <c r="E358" t="str">
        <f>"10443047"</f>
        <v>10443047</v>
      </c>
      <c r="F358" t="str">
        <f t="shared" si="24"/>
        <v>Affy 1.0 ST</v>
      </c>
      <c r="G358" t="str">
        <f>"MGI:109596"</f>
        <v>MGI:109596</v>
      </c>
      <c r="H358" t="str">
        <f>"Kifc1"</f>
        <v>Kifc1</v>
      </c>
      <c r="I358" t="str">
        <f>"kinesin family member C1"</f>
        <v>kinesin family member C1</v>
      </c>
      <c r="J358" t="str">
        <f>"protein coding gene"</f>
        <v>protein coding gene</v>
      </c>
    </row>
    <row r="359" spans="1:10">
      <c r="A359">
        <v>10506118</v>
      </c>
      <c r="B359">
        <v>2.9259341856215801</v>
      </c>
      <c r="C359">
        <v>1.2737138624678801</v>
      </c>
      <c r="E359" t="str">
        <f>"10506118"</f>
        <v>10506118</v>
      </c>
      <c r="F359" t="str">
        <f t="shared" si="24"/>
        <v>Affy 1.0 ST</v>
      </c>
      <c r="G359" t="str">
        <f>"MGI:2385198"</f>
        <v>MGI:2385198</v>
      </c>
      <c r="H359" t="str">
        <f>"Usp1"</f>
        <v>Usp1</v>
      </c>
      <c r="I359" t="str">
        <f>"ubiquitin specific peptidase 1"</f>
        <v>ubiquitin specific peptidase 1</v>
      </c>
      <c r="J359" t="str">
        <f>"protein coding gene"</f>
        <v>protein coding gene</v>
      </c>
    </row>
    <row r="360" spans="1:10">
      <c r="A360">
        <v>10434067</v>
      </c>
      <c r="B360">
        <v>2.9194890990361699</v>
      </c>
      <c r="C360">
        <v>0.61093700549955199</v>
      </c>
      <c r="E360" t="str">
        <f>"10434067"</f>
        <v>10434067</v>
      </c>
      <c r="F360" t="str">
        <f t="shared" si="24"/>
        <v>Affy 1.0 ST</v>
      </c>
      <c r="G360" t="str">
        <f>"MGI:1924876"</f>
        <v>MGI:1924876</v>
      </c>
      <c r="H360" t="str">
        <f>"Smpd4"</f>
        <v>Smpd4</v>
      </c>
      <c r="I360" t="str">
        <f>"sphingomyelin phosphodiesterase 4"</f>
        <v>sphingomyelin phosphodiesterase 4</v>
      </c>
      <c r="J360" t="str">
        <f>"protein coding gene"</f>
        <v>protein coding gene</v>
      </c>
    </row>
    <row r="361" spans="1:10">
      <c r="A361">
        <v>10607116</v>
      </c>
      <c r="B361">
        <v>2.9017570504801302</v>
      </c>
      <c r="C361">
        <v>0.84631689620867201</v>
      </c>
      <c r="E361" t="str">
        <f>"10607116"</f>
        <v>10607116</v>
      </c>
      <c r="F361" t="str">
        <f t="shared" si="24"/>
        <v>Affy 1.0 ST</v>
      </c>
      <c r="G361" t="str">
        <f>"MGI:1860206"</f>
        <v>MGI:1860206</v>
      </c>
      <c r="H361" t="str">
        <f>"Ammecr1"</f>
        <v>Ammecr1</v>
      </c>
      <c r="I361" t="s">
        <v>74</v>
      </c>
      <c r="J361" t="s">
        <v>155</v>
      </c>
    </row>
    <row r="362" spans="1:10">
      <c r="A362">
        <v>10433721</v>
      </c>
      <c r="B362">
        <v>2.8995817418184102</v>
      </c>
      <c r="C362">
        <v>0.80395792505002805</v>
      </c>
      <c r="E362" t="str">
        <f>"10433721"</f>
        <v>10433721</v>
      </c>
      <c r="F362" t="str">
        <f t="shared" si="24"/>
        <v>Affy 1.0 ST</v>
      </c>
      <c r="G362" t="str">
        <f>"MGI:1914453"</f>
        <v>MGI:1914453</v>
      </c>
      <c r="H362" t="str">
        <f>"Nde1"</f>
        <v>Nde1</v>
      </c>
      <c r="I362" t="str">
        <f>"nuclear distribution gene E homolog 1 (A nidulans)"</f>
        <v>nuclear distribution gene E homolog 1 (A nidulans)</v>
      </c>
      <c r="J362" t="str">
        <f>"protein coding gene"</f>
        <v>protein coding gene</v>
      </c>
    </row>
    <row r="363" spans="1:10">
      <c r="A363">
        <v>10538617</v>
      </c>
      <c r="B363">
        <v>2.8959597027564801</v>
      </c>
      <c r="C363">
        <v>1.0970830634642199</v>
      </c>
      <c r="E363" t="str">
        <f>"10538617"</f>
        <v>10538617</v>
      </c>
      <c r="F363" t="str">
        <f t="shared" si="24"/>
        <v>Affy 1.0 ST</v>
      </c>
      <c r="G363" t="str">
        <f>"MGI:1919085"</f>
        <v>MGI:1919085</v>
      </c>
      <c r="H363" t="str">
        <f>"Lancl2"</f>
        <v>Lancl2</v>
      </c>
      <c r="I363" t="str">
        <f>"LanC (bacterial lantibiotic synthetase component C)-like 2"</f>
        <v>LanC (bacterial lantibiotic synthetase component C)-like 2</v>
      </c>
      <c r="J363" t="str">
        <f>"protein coding gene"</f>
        <v>protein coding gene</v>
      </c>
    </row>
    <row r="364" spans="1:10">
      <c r="A364">
        <v>10410435</v>
      </c>
      <c r="B364">
        <v>2.8952995930523899</v>
      </c>
      <c r="C364">
        <v>1.1666613748913599</v>
      </c>
      <c r="E364" t="str">
        <f>"10410435"</f>
        <v>10410435</v>
      </c>
      <c r="F364" t="str">
        <f t="shared" si="24"/>
        <v>Affy 1.0 ST</v>
      </c>
      <c r="G364" t="str">
        <f>"MGI:2682295"</f>
        <v>MGI:2682295</v>
      </c>
      <c r="H364" t="str">
        <f>"Papd7"</f>
        <v>Papd7</v>
      </c>
      <c r="I364" t="str">
        <f>"PAP associated domain containing 7"</f>
        <v>PAP associated domain containing 7</v>
      </c>
      <c r="J364" t="str">
        <f>"protein coding gene"</f>
        <v>protein coding gene</v>
      </c>
    </row>
    <row r="365" spans="1:10">
      <c r="A365">
        <v>10339940</v>
      </c>
      <c r="B365">
        <v>2.89518763099748</v>
      </c>
      <c r="C365">
        <v>0.22856324397892899</v>
      </c>
      <c r="E365" t="str">
        <f>"10339940"</f>
        <v>10339940</v>
      </c>
      <c r="F365" t="str">
        <f>""</f>
        <v/>
      </c>
      <c r="G365" t="str">
        <f>"No associated gene"</f>
        <v>No associated gene</v>
      </c>
    </row>
    <row r="366" spans="1:10">
      <c r="A366">
        <v>10439762</v>
      </c>
      <c r="B366">
        <v>2.8948861658696599</v>
      </c>
      <c r="C366">
        <v>0.95666213333922101</v>
      </c>
      <c r="E366" t="str">
        <f>"10439762"</f>
        <v>10439762</v>
      </c>
      <c r="F366" t="str">
        <f>"Affy 1.0 ST"</f>
        <v>Affy 1.0 ST</v>
      </c>
      <c r="G366" t="str">
        <f>"MGI:87968"</f>
        <v>MGI:87968</v>
      </c>
      <c r="H366" t="str">
        <f>"Ahcy"</f>
        <v>Ahcy</v>
      </c>
      <c r="I366" t="str">
        <f>"S-adenosylhomocysteine hydrolase"</f>
        <v>S-adenosylhomocysteine hydrolase</v>
      </c>
      <c r="J366" t="str">
        <f>"protein coding gene"</f>
        <v>protein coding gene</v>
      </c>
    </row>
    <row r="367" spans="1:10">
      <c r="A367">
        <v>10561868</v>
      </c>
      <c r="B367">
        <v>2.8944218967841802</v>
      </c>
      <c r="C367">
        <v>0.86442860394527898</v>
      </c>
      <c r="E367" t="str">
        <f>"10561868"</f>
        <v>10561868</v>
      </c>
      <c r="F367" t="str">
        <f>"Affy 1.0 ST"</f>
        <v>Affy 1.0 ST</v>
      </c>
      <c r="G367" t="str">
        <f>"MGI:1923696"</f>
        <v>MGI:1923696</v>
      </c>
      <c r="H367" t="str">
        <f>"Wdr62"</f>
        <v>Wdr62</v>
      </c>
      <c r="I367" t="str">
        <f>"WD repeat domain 62"</f>
        <v>WD repeat domain 62</v>
      </c>
      <c r="J367" t="str">
        <f>"protein coding gene"</f>
        <v>protein coding gene</v>
      </c>
    </row>
    <row r="368" spans="1:10">
      <c r="A368">
        <v>10367744</v>
      </c>
      <c r="B368">
        <v>2.8931219944908899</v>
      </c>
      <c r="C368">
        <v>0.25875618105110998</v>
      </c>
      <c r="E368" t="str">
        <f>"10367744"</f>
        <v>10367744</v>
      </c>
      <c r="F368" t="str">
        <f>""</f>
        <v/>
      </c>
      <c r="G368" t="str">
        <f>"No associated gene"</f>
        <v>No associated gene</v>
      </c>
    </row>
    <row r="369" spans="1:10">
      <c r="A369">
        <v>10562084</v>
      </c>
      <c r="B369">
        <v>2.8681636048664201</v>
      </c>
      <c r="C369">
        <v>1.47162707713575</v>
      </c>
      <c r="E369" t="str">
        <f>"10562084"</f>
        <v>10562084</v>
      </c>
      <c r="F369" t="str">
        <f t="shared" ref="F369:F374" si="26">"Affy 1.0 ST"</f>
        <v>Affy 1.0 ST</v>
      </c>
      <c r="G369" t="str">
        <f>"MGI:1919159"</f>
        <v>MGI:1919159</v>
      </c>
      <c r="H369" t="str">
        <f>"Haus5"</f>
        <v>Haus5</v>
      </c>
      <c r="I369" t="s">
        <v>75</v>
      </c>
      <c r="J369" t="s">
        <v>155</v>
      </c>
    </row>
    <row r="370" spans="1:10">
      <c r="A370">
        <v>10384145</v>
      </c>
      <c r="B370">
        <v>2.8680430804923001</v>
      </c>
      <c r="C370">
        <v>0.95045846432165904</v>
      </c>
      <c r="E370" t="str">
        <f>"10384145"</f>
        <v>10384145</v>
      </c>
      <c r="F370" t="str">
        <f t="shared" si="26"/>
        <v>Affy 1.0 ST</v>
      </c>
      <c r="G370" t="str">
        <f>"MGI:1924855"</f>
        <v>MGI:1924855</v>
      </c>
      <c r="H370" t="str">
        <f>"H2afv"</f>
        <v>H2afv</v>
      </c>
      <c r="I370" t="s">
        <v>76</v>
      </c>
      <c r="J370" t="s">
        <v>155</v>
      </c>
    </row>
    <row r="371" spans="1:10">
      <c r="A371">
        <v>10427606</v>
      </c>
      <c r="B371">
        <v>2.8656710026147501</v>
      </c>
      <c r="C371">
        <v>1.0762205770172399</v>
      </c>
      <c r="E371" t="str">
        <f>"10427606"</f>
        <v>10427606</v>
      </c>
      <c r="F371" t="str">
        <f t="shared" si="26"/>
        <v>Affy 1.0 ST</v>
      </c>
      <c r="G371" t="str">
        <f>"MGI:1351663"</f>
        <v>MGI:1351663</v>
      </c>
      <c r="H371" t="str">
        <f>"Skp2"</f>
        <v>Skp2</v>
      </c>
      <c r="I371" t="str">
        <f>"S-phase kinase-associated protein 2 (p45)"</f>
        <v>S-phase kinase-associated protein 2 (p45)</v>
      </c>
      <c r="J371" t="str">
        <f>"protein coding gene"</f>
        <v>protein coding gene</v>
      </c>
    </row>
    <row r="372" spans="1:10">
      <c r="A372">
        <v>10601598</v>
      </c>
      <c r="B372">
        <v>2.85911067467346</v>
      </c>
      <c r="C372">
        <v>1.2556620088978501</v>
      </c>
      <c r="E372" t="str">
        <f>"10601598"</f>
        <v>10601598</v>
      </c>
      <c r="F372" t="str">
        <f t="shared" si="26"/>
        <v>Affy 1.0 ST</v>
      </c>
      <c r="G372" t="str">
        <f>"MGI:1920311"</f>
        <v>MGI:1920311</v>
      </c>
      <c r="H372" t="str">
        <f>"3110007F17Rik"</f>
        <v>3110007F17Rik</v>
      </c>
      <c r="I372" t="str">
        <f>"RIKEN cDNA 3110007F17 gene"</f>
        <v>RIKEN cDNA 3110007F17 gene</v>
      </c>
      <c r="J372" t="str">
        <f>"protein coding gene"</f>
        <v>protein coding gene</v>
      </c>
    </row>
    <row r="373" spans="1:10">
      <c r="A373">
        <v>10385495</v>
      </c>
      <c r="B373">
        <v>2.85336503507162</v>
      </c>
      <c r="C373">
        <v>1.05639026770707</v>
      </c>
      <c r="E373" t="str">
        <f>"10385495"</f>
        <v>10385495</v>
      </c>
      <c r="F373" t="str">
        <f t="shared" si="26"/>
        <v>Affy 1.0 ST</v>
      </c>
      <c r="G373" t="str">
        <f>"MGI:1202069"</f>
        <v>MGI:1202069</v>
      </c>
      <c r="H373" t="str">
        <f>"Cdk2ap1"</f>
        <v>Cdk2ap1</v>
      </c>
      <c r="I373" t="str">
        <f>"CDK2 (cyclin-dependent kinase 2)-associated protein 1"</f>
        <v>CDK2 (cyclin-dependent kinase 2)-associated protein 1</v>
      </c>
      <c r="J373" t="str">
        <f>"protein coding gene"</f>
        <v>protein coding gene</v>
      </c>
    </row>
    <row r="374" spans="1:10">
      <c r="A374">
        <v>10583952</v>
      </c>
      <c r="B374">
        <v>2.8421360117754002</v>
      </c>
      <c r="C374">
        <v>0.77382857552880402</v>
      </c>
      <c r="E374" t="str">
        <f>"10583952"</f>
        <v>10583952</v>
      </c>
      <c r="F374" t="str">
        <f t="shared" si="26"/>
        <v>Affy 1.0 ST</v>
      </c>
      <c r="G374" t="str">
        <f>"MGI:2142989"</f>
        <v>MGI:2142989</v>
      </c>
      <c r="H374" t="str">
        <f>"Ncapd3"</f>
        <v>Ncapd3</v>
      </c>
      <c r="I374" t="s">
        <v>77</v>
      </c>
      <c r="J374" t="s">
        <v>155</v>
      </c>
    </row>
    <row r="375" spans="1:10">
      <c r="A375">
        <v>10543114</v>
      </c>
      <c r="B375">
        <v>2.8313794144334499</v>
      </c>
      <c r="C375">
        <v>0.60271955209322403</v>
      </c>
      <c r="E375" t="str">
        <f>"10543114"</f>
        <v>10543114</v>
      </c>
      <c r="F375" t="str">
        <f>""</f>
        <v/>
      </c>
      <c r="G375" t="str">
        <f>"No associated gene"</f>
        <v>No associated gene</v>
      </c>
    </row>
    <row r="376" spans="1:10">
      <c r="A376">
        <v>10365578</v>
      </c>
      <c r="B376">
        <v>2.82582825992665</v>
      </c>
      <c r="C376">
        <v>1.03226455466217</v>
      </c>
      <c r="E376" t="str">
        <f>"10365578"</f>
        <v>10365578</v>
      </c>
      <c r="F376" t="str">
        <f>"Affy 1.0 ST"</f>
        <v>Affy 1.0 ST</v>
      </c>
      <c r="G376" t="str">
        <f>"MGI:1919964"</f>
        <v>MGI:1919964</v>
      </c>
      <c r="H376" t="str">
        <f>"Nup37"</f>
        <v>Nup37</v>
      </c>
      <c r="I376" t="str">
        <f>"nucleoporin 37"</f>
        <v>nucleoporin 37</v>
      </c>
      <c r="J376" t="str">
        <f>"protein coding gene"</f>
        <v>protein coding gene</v>
      </c>
    </row>
    <row r="377" spans="1:10">
      <c r="A377">
        <v>10497105</v>
      </c>
      <c r="B377">
        <v>2.8223665854311202</v>
      </c>
      <c r="C377">
        <v>0.80363923350122302</v>
      </c>
      <c r="E377" t="str">
        <f>"10497105"</f>
        <v>10497105</v>
      </c>
      <c r="F377" t="str">
        <f>"Affy 1.0 ST"</f>
        <v>Affy 1.0 ST</v>
      </c>
      <c r="G377" t="str">
        <f>"MGI:1914394"</f>
        <v>MGI:1914394</v>
      </c>
      <c r="H377" t="str">
        <f>"Lrrc40"</f>
        <v>Lrrc40</v>
      </c>
      <c r="I377" t="str">
        <f>"leucine rich repeat containing 40"</f>
        <v>leucine rich repeat containing 40</v>
      </c>
      <c r="J377" t="str">
        <f>"protein coding gene"</f>
        <v>protein coding gene</v>
      </c>
    </row>
    <row r="378" spans="1:10">
      <c r="A378">
        <v>10571680</v>
      </c>
      <c r="B378">
        <v>2.8189117938558899</v>
      </c>
      <c r="C378">
        <v>1.28479882201963</v>
      </c>
      <c r="E378" t="str">
        <f>"10571680"</f>
        <v>10571680</v>
      </c>
      <c r="F378" t="str">
        <f>"Affy 1.0 ST"</f>
        <v>Affy 1.0 ST</v>
      </c>
      <c r="G378" t="str">
        <f>"MGI:1919126"</f>
        <v>MGI:1919126</v>
      </c>
      <c r="H378" t="str">
        <f>"Mlf1ip"</f>
        <v>Mlf1ip</v>
      </c>
      <c r="I378" t="str">
        <f>"myeloid leukemia factor 1 interacting protein"</f>
        <v>myeloid leukemia factor 1 interacting protein</v>
      </c>
      <c r="J378" t="str">
        <f>"protein coding gene"</f>
        <v>protein coding gene</v>
      </c>
    </row>
    <row r="379" spans="1:10">
      <c r="A379">
        <v>10523281</v>
      </c>
      <c r="B379">
        <v>2.81419806546671</v>
      </c>
      <c r="C379">
        <v>1.1987274398436101</v>
      </c>
      <c r="E379" t="str">
        <f>"10523281"</f>
        <v>10523281</v>
      </c>
      <c r="F379" t="str">
        <f>"Affy 1.0 ST"</f>
        <v>Affy 1.0 ST</v>
      </c>
      <c r="G379" t="str">
        <f>"MGI:1277214"</f>
        <v>MGI:1277214</v>
      </c>
      <c r="H379" t="str">
        <f>"Sept11"</f>
        <v>Sept11</v>
      </c>
      <c r="I379" t="str">
        <f>"septin 11"</f>
        <v>septin 11</v>
      </c>
      <c r="J379" t="str">
        <f>"protein coding gene"</f>
        <v>protein coding gene</v>
      </c>
    </row>
    <row r="380" spans="1:10">
      <c r="A380">
        <v>10421555</v>
      </c>
      <c r="B380">
        <v>2.8128976240145702</v>
      </c>
      <c r="C380">
        <v>0.376854898476633</v>
      </c>
      <c r="E380" t="str">
        <f>"10421555"</f>
        <v>10421555</v>
      </c>
      <c r="F380" t="str">
        <f>""</f>
        <v/>
      </c>
      <c r="G380" t="str">
        <f>"No associated gene"</f>
        <v>No associated gene</v>
      </c>
    </row>
    <row r="381" spans="1:10">
      <c r="A381">
        <v>10552740</v>
      </c>
      <c r="B381">
        <v>2.7977401081174298</v>
      </c>
      <c r="C381">
        <v>1.2005760137737</v>
      </c>
      <c r="E381" t="str">
        <f>"10552740"</f>
        <v>10552740</v>
      </c>
      <c r="F381" t="str">
        <f>"Affy 1.0 ST"</f>
        <v>Affy 1.0 ST</v>
      </c>
      <c r="G381" t="str">
        <f>"MGI:1351500"</f>
        <v>MGI:1351500</v>
      </c>
      <c r="H381" t="str">
        <f>"Nup62"</f>
        <v>Nup62</v>
      </c>
      <c r="I381" t="str">
        <f>"nucleoporin 62"</f>
        <v>nucleoporin 62</v>
      </c>
      <c r="J381" t="str">
        <f>"protein coding gene"</f>
        <v>protein coding gene</v>
      </c>
    </row>
    <row r="382" spans="1:10">
      <c r="A382">
        <v>10456490</v>
      </c>
      <c r="B382">
        <v>2.7832195578775099</v>
      </c>
      <c r="C382">
        <v>0.61461303799412903</v>
      </c>
      <c r="E382" t="str">
        <f>"10456490"</f>
        <v>10456490</v>
      </c>
      <c r="F382" t="str">
        <f>""</f>
        <v/>
      </c>
      <c r="G382" t="str">
        <f>"No associated gene"</f>
        <v>No associated gene</v>
      </c>
    </row>
    <row r="383" spans="1:10">
      <c r="A383">
        <v>10573217</v>
      </c>
      <c r="B383">
        <v>2.77651251741645</v>
      </c>
      <c r="C383">
        <v>0.33965382750859802</v>
      </c>
      <c r="E383" t="str">
        <f>"10573217"</f>
        <v>10573217</v>
      </c>
      <c r="F383" t="str">
        <f>"Affy 1.0 ST"</f>
        <v>Affy 1.0 ST</v>
      </c>
      <c r="G383" t="str">
        <f>"MGI:1915528"</f>
        <v>MGI:1915528</v>
      </c>
      <c r="H383" t="str">
        <f>"Ddx39"</f>
        <v>Ddx39</v>
      </c>
      <c r="I383" t="str">
        <f>"DEAD (Asp-Glu-Ala-Asp) box polypeptide 39"</f>
        <v>DEAD (Asp-Glu-Ala-Asp) box polypeptide 39</v>
      </c>
      <c r="J383" t="str">
        <f>"protein coding gene"</f>
        <v>protein coding gene</v>
      </c>
    </row>
    <row r="384" spans="1:10">
      <c r="A384">
        <v>10588482</v>
      </c>
      <c r="B384">
        <v>2.7754675639603201</v>
      </c>
      <c r="C384">
        <v>1.14046235170962</v>
      </c>
      <c r="E384" t="str">
        <f>"10588482"</f>
        <v>10588482</v>
      </c>
      <c r="F384" t="str">
        <f>"Affy 1.0 ST"</f>
        <v>Affy 1.0 ST</v>
      </c>
      <c r="G384" t="str">
        <f>"MGI:1917485"</f>
        <v>MGI:1917485</v>
      </c>
      <c r="H384" t="str">
        <f>"Poc1a"</f>
        <v>Poc1a</v>
      </c>
      <c r="I384" t="str">
        <f>"POC1 centriolar protein homolog A (Chlamydomonas)"</f>
        <v>POC1 centriolar protein homolog A (Chlamydomonas)</v>
      </c>
      <c r="J384" t="str">
        <f>"protein coding gene"</f>
        <v>protein coding gene</v>
      </c>
    </row>
    <row r="385" spans="1:10">
      <c r="A385">
        <v>10544501</v>
      </c>
      <c r="B385">
        <v>2.7741737370860702</v>
      </c>
      <c r="C385">
        <v>0.59523442161481999</v>
      </c>
      <c r="E385" t="str">
        <f>"10544501"</f>
        <v>10544501</v>
      </c>
      <c r="F385" t="str">
        <f>"Affy 1.0 ST"</f>
        <v>Affy 1.0 ST</v>
      </c>
      <c r="G385" t="str">
        <f>"MGI:107940"</f>
        <v>MGI:107940</v>
      </c>
      <c r="H385" t="str">
        <f>"Ezh2"</f>
        <v>Ezh2</v>
      </c>
      <c r="I385" t="str">
        <f>"enhancer of zeste homolog 2 (Drosophila)"</f>
        <v>enhancer of zeste homolog 2 (Drosophila)</v>
      </c>
      <c r="J385" t="str">
        <f>"protein coding gene"</f>
        <v>protein coding gene</v>
      </c>
    </row>
    <row r="386" spans="1:10">
      <c r="A386">
        <v>10343018</v>
      </c>
      <c r="B386">
        <v>2.7655495864742701</v>
      </c>
      <c r="C386">
        <v>0.75646931057130296</v>
      </c>
      <c r="E386" t="str">
        <f>"10343018"</f>
        <v>10343018</v>
      </c>
      <c r="F386" t="str">
        <f>""</f>
        <v/>
      </c>
      <c r="G386" t="str">
        <f>"No associated gene"</f>
        <v>No associated gene</v>
      </c>
    </row>
    <row r="387" spans="1:10">
      <c r="A387">
        <v>10491385</v>
      </c>
      <c r="B387">
        <v>2.7636627723273599</v>
      </c>
      <c r="C387">
        <v>0.80439450394600698</v>
      </c>
      <c r="E387" t="str">
        <f>"10491385"</f>
        <v>10491385</v>
      </c>
      <c r="F387" t="str">
        <f>"Affy 1.0 ST"</f>
        <v>Affy 1.0 ST</v>
      </c>
      <c r="G387" t="str">
        <f>"MGI:1861453"</f>
        <v>MGI:1861453</v>
      </c>
      <c r="H387" t="str">
        <f>"Actl6a"</f>
        <v>Actl6a</v>
      </c>
      <c r="I387" t="str">
        <f>"actin-like 6A"</f>
        <v>actin-like 6A</v>
      </c>
      <c r="J387" t="str">
        <f>"protein coding gene"</f>
        <v>protein coding gene</v>
      </c>
    </row>
    <row r="388" spans="1:10">
      <c r="A388">
        <v>10475610</v>
      </c>
      <c r="B388">
        <v>2.76176983545747</v>
      </c>
      <c r="C388">
        <v>1.1124960134889701</v>
      </c>
      <c r="E388" t="str">
        <f>"10475610"</f>
        <v>10475610</v>
      </c>
      <c r="F388" t="str">
        <f>"Affy 1.0 ST"</f>
        <v>Affy 1.0 ST</v>
      </c>
      <c r="G388" t="str">
        <f>"MGI:1346051"</f>
        <v>MGI:1346051</v>
      </c>
      <c r="H388" t="str">
        <f>"Dut"</f>
        <v>Dut</v>
      </c>
      <c r="I388" t="str">
        <f>"deoxyuridine triphosphatase"</f>
        <v>deoxyuridine triphosphatase</v>
      </c>
      <c r="J388" t="str">
        <f>"protein coding gene"</f>
        <v>protein coding gene</v>
      </c>
    </row>
    <row r="389" spans="1:10">
      <c r="A389">
        <v>10424188</v>
      </c>
      <c r="B389">
        <v>2.7564252346067399</v>
      </c>
      <c r="C389">
        <v>0.66366867183582101</v>
      </c>
      <c r="E389" t="str">
        <f>"10424188"</f>
        <v>10424188</v>
      </c>
      <c r="F389" t="str">
        <f>"Affy 1.0 ST"</f>
        <v>Affy 1.0 ST</v>
      </c>
      <c r="G389" t="str">
        <f>"MGI:2146005"</f>
        <v>MGI:2146005</v>
      </c>
      <c r="H389" t="str">
        <f>"Mtbp"</f>
        <v>Mtbp</v>
      </c>
      <c r="I389" t="s">
        <v>78</v>
      </c>
      <c r="J389" t="s">
        <v>155</v>
      </c>
    </row>
    <row r="390" spans="1:10">
      <c r="A390">
        <v>10470788</v>
      </c>
      <c r="B390">
        <v>2.75248026774582</v>
      </c>
      <c r="C390">
        <v>0.583244102421279</v>
      </c>
      <c r="E390" t="str">
        <f>"10470788"</f>
        <v>10470788</v>
      </c>
      <c r="F390" t="str">
        <f>"Affy 1.0 ST"</f>
        <v>Affy 1.0 ST</v>
      </c>
      <c r="G390" t="str">
        <f>"MGI:1098824"</f>
        <v>MGI:1098824</v>
      </c>
      <c r="H390" t="str">
        <f>"Odf2"</f>
        <v>Odf2</v>
      </c>
      <c r="I390" t="str">
        <f>"outer dense fiber of sperm tails 2"</f>
        <v>outer dense fiber of sperm tails 2</v>
      </c>
      <c r="J390" t="str">
        <f>"protein coding gene"</f>
        <v>protein coding gene</v>
      </c>
    </row>
    <row r="391" spans="1:10">
      <c r="A391">
        <v>10582501</v>
      </c>
      <c r="B391">
        <v>2.74187488310465</v>
      </c>
      <c r="C391">
        <v>1.12330639612812</v>
      </c>
      <c r="E391" t="str">
        <f>"10582501"</f>
        <v>10582501</v>
      </c>
      <c r="F391" t="str">
        <f>"Affy 1.0 ST"</f>
        <v>Affy 1.0 ST</v>
      </c>
      <c r="G391" t="str">
        <f>"MGI:1341823"</f>
        <v>MGI:1341823</v>
      </c>
      <c r="H391" t="str">
        <f>"Fanca"</f>
        <v>Fanca</v>
      </c>
      <c r="I391" t="s">
        <v>79</v>
      </c>
      <c r="J391" t="s">
        <v>155</v>
      </c>
    </row>
    <row r="392" spans="1:10">
      <c r="A392">
        <v>10340229</v>
      </c>
      <c r="B392">
        <v>2.7400107035130401</v>
      </c>
      <c r="C392">
        <v>0.35716352688310599</v>
      </c>
      <c r="E392" t="str">
        <f>"10340229"</f>
        <v>10340229</v>
      </c>
      <c r="F392" t="str">
        <f>""</f>
        <v/>
      </c>
      <c r="G392" t="str">
        <f>"No associated gene"</f>
        <v>No associated gene</v>
      </c>
    </row>
    <row r="393" spans="1:10">
      <c r="A393">
        <v>10459643</v>
      </c>
      <c r="B393">
        <v>2.7352387126244899</v>
      </c>
      <c r="C393">
        <v>0.66781244882456803</v>
      </c>
      <c r="E393" t="str">
        <f>"10459643"</f>
        <v>10459643</v>
      </c>
      <c r="F393" t="str">
        <f>"Affy 1.0 ST"</f>
        <v>Affy 1.0 ST</v>
      </c>
      <c r="G393" t="str">
        <f>"MGI:1922045"</f>
        <v>MGI:1922045</v>
      </c>
      <c r="H393" t="str">
        <f>"4930503L19Rik"</f>
        <v>4930503L19Rik</v>
      </c>
      <c r="I393" t="str">
        <f>"RIKEN cDNA 4930503L19 gene"</f>
        <v>RIKEN cDNA 4930503L19 gene</v>
      </c>
      <c r="J393" t="str">
        <f>"protein coding gene"</f>
        <v>protein coding gene</v>
      </c>
    </row>
    <row r="394" spans="1:10">
      <c r="A394">
        <v>10462670</v>
      </c>
      <c r="B394">
        <v>2.72412112415644</v>
      </c>
      <c r="C394">
        <v>0.70482455940138999</v>
      </c>
      <c r="E394" t="str">
        <f>"10462670"</f>
        <v>10462670</v>
      </c>
      <c r="F394" t="str">
        <f>"Affy 1.0 ST"</f>
        <v>Affy 1.0 ST</v>
      </c>
      <c r="G394" t="str">
        <f>"MGI:1859683"</f>
        <v>MGI:1859683</v>
      </c>
      <c r="H394" t="str">
        <f>"Rpp30"</f>
        <v>Rpp30</v>
      </c>
      <c r="I394" t="str">
        <f>"ribonuclease P/MRP 30 subunit (human)"</f>
        <v>ribonuclease P/MRP 30 subunit (human)</v>
      </c>
      <c r="J394" t="str">
        <f>"protein coding gene"</f>
        <v>protein coding gene</v>
      </c>
    </row>
    <row r="395" spans="1:10">
      <c r="A395">
        <v>10338348</v>
      </c>
      <c r="B395">
        <v>2.72354085391988</v>
      </c>
      <c r="C395">
        <v>0.64476996231443195</v>
      </c>
      <c r="E395" t="str">
        <f>"10338348"</f>
        <v>10338348</v>
      </c>
      <c r="F395" t="str">
        <f>""</f>
        <v/>
      </c>
      <c r="G395" t="str">
        <f>"No associated gene"</f>
        <v>No associated gene</v>
      </c>
    </row>
    <row r="396" spans="1:10">
      <c r="A396">
        <v>10350489</v>
      </c>
      <c r="B396">
        <v>2.72291438593673</v>
      </c>
      <c r="C396">
        <v>1.3451744452968499</v>
      </c>
      <c r="E396" t="str">
        <f>"10350489"</f>
        <v>10350489</v>
      </c>
      <c r="F396" t="str">
        <f>"Affy 1.0 ST"</f>
        <v>Affy 1.0 ST</v>
      </c>
      <c r="G396" t="str">
        <f>"MGI:1914848"</f>
        <v>MGI:1914848</v>
      </c>
      <c r="H396" t="str">
        <f>"Uchl5"</f>
        <v>Uchl5</v>
      </c>
      <c r="I396" t="str">
        <f>"ubiquitin carboxyl-terminal esterase L5"</f>
        <v>ubiquitin carboxyl-terminal esterase L5</v>
      </c>
      <c r="J396" t="str">
        <f>"protein coding gene"</f>
        <v>protein coding gene</v>
      </c>
    </row>
    <row r="397" spans="1:10">
      <c r="A397">
        <v>10521690</v>
      </c>
      <c r="B397">
        <v>2.7116764435102501</v>
      </c>
      <c r="C397">
        <v>1.1358904588871199</v>
      </c>
      <c r="E397" t="str">
        <f>"10521690"</f>
        <v>10521690</v>
      </c>
      <c r="F397" t="str">
        <f>"Affy 1.0 ST"</f>
        <v>Affy 1.0 ST</v>
      </c>
      <c r="G397" t="str">
        <f>"MGI:106499"</f>
        <v>MGI:106499</v>
      </c>
      <c r="H397" t="str">
        <f>"Ppih"</f>
        <v>Ppih</v>
      </c>
      <c r="I397" t="str">
        <f>"peptidyl prolyl isomerase H"</f>
        <v>peptidyl prolyl isomerase H</v>
      </c>
      <c r="J397" t="str">
        <f>"protein coding gene"</f>
        <v>protein coding gene</v>
      </c>
    </row>
    <row r="398" spans="1:10">
      <c r="A398">
        <v>10556790</v>
      </c>
      <c r="B398">
        <v>2.7115354169071999</v>
      </c>
      <c r="C398">
        <v>8.9050707280731001E-2</v>
      </c>
      <c r="E398" t="str">
        <f>"10556790"</f>
        <v>10556790</v>
      </c>
      <c r="F398" t="str">
        <f>"Affy 1.0 ST"</f>
        <v>Affy 1.0 ST</v>
      </c>
      <c r="G398" t="str">
        <f>"MGI:1919402"</f>
        <v>MGI:1919402</v>
      </c>
      <c r="H398" t="str">
        <f>"2610020H08Rik"</f>
        <v>2610020H08Rik</v>
      </c>
      <c r="I398" t="str">
        <f>"RIKEN cDNA 2610020H08 gene"</f>
        <v>RIKEN cDNA 2610020H08 gene</v>
      </c>
      <c r="J398" t="str">
        <f>"protein coding gene"</f>
        <v>protein coding gene</v>
      </c>
    </row>
    <row r="399" spans="1:10">
      <c r="A399">
        <v>10339713</v>
      </c>
      <c r="B399">
        <v>2.7011790542348</v>
      </c>
      <c r="C399">
        <v>0.254631885800083</v>
      </c>
      <c r="E399" t="str">
        <f>"10339713"</f>
        <v>10339713</v>
      </c>
      <c r="F399" t="str">
        <f>""</f>
        <v/>
      </c>
      <c r="G399" t="str">
        <f>"No associated gene"</f>
        <v>No associated gene</v>
      </c>
    </row>
    <row r="400" spans="1:10">
      <c r="A400">
        <v>10452658</v>
      </c>
      <c r="B400">
        <v>2.7000990202236701</v>
      </c>
      <c r="C400">
        <v>0.93059152592831695</v>
      </c>
      <c r="E400" t="str">
        <f>"10452658"</f>
        <v>10452658</v>
      </c>
      <c r="F400" t="str">
        <f t="shared" ref="F400:F408" si="27">"Affy 1.0 ST"</f>
        <v>Affy 1.0 ST</v>
      </c>
      <c r="G400" t="str">
        <f>"MGI:1921605"</f>
        <v>MGI:1921605</v>
      </c>
      <c r="H400" t="str">
        <f>"Smchd1"</f>
        <v>Smchd1</v>
      </c>
      <c r="I400" t="str">
        <f>"SMC hinge domain containing 1"</f>
        <v>SMC hinge domain containing 1</v>
      </c>
      <c r="J400" t="str">
        <f>"protein coding gene"</f>
        <v>protein coding gene</v>
      </c>
    </row>
    <row r="401" spans="1:10">
      <c r="A401">
        <v>10576090</v>
      </c>
      <c r="B401">
        <v>2.6964550814766199</v>
      </c>
      <c r="C401">
        <v>0.85606675742552796</v>
      </c>
      <c r="E401" t="str">
        <f>"10576090"</f>
        <v>10576090</v>
      </c>
      <c r="F401" t="str">
        <f t="shared" si="27"/>
        <v>Affy 1.0 ST</v>
      </c>
      <c r="G401" t="str">
        <f>"MGI:1095400"</f>
        <v>MGI:1095400</v>
      </c>
      <c r="H401" t="str">
        <f>"Zfpm1"</f>
        <v>Zfpm1</v>
      </c>
      <c r="I401" t="s">
        <v>80</v>
      </c>
      <c r="J401" t="s">
        <v>155</v>
      </c>
    </row>
    <row r="402" spans="1:10">
      <c r="A402">
        <v>10411974</v>
      </c>
      <c r="B402">
        <v>2.6882464909383401</v>
      </c>
      <c r="C402">
        <v>1.1901788328290901</v>
      </c>
      <c r="E402" t="str">
        <f>"10411974"</f>
        <v>10411974</v>
      </c>
      <c r="F402" t="str">
        <f t="shared" si="27"/>
        <v>Affy 1.0 ST</v>
      </c>
      <c r="G402" t="str">
        <f>"MGI:2442377"</f>
        <v>MGI:2442377</v>
      </c>
      <c r="H402" t="str">
        <f>"Ipo11"</f>
        <v>Ipo11</v>
      </c>
      <c r="I402" t="str">
        <f>"importin 11"</f>
        <v>importin 11</v>
      </c>
      <c r="J402" t="str">
        <f>"protein coding gene"</f>
        <v>protein coding gene</v>
      </c>
    </row>
    <row r="403" spans="1:10">
      <c r="A403">
        <v>10605055</v>
      </c>
      <c r="B403">
        <v>2.68730018857956</v>
      </c>
      <c r="C403">
        <v>0.48120492222424599</v>
      </c>
      <c r="E403" t="str">
        <f>"10605055"</f>
        <v>10605055</v>
      </c>
      <c r="F403" t="str">
        <f t="shared" si="27"/>
        <v>Affy 1.0 ST</v>
      </c>
      <c r="G403" t="str">
        <f>"MGI:1920988"</f>
        <v>MGI:1920988</v>
      </c>
      <c r="H403" t="str">
        <f>"Haus7"</f>
        <v>Haus7</v>
      </c>
      <c r="I403" t="s">
        <v>81</v>
      </c>
      <c r="J403" t="s">
        <v>155</v>
      </c>
    </row>
    <row r="404" spans="1:10">
      <c r="A404">
        <v>10567022</v>
      </c>
      <c r="B404">
        <v>2.6845045271434498</v>
      </c>
      <c r="C404">
        <v>0.84996260006400803</v>
      </c>
      <c r="E404" t="str">
        <f>"10567022"</f>
        <v>10567022</v>
      </c>
      <c r="F404" t="str">
        <f t="shared" si="27"/>
        <v>Affy 1.0 ST</v>
      </c>
      <c r="G404" t="str">
        <f>"MGI:1916065"</f>
        <v>MGI:1916065</v>
      </c>
      <c r="H404" t="str">
        <f>"Btbd10"</f>
        <v>Btbd10</v>
      </c>
      <c r="I404" t="str">
        <f>"BTB (POZ) domain containing 10"</f>
        <v>BTB (POZ) domain containing 10</v>
      </c>
      <c r="J404" t="str">
        <f>"protein coding gene"</f>
        <v>protein coding gene</v>
      </c>
    </row>
    <row r="405" spans="1:10">
      <c r="A405">
        <v>10393844</v>
      </c>
      <c r="B405">
        <v>2.68204236399139</v>
      </c>
      <c r="C405">
        <v>0.85206054117933305</v>
      </c>
      <c r="E405" t="str">
        <f>"10393844"</f>
        <v>10393844</v>
      </c>
      <c r="F405" t="str">
        <f t="shared" si="27"/>
        <v>Affy 1.0 ST</v>
      </c>
      <c r="G405" t="str">
        <f>"MGI:1341044"</f>
        <v>MGI:1341044</v>
      </c>
      <c r="H405" t="str">
        <f>"Thoc4"</f>
        <v>Thoc4</v>
      </c>
      <c r="I405" t="str">
        <f>"THO complex 4"</f>
        <v>THO complex 4</v>
      </c>
      <c r="J405" t="str">
        <f>"protein coding gene"</f>
        <v>protein coding gene</v>
      </c>
    </row>
    <row r="406" spans="1:10">
      <c r="A406">
        <v>10495316</v>
      </c>
      <c r="B406">
        <v>2.6794263920517301</v>
      </c>
      <c r="C406">
        <v>0.48475543146493799</v>
      </c>
      <c r="E406" t="str">
        <f>"10495316"</f>
        <v>10495316</v>
      </c>
      <c r="F406" t="str">
        <f t="shared" si="27"/>
        <v>Affy 1.0 ST</v>
      </c>
      <c r="G406" t="str">
        <f>"MGI:1913099"</f>
        <v>MGI:1913099</v>
      </c>
      <c r="H406" t="str">
        <f>"Psrc1"</f>
        <v>Psrc1</v>
      </c>
      <c r="I406" t="str">
        <f>"proline/serine-rich coiled-coil 1"</f>
        <v>proline/serine-rich coiled-coil 1</v>
      </c>
      <c r="J406" t="str">
        <f>"protein coding gene"</f>
        <v>protein coding gene</v>
      </c>
    </row>
    <row r="407" spans="1:10">
      <c r="A407">
        <v>10551822</v>
      </c>
      <c r="B407">
        <v>2.6702128030448402</v>
      </c>
      <c r="C407">
        <v>0.19687625274370801</v>
      </c>
      <c r="E407" t="str">
        <f>"10551822"</f>
        <v>10551822</v>
      </c>
      <c r="F407" t="str">
        <f t="shared" si="27"/>
        <v>Affy 1.0 ST</v>
      </c>
      <c r="G407" t="str">
        <f>"MGI:3588204"</f>
        <v>MGI:3588204</v>
      </c>
      <c r="H407" t="str">
        <f>"Zfp382"</f>
        <v>Zfp382</v>
      </c>
      <c r="I407" t="str">
        <f>"zinc finger protein 382"</f>
        <v>zinc finger protein 382</v>
      </c>
      <c r="J407" t="str">
        <f>"protein coding gene"</f>
        <v>protein coding gene</v>
      </c>
    </row>
    <row r="408" spans="1:10">
      <c r="A408">
        <v>10552118</v>
      </c>
      <c r="B408">
        <v>2.6651700651769601</v>
      </c>
      <c r="C408">
        <v>0.41175180526439298</v>
      </c>
      <c r="E408" t="str">
        <f>"10552118"</f>
        <v>10552118</v>
      </c>
      <c r="F408" t="str">
        <f t="shared" si="27"/>
        <v>Affy 1.0 ST</v>
      </c>
      <c r="G408" t="str">
        <f>"MGI:3649708"</f>
        <v>MGI:3649708</v>
      </c>
      <c r="H408" t="str">
        <f>"Gm12755"</f>
        <v>Gm12755</v>
      </c>
      <c r="I408" t="str">
        <f>"predicted gene 12755"</f>
        <v>predicted gene 12755</v>
      </c>
      <c r="J408" t="str">
        <f>"pseudogene"</f>
        <v>pseudogene</v>
      </c>
    </row>
    <row r="409" spans="1:10">
      <c r="A409">
        <v>10339750</v>
      </c>
      <c r="B409">
        <v>2.6618892279502901</v>
      </c>
      <c r="C409">
        <v>0.51908582649826995</v>
      </c>
      <c r="E409" t="str">
        <f>"10339750"</f>
        <v>10339750</v>
      </c>
      <c r="F409" t="str">
        <f>""</f>
        <v/>
      </c>
      <c r="G409" t="str">
        <f>"No associated gene"</f>
        <v>No associated gene</v>
      </c>
    </row>
    <row r="410" spans="1:10">
      <c r="A410">
        <v>10430032</v>
      </c>
      <c r="B410">
        <v>2.6613281457837998</v>
      </c>
      <c r="C410">
        <v>0.96391339300140599</v>
      </c>
      <c r="E410" t="str">
        <f>"10430032"</f>
        <v>10430032</v>
      </c>
      <c r="F410" t="str">
        <f t="shared" ref="F410:F435" si="28">"Affy 1.0 ST"</f>
        <v>Affy 1.0 ST</v>
      </c>
      <c r="G410" t="str">
        <f>"MGI:1919999"</f>
        <v>MGI:1919999</v>
      </c>
      <c r="H410" t="str">
        <f>"Tonsl"</f>
        <v>Tonsl</v>
      </c>
      <c r="I410" t="s">
        <v>82</v>
      </c>
      <c r="J410" t="s">
        <v>155</v>
      </c>
    </row>
    <row r="411" spans="1:10">
      <c r="A411">
        <v>10381334</v>
      </c>
      <c r="B411">
        <v>2.6603052959301099</v>
      </c>
      <c r="C411">
        <v>0.58247367105163195</v>
      </c>
      <c r="E411" t="str">
        <f>"10381334"</f>
        <v>10381334</v>
      </c>
      <c r="F411" t="str">
        <f t="shared" si="28"/>
        <v>Affy 1.0 ST</v>
      </c>
      <c r="G411" t="str">
        <f>"MGI:1923965"</f>
        <v>MGI:1923965</v>
      </c>
      <c r="H411" t="str">
        <f>"Cntd1"</f>
        <v>Cntd1</v>
      </c>
      <c r="I411" t="str">
        <f>"cyclin N-terminal domain containing 1"</f>
        <v>cyclin N-terminal domain containing 1</v>
      </c>
      <c r="J411" t="str">
        <f>"protein coding gene"</f>
        <v>protein coding gene</v>
      </c>
    </row>
    <row r="412" spans="1:10">
      <c r="A412">
        <v>10410756</v>
      </c>
      <c r="B412">
        <v>2.6598275956855399</v>
      </c>
      <c r="C412">
        <v>0.82119398658174803</v>
      </c>
      <c r="E412" t="str">
        <f>"10410756"</f>
        <v>10410756</v>
      </c>
      <c r="F412" t="str">
        <f t="shared" si="28"/>
        <v>Affy 1.0 ST</v>
      </c>
      <c r="G412" t="str">
        <f>"MGI:2145448"</f>
        <v>MGI:2145448</v>
      </c>
      <c r="H412" t="str">
        <f>"Ankrd32"</f>
        <v>Ankrd32</v>
      </c>
      <c r="I412" t="str">
        <f>"ankyrin repeat domain 32"</f>
        <v>ankyrin repeat domain 32</v>
      </c>
      <c r="J412" t="str">
        <f>"protein coding gene"</f>
        <v>protein coding gene</v>
      </c>
    </row>
    <row r="413" spans="1:10">
      <c r="A413">
        <v>10448975</v>
      </c>
      <c r="B413">
        <v>2.65633268716791</v>
      </c>
      <c r="C413">
        <v>0.56095807140786003</v>
      </c>
      <c r="E413" t="str">
        <f>"10448975"</f>
        <v>10448975</v>
      </c>
      <c r="F413" t="str">
        <f t="shared" si="28"/>
        <v>Affy 1.0 ST</v>
      </c>
      <c r="G413" t="str">
        <f>"MGI:2384887"</f>
        <v>MGI:2384887</v>
      </c>
      <c r="H413" t="str">
        <f>"Chtf18"</f>
        <v>Chtf18</v>
      </c>
      <c r="I413" t="s">
        <v>83</v>
      </c>
      <c r="J413" t="s">
        <v>155</v>
      </c>
    </row>
    <row r="414" spans="1:10">
      <c r="A414">
        <v>10563649</v>
      </c>
      <c r="B414">
        <v>2.6560894752348401</v>
      </c>
      <c r="C414">
        <v>0.42895943072509302</v>
      </c>
      <c r="E414" t="str">
        <f>"10563649"</f>
        <v>10563649</v>
      </c>
      <c r="F414" t="str">
        <f t="shared" si="28"/>
        <v>Affy 1.0 ST</v>
      </c>
      <c r="G414" t="str">
        <f>"MGI:1860490"</f>
        <v>MGI:1860490</v>
      </c>
      <c r="H414" t="str">
        <f>"Uevld"</f>
        <v>Uevld</v>
      </c>
      <c r="I414" t="str">
        <f>"UEV and lactate/malate dehyrogenase domains"</f>
        <v>UEV and lactate/malate dehyrogenase domains</v>
      </c>
      <c r="J414" t="str">
        <f t="shared" ref="J414:J420" si="29">"protein coding gene"</f>
        <v>protein coding gene</v>
      </c>
    </row>
    <row r="415" spans="1:10">
      <c r="A415">
        <v>10455813</v>
      </c>
      <c r="B415">
        <v>2.6559590773114001</v>
      </c>
      <c r="C415">
        <v>0.85185987412645603</v>
      </c>
      <c r="E415" t="str">
        <f>"10455813"</f>
        <v>10455813</v>
      </c>
      <c r="F415" t="str">
        <f t="shared" si="28"/>
        <v>Affy 1.0 ST</v>
      </c>
      <c r="G415" t="str">
        <f>"MGI:96795"</f>
        <v>MGI:96795</v>
      </c>
      <c r="H415" t="str">
        <f>"Lmnb1"</f>
        <v>Lmnb1</v>
      </c>
      <c r="I415" t="str">
        <f>"lamin B1"</f>
        <v>lamin B1</v>
      </c>
      <c r="J415" t="str">
        <f t="shared" si="29"/>
        <v>protein coding gene</v>
      </c>
    </row>
    <row r="416" spans="1:10">
      <c r="A416">
        <v>10413574</v>
      </c>
      <c r="B416">
        <v>2.6384509655556201</v>
      </c>
      <c r="C416">
        <v>0.60932560419384696</v>
      </c>
      <c r="E416" t="str">
        <f>"10413574"</f>
        <v>10413574</v>
      </c>
      <c r="F416" t="str">
        <f t="shared" si="28"/>
        <v>Affy 1.0 ST</v>
      </c>
      <c r="G416" t="str">
        <f>"MGI:1859609"</f>
        <v>MGI:1859609</v>
      </c>
      <c r="H416" t="str">
        <f>"Sfmbt1"</f>
        <v>Sfmbt1</v>
      </c>
      <c r="I416" t="str">
        <f>"Scm-like with four mbt domains 1"</f>
        <v>Scm-like with four mbt domains 1</v>
      </c>
      <c r="J416" t="str">
        <f t="shared" si="29"/>
        <v>protein coding gene</v>
      </c>
    </row>
    <row r="417" spans="1:10">
      <c r="A417">
        <v>10582981</v>
      </c>
      <c r="B417">
        <v>2.6365232509152801</v>
      </c>
      <c r="C417">
        <v>1.1714947312724</v>
      </c>
      <c r="E417" t="str">
        <f>"10582981"</f>
        <v>10582981</v>
      </c>
      <c r="F417" t="str">
        <f t="shared" si="28"/>
        <v>Affy 1.0 ST</v>
      </c>
      <c r="G417" t="str">
        <f>"MGI:101934"</f>
        <v>MGI:101934</v>
      </c>
      <c r="H417" t="str">
        <f>"Tfdp1"</f>
        <v>Tfdp1</v>
      </c>
      <c r="I417" t="str">
        <f>"transcription factor Dp 1"</f>
        <v>transcription factor Dp 1</v>
      </c>
      <c r="J417" t="str">
        <f t="shared" si="29"/>
        <v>protein coding gene</v>
      </c>
    </row>
    <row r="418" spans="1:10">
      <c r="A418">
        <v>10363312</v>
      </c>
      <c r="B418">
        <v>2.6362653159632101</v>
      </c>
      <c r="C418">
        <v>0.490723016257957</v>
      </c>
      <c r="E418" t="str">
        <f>"10363312"</f>
        <v>10363312</v>
      </c>
      <c r="F418" t="str">
        <f t="shared" si="28"/>
        <v>Affy 1.0 ST</v>
      </c>
      <c r="G418" t="str">
        <f>"MGI:1923388"</f>
        <v>MGI:1923388</v>
      </c>
      <c r="H418" t="str">
        <f>"Ccdc138"</f>
        <v>Ccdc138</v>
      </c>
      <c r="I418" t="str">
        <f>"coiled-coil domain containing 138"</f>
        <v>coiled-coil domain containing 138</v>
      </c>
      <c r="J418" t="str">
        <f t="shared" si="29"/>
        <v>protein coding gene</v>
      </c>
    </row>
    <row r="419" spans="1:10">
      <c r="A419">
        <v>10453252</v>
      </c>
      <c r="B419">
        <v>2.6331393042513098</v>
      </c>
      <c r="C419">
        <v>0.30934387595247298</v>
      </c>
      <c r="E419" t="str">
        <f>"10453252"</f>
        <v>10453252</v>
      </c>
      <c r="F419" t="str">
        <f t="shared" si="28"/>
        <v>Affy 1.0 ST</v>
      </c>
      <c r="G419" t="str">
        <f>"MGI:96113"</f>
        <v>MGI:96113</v>
      </c>
      <c r="H419" t="str">
        <f>"Hmgb1"</f>
        <v>Hmgb1</v>
      </c>
      <c r="I419" t="str">
        <f>"high mobility group box 1"</f>
        <v>high mobility group box 1</v>
      </c>
      <c r="J419" t="str">
        <f t="shared" si="29"/>
        <v>protein coding gene</v>
      </c>
    </row>
    <row r="420" spans="1:10">
      <c r="A420">
        <v>10572605</v>
      </c>
      <c r="B420">
        <v>2.6301543650174102</v>
      </c>
      <c r="C420">
        <v>0.84623674042103003</v>
      </c>
      <c r="E420" t="str">
        <f>"10572605"</f>
        <v>10572605</v>
      </c>
      <c r="F420" t="str">
        <f t="shared" si="28"/>
        <v>Affy 1.0 ST</v>
      </c>
      <c r="G420" t="str">
        <f>"MGI:1918775"</f>
        <v>MGI:1918775</v>
      </c>
      <c r="H420" t="str">
        <f>"Ankle1"</f>
        <v>Ankle1</v>
      </c>
      <c r="I420" t="str">
        <f>"ankyrin repeat and LEM domain containing 1"</f>
        <v>ankyrin repeat and LEM domain containing 1</v>
      </c>
      <c r="J420" t="str">
        <f t="shared" si="29"/>
        <v>protein coding gene</v>
      </c>
    </row>
    <row r="421" spans="1:10">
      <c r="A421">
        <v>10501690</v>
      </c>
      <c r="B421">
        <v>2.6237839744184099</v>
      </c>
      <c r="C421">
        <v>1.0016569173694501</v>
      </c>
      <c r="E421" t="str">
        <f>"10501690"</f>
        <v>10501690</v>
      </c>
      <c r="F421" t="str">
        <f t="shared" si="28"/>
        <v>Affy 1.0 ST</v>
      </c>
      <c r="G421" t="str">
        <f>"MGI:1917648"</f>
        <v>MGI:1917648</v>
      </c>
      <c r="H421" t="str">
        <f>"Slc35a3"</f>
        <v>Slc35a3</v>
      </c>
      <c r="I421" t="s">
        <v>84</v>
      </c>
      <c r="J421" t="s">
        <v>155</v>
      </c>
    </row>
    <row r="422" spans="1:10">
      <c r="A422">
        <v>10348521</v>
      </c>
      <c r="B422">
        <v>2.6103146000894499</v>
      </c>
      <c r="C422">
        <v>0.54515940187692902</v>
      </c>
      <c r="E422" t="str">
        <f>"10348521"</f>
        <v>10348521</v>
      </c>
      <c r="F422" t="str">
        <f t="shared" si="28"/>
        <v>Affy 1.0 ST</v>
      </c>
      <c r="G422" t="str">
        <f>"MGI:2685663"</f>
        <v>MGI:2685663</v>
      </c>
      <c r="H422" t="str">
        <f>"Rbm44"</f>
        <v>Rbm44</v>
      </c>
      <c r="I422" t="str">
        <f>"RNA binding motif protein 44"</f>
        <v>RNA binding motif protein 44</v>
      </c>
      <c r="J422" t="str">
        <f>"protein coding gene"</f>
        <v>protein coding gene</v>
      </c>
    </row>
    <row r="423" spans="1:10">
      <c r="A423">
        <v>10473230</v>
      </c>
      <c r="B423">
        <v>2.59893034195674</v>
      </c>
      <c r="C423">
        <v>0.25667972326208299</v>
      </c>
      <c r="E423" t="str">
        <f>"10473230"</f>
        <v>10473230</v>
      </c>
      <c r="F423" t="str">
        <f t="shared" si="28"/>
        <v>Affy 1.0 ST</v>
      </c>
      <c r="G423" t="str">
        <f>"MGI:1916732"</f>
        <v>MGI:1916732</v>
      </c>
      <c r="H423" t="str">
        <f>"Nup35"</f>
        <v>Nup35</v>
      </c>
      <c r="I423" t="str">
        <f>"nucleoporin 35"</f>
        <v>nucleoporin 35</v>
      </c>
      <c r="J423" t="str">
        <f>"protein coding gene"</f>
        <v>protein coding gene</v>
      </c>
    </row>
    <row r="424" spans="1:10">
      <c r="A424">
        <v>10461930</v>
      </c>
      <c r="B424">
        <v>2.5932831038825301</v>
      </c>
      <c r="C424">
        <v>0.76108698804681596</v>
      </c>
      <c r="E424" t="str">
        <f>"10461930"</f>
        <v>10461930</v>
      </c>
      <c r="F424" t="str">
        <f t="shared" si="28"/>
        <v>Affy 1.0 ST</v>
      </c>
      <c r="G424" t="str">
        <f>"MGI:3583960"</f>
        <v>MGI:3583960</v>
      </c>
      <c r="H424" t="str">
        <f>"D030056L22Rik"</f>
        <v>D030056L22Rik</v>
      </c>
      <c r="I424" t="str">
        <f>"RIKEN cDNA D030056L22 gene"</f>
        <v>RIKEN cDNA D030056L22 gene</v>
      </c>
      <c r="J424" t="str">
        <f>"protein coding gene"</f>
        <v>protein coding gene</v>
      </c>
    </row>
    <row r="425" spans="1:10">
      <c r="A425">
        <v>10440794</v>
      </c>
      <c r="B425">
        <v>2.5861276624490799</v>
      </c>
      <c r="C425">
        <v>0.70248439479677804</v>
      </c>
      <c r="E425" t="str">
        <f>"10440794"</f>
        <v>10440794</v>
      </c>
      <c r="F425" t="str">
        <f t="shared" si="28"/>
        <v>Affy 1.0 ST</v>
      </c>
      <c r="G425" t="str">
        <f>"MGI:1913828"</f>
        <v>MGI:1913828</v>
      </c>
      <c r="H425" t="str">
        <f>"2610039C10Rik"</f>
        <v>2610039C10Rik</v>
      </c>
      <c r="I425" t="str">
        <f>"RIKEN cDNA 2610039C10 gene"</f>
        <v>RIKEN cDNA 2610039C10 gene</v>
      </c>
      <c r="J425" t="str">
        <f>"protein coding gene"</f>
        <v>protein coding gene</v>
      </c>
    </row>
    <row r="426" spans="1:10">
      <c r="A426">
        <v>10359770</v>
      </c>
      <c r="B426">
        <v>2.5818781222657101</v>
      </c>
      <c r="C426">
        <v>0.69706579140760405</v>
      </c>
      <c r="E426" t="str">
        <f>"10359770"</f>
        <v>10359770</v>
      </c>
      <c r="F426" t="str">
        <f t="shared" si="28"/>
        <v>Affy 1.0 ST</v>
      </c>
      <c r="G426" t="str">
        <f>"MGI:101898"</f>
        <v>MGI:101898</v>
      </c>
      <c r="H426" t="str">
        <f>"Pou2f1"</f>
        <v>Pou2f1</v>
      </c>
      <c r="I426" t="s">
        <v>85</v>
      </c>
      <c r="J426" t="s">
        <v>155</v>
      </c>
    </row>
    <row r="427" spans="1:10">
      <c r="A427">
        <v>10346549</v>
      </c>
      <c r="B427">
        <v>2.5793102786761799</v>
      </c>
      <c r="C427">
        <v>0.98121790042810597</v>
      </c>
      <c r="E427" t="str">
        <f>"10346549"</f>
        <v>10346549</v>
      </c>
      <c r="F427" t="str">
        <f t="shared" si="28"/>
        <v>Affy 1.0 ST</v>
      </c>
      <c r="G427" t="str">
        <f>"MGI:108515"</f>
        <v>MGI:108515</v>
      </c>
      <c r="H427" t="str">
        <f>"Cbx3"</f>
        <v>Cbx3</v>
      </c>
      <c r="I427" t="str">
        <f>"chromobox homolog 3 (Drosophila HP1 gamma)"</f>
        <v>chromobox homolog 3 (Drosophila HP1 gamma)</v>
      </c>
      <c r="J427" t="str">
        <f>"protein coding gene"</f>
        <v>protein coding gene</v>
      </c>
    </row>
    <row r="428" spans="1:10">
      <c r="A428">
        <v>10377380</v>
      </c>
      <c r="B428">
        <v>2.5755331474216301</v>
      </c>
      <c r="C428">
        <v>1.1026328173087601</v>
      </c>
      <c r="E428" t="str">
        <f>"10377380"</f>
        <v>10377380</v>
      </c>
      <c r="F428" t="str">
        <f t="shared" si="28"/>
        <v>Affy 1.0 ST</v>
      </c>
      <c r="G428" t="str">
        <f>"MGI:1916214"</f>
        <v>MGI:1916214</v>
      </c>
      <c r="H428" t="str">
        <f>"1500010J02Rik"</f>
        <v>1500010J02Rik</v>
      </c>
      <c r="I428" t="str">
        <f>"RIKEN cDNA 1500010J02 gene"</f>
        <v>RIKEN cDNA 1500010J02 gene</v>
      </c>
      <c r="J428" t="str">
        <f>"protein coding gene"</f>
        <v>protein coding gene</v>
      </c>
    </row>
    <row r="429" spans="1:10">
      <c r="A429">
        <v>10373407</v>
      </c>
      <c r="B429">
        <v>2.5688926688674898</v>
      </c>
      <c r="C429">
        <v>0.82896902353173596</v>
      </c>
      <c r="E429" t="str">
        <f>"10373407"</f>
        <v>10373407</v>
      </c>
      <c r="F429" t="str">
        <f t="shared" si="28"/>
        <v>Affy 1.0 ST</v>
      </c>
      <c r="G429" t="str">
        <f>"MGI:1344426"</f>
        <v>MGI:1344426</v>
      </c>
      <c r="H429" t="str">
        <f>"Esyt1"</f>
        <v>Esyt1</v>
      </c>
      <c r="I429" t="str">
        <f>"extended synaptotagmin-like protein 1"</f>
        <v>extended synaptotagmin-like protein 1</v>
      </c>
      <c r="J429" t="str">
        <f>"protein coding gene"</f>
        <v>protein coding gene</v>
      </c>
    </row>
    <row r="430" spans="1:10">
      <c r="A430">
        <v>10389421</v>
      </c>
      <c r="B430">
        <v>2.5641674922537501</v>
      </c>
      <c r="C430">
        <v>0.58384691719411697</v>
      </c>
      <c r="E430" t="str">
        <f>"10389421"</f>
        <v>10389421</v>
      </c>
      <c r="F430" t="str">
        <f t="shared" si="28"/>
        <v>Affy 1.0 ST</v>
      </c>
      <c r="G430" t="str">
        <f>"MGI:1917672"</f>
        <v>MGI:1917672</v>
      </c>
      <c r="H430" t="str">
        <f>"Ints2"</f>
        <v>Ints2</v>
      </c>
      <c r="I430" t="str">
        <f>"integrator complex subunit 2"</f>
        <v>integrator complex subunit 2</v>
      </c>
      <c r="J430" t="str">
        <f>"protein coding gene"</f>
        <v>protein coding gene</v>
      </c>
    </row>
    <row r="431" spans="1:10">
      <c r="A431">
        <v>10463739</v>
      </c>
      <c r="B431">
        <v>2.5484212805276898</v>
      </c>
      <c r="C431">
        <v>0.48120178696736798</v>
      </c>
      <c r="E431" t="str">
        <f>"10463739"</f>
        <v>10463739</v>
      </c>
      <c r="F431" t="str">
        <f t="shared" si="28"/>
        <v>Affy 1.0 ST</v>
      </c>
      <c r="G431" t="str">
        <f>"MGI:2442144"</f>
        <v>MGI:2442144</v>
      </c>
      <c r="H431" t="str">
        <f>"Taf5"</f>
        <v>Taf5</v>
      </c>
      <c r="I431" t="s">
        <v>86</v>
      </c>
      <c r="J431" t="s">
        <v>155</v>
      </c>
    </row>
    <row r="432" spans="1:10">
      <c r="A432">
        <v>10348004</v>
      </c>
      <c r="B432">
        <v>2.54237848807254</v>
      </c>
      <c r="C432">
        <v>0.98663899286299905</v>
      </c>
      <c r="E432" t="str">
        <f>"10348004"</f>
        <v>10348004</v>
      </c>
      <c r="F432" t="str">
        <f t="shared" si="28"/>
        <v>Affy 1.0 ST</v>
      </c>
      <c r="G432" t="str">
        <f>"MGI:1917497"</f>
        <v>MGI:1917497</v>
      </c>
      <c r="H432" t="str">
        <f>"Psmd1"</f>
        <v>Psmd1</v>
      </c>
      <c r="I432" t="s">
        <v>87</v>
      </c>
      <c r="J432" t="s">
        <v>155</v>
      </c>
    </row>
    <row r="433" spans="1:10">
      <c r="A433">
        <v>10362245</v>
      </c>
      <c r="B433">
        <v>2.5336787041433402</v>
      </c>
      <c r="C433">
        <v>0.548067867009146</v>
      </c>
      <c r="E433" t="str">
        <f>"10362245"</f>
        <v>10362245</v>
      </c>
      <c r="F433" t="str">
        <f t="shared" si="28"/>
        <v>Affy 1.0 ST</v>
      </c>
      <c r="G433" t="str">
        <f>"MGI:103009"</f>
        <v>MGI:103009</v>
      </c>
      <c r="H433" t="str">
        <f>"Epb4.1l2"</f>
        <v>Epb4.1l2</v>
      </c>
      <c r="I433" t="str">
        <f>"erythrocyte protein band 4.1-like 2"</f>
        <v>erythrocyte protein band 4.1-like 2</v>
      </c>
      <c r="J433" t="str">
        <f>"protein coding gene"</f>
        <v>protein coding gene</v>
      </c>
    </row>
    <row r="434" spans="1:10">
      <c r="A434">
        <v>10450605</v>
      </c>
      <c r="B434">
        <v>2.5324962083337601</v>
      </c>
      <c r="C434">
        <v>0.95253861258731598</v>
      </c>
      <c r="E434" t="str">
        <f>"10450605"</f>
        <v>10450605</v>
      </c>
      <c r="F434" t="str">
        <f t="shared" si="28"/>
        <v>Affy 1.0 ST</v>
      </c>
      <c r="G434" t="str">
        <f>"MGI:107812"</f>
        <v>MGI:107812</v>
      </c>
      <c r="H434" t="str">
        <f>"Tubb5"</f>
        <v>Tubb5</v>
      </c>
      <c r="I434" t="s">
        <v>88</v>
      </c>
      <c r="J434" t="s">
        <v>155</v>
      </c>
    </row>
    <row r="435" spans="1:10">
      <c r="A435">
        <v>10376455</v>
      </c>
      <c r="B435">
        <v>2.5307858908190299</v>
      </c>
      <c r="C435">
        <v>0.35464284335868801</v>
      </c>
      <c r="E435" t="str">
        <f>"10376455"</f>
        <v>10376455</v>
      </c>
      <c r="F435" t="str">
        <f t="shared" si="28"/>
        <v>Affy 1.0 ST</v>
      </c>
      <c r="G435" t="str">
        <f>"MGI:2448458"</f>
        <v>MGI:2448458</v>
      </c>
      <c r="H435" t="str">
        <f>"Hist3h2a"</f>
        <v>Hist3h2a</v>
      </c>
      <c r="I435" t="s">
        <v>89</v>
      </c>
      <c r="J435" t="s">
        <v>155</v>
      </c>
    </row>
    <row r="436" spans="1:10">
      <c r="A436">
        <v>10399036</v>
      </c>
      <c r="B436">
        <v>2.5303495470319102</v>
      </c>
      <c r="C436">
        <v>0.86964606721376203</v>
      </c>
      <c r="E436" t="str">
        <f>"10399036"</f>
        <v>10399036</v>
      </c>
      <c r="F436" t="str">
        <f>""</f>
        <v/>
      </c>
      <c r="G436" t="str">
        <f>"No associated gene"</f>
        <v>No associated gene</v>
      </c>
    </row>
    <row r="437" spans="1:10">
      <c r="A437">
        <v>10514201</v>
      </c>
      <c r="B437">
        <v>2.5300368744039199</v>
      </c>
      <c r="C437">
        <v>0.62586142259638</v>
      </c>
      <c r="E437" t="str">
        <f>"10514201"</f>
        <v>10514201</v>
      </c>
      <c r="F437" t="str">
        <f>"Affy 1.0 ST"</f>
        <v>Affy 1.0 ST</v>
      </c>
      <c r="G437" t="str">
        <f>"MGI:1923389"</f>
        <v>MGI:1923389</v>
      </c>
      <c r="H437" t="str">
        <f>"Haus6"</f>
        <v>Haus6</v>
      </c>
      <c r="I437" t="s">
        <v>90</v>
      </c>
      <c r="J437" t="s">
        <v>155</v>
      </c>
    </row>
    <row r="438" spans="1:10">
      <c r="A438">
        <v>10344817</v>
      </c>
      <c r="B438">
        <v>2.52898787078861</v>
      </c>
      <c r="C438">
        <v>0.344841674674845</v>
      </c>
      <c r="E438" t="str">
        <f>"10344817"</f>
        <v>10344817</v>
      </c>
      <c r="F438" t="str">
        <f>"Affy 1.0 ST"</f>
        <v>Affy 1.0 ST</v>
      </c>
      <c r="G438" t="str">
        <f>"MGI:2681832"</f>
        <v>MGI:2681832</v>
      </c>
      <c r="H438" t="str">
        <f>"Cspp1"</f>
        <v>Cspp1</v>
      </c>
      <c r="I438" t="str">
        <f>"centrosome and spindle pole associated protein 1"</f>
        <v>centrosome and spindle pole associated protein 1</v>
      </c>
      <c r="J438" t="str">
        <f>"protein coding gene"</f>
        <v>protein coding gene</v>
      </c>
    </row>
    <row r="439" spans="1:10">
      <c r="A439">
        <v>10410743</v>
      </c>
      <c r="B439">
        <v>2.5207966630525198</v>
      </c>
      <c r="C439">
        <v>0.77747919055604098</v>
      </c>
      <c r="E439" t="str">
        <f>"10410743"</f>
        <v>10410743</v>
      </c>
      <c r="F439" t="str">
        <f>"Affy 1.0 ST"</f>
        <v>Affy 1.0 ST</v>
      </c>
      <c r="G439" t="str">
        <f>"MGI:2145448"</f>
        <v>MGI:2145448</v>
      </c>
      <c r="H439" t="str">
        <f>"Ankrd32"</f>
        <v>Ankrd32</v>
      </c>
      <c r="I439" t="str">
        <f>"ankyrin repeat domain 32"</f>
        <v>ankyrin repeat domain 32</v>
      </c>
      <c r="J439" t="str">
        <f>"protein coding gene"</f>
        <v>protein coding gene</v>
      </c>
    </row>
    <row r="440" spans="1:10">
      <c r="A440">
        <v>10411915</v>
      </c>
      <c r="B440">
        <v>2.5198433558856701</v>
      </c>
      <c r="C440">
        <v>0.39598157638082199</v>
      </c>
      <c r="E440" t="str">
        <f>"10411915"</f>
        <v>10411915</v>
      </c>
      <c r="F440" t="str">
        <f>"Affy 1.0 ST"</f>
        <v>Affy 1.0 ST</v>
      </c>
      <c r="G440" t="str">
        <f>"MGI:2443069"</f>
        <v>MGI:2443069</v>
      </c>
      <c r="H440" t="str">
        <f>"Ppwd1"</f>
        <v>Ppwd1</v>
      </c>
      <c r="I440" t="str">
        <f>"peptidylprolyl isomerase domain and WD repeat containing 1"</f>
        <v>peptidylprolyl isomerase domain and WD repeat containing 1</v>
      </c>
      <c r="J440" t="str">
        <f>"protein coding gene"</f>
        <v>protein coding gene</v>
      </c>
    </row>
    <row r="441" spans="1:10">
      <c r="A441">
        <v>10408329</v>
      </c>
      <c r="B441">
        <v>2.5146552714364701</v>
      </c>
      <c r="C441">
        <v>0.55898860669454298</v>
      </c>
      <c r="E441" t="str">
        <f>"10408329"</f>
        <v>10408329</v>
      </c>
      <c r="F441" t="str">
        <f>""</f>
        <v/>
      </c>
      <c r="G441" t="str">
        <f>"No associated gene"</f>
        <v>No associated gene</v>
      </c>
    </row>
    <row r="442" spans="1:10">
      <c r="A442">
        <v>10347386</v>
      </c>
      <c r="B442">
        <v>2.5144155749291399</v>
      </c>
      <c r="C442">
        <v>0.85604137431000804</v>
      </c>
      <c r="E442" t="str">
        <f>"10347386"</f>
        <v>10347386</v>
      </c>
      <c r="F442" t="str">
        <f t="shared" ref="F442:F454" si="30">"Affy 1.0 ST"</f>
        <v>Affy 1.0 ST</v>
      </c>
      <c r="G442" t="str">
        <f>"MGI:1928902"</f>
        <v>MGI:1928902</v>
      </c>
      <c r="H442" t="str">
        <f>"Rqcd1"</f>
        <v>Rqcd1</v>
      </c>
      <c r="I442" t="str">
        <f>"rcd1 (required for cell differentiation) homolog 1 (S. pombe)"</f>
        <v>rcd1 (required for cell differentiation) homolog 1 (S. pombe)</v>
      </c>
      <c r="J442" t="str">
        <f>"protein coding gene"</f>
        <v>protein coding gene</v>
      </c>
    </row>
    <row r="443" spans="1:10">
      <c r="A443">
        <v>10531707</v>
      </c>
      <c r="B443">
        <v>2.51190762212986</v>
      </c>
      <c r="C443">
        <v>0.78528908226002103</v>
      </c>
      <c r="E443" t="str">
        <f>"10531707"</f>
        <v>10531707</v>
      </c>
      <c r="F443" t="str">
        <f t="shared" si="30"/>
        <v>Affy 1.0 ST</v>
      </c>
      <c r="G443" t="str">
        <f>"MGI:2140902"</f>
        <v>MGI:2140902</v>
      </c>
      <c r="H443" t="str">
        <f>"Lin54"</f>
        <v>Lin54</v>
      </c>
      <c r="I443" t="str">
        <f>"lin-54 homolog (C. elegans)"</f>
        <v>lin-54 homolog (C. elegans)</v>
      </c>
      <c r="J443" t="str">
        <f>"protein coding gene"</f>
        <v>protein coding gene</v>
      </c>
    </row>
    <row r="444" spans="1:10">
      <c r="A444">
        <v>10495873</v>
      </c>
      <c r="B444">
        <v>2.5100161639566498</v>
      </c>
      <c r="C444">
        <v>1.1049855563339099</v>
      </c>
      <c r="E444" t="str">
        <f>"10495873"</f>
        <v>10495873</v>
      </c>
      <c r="F444" t="str">
        <f t="shared" si="30"/>
        <v>Affy 1.0 ST</v>
      </c>
      <c r="G444" t="str">
        <f>"MGI:97803"</f>
        <v>MGI:97803</v>
      </c>
      <c r="H444" t="str">
        <f>"Ptma"</f>
        <v>Ptma</v>
      </c>
      <c r="I444" t="str">
        <f>"prothymosin alpha"</f>
        <v>prothymosin alpha</v>
      </c>
      <c r="J444" t="str">
        <f>"protein coding gene"</f>
        <v>protein coding gene</v>
      </c>
    </row>
    <row r="445" spans="1:10">
      <c r="A445">
        <v>10452860</v>
      </c>
      <c r="B445">
        <v>2.5069123124796202</v>
      </c>
      <c r="C445">
        <v>0.65290280738958195</v>
      </c>
      <c r="E445" t="str">
        <f>"10452860"</f>
        <v>10452860</v>
      </c>
      <c r="F445" t="str">
        <f t="shared" si="30"/>
        <v>Affy 1.0 ST</v>
      </c>
      <c r="G445" t="str">
        <f>"MGI:1924140"</f>
        <v>MGI:1924140</v>
      </c>
      <c r="H445" t="str">
        <f>"Memo1"</f>
        <v>Memo1</v>
      </c>
      <c r="I445" t="str">
        <f>"mediator of cell motility 1"</f>
        <v>mediator of cell motility 1</v>
      </c>
      <c r="J445" t="str">
        <f>"protein coding gene"</f>
        <v>protein coding gene</v>
      </c>
    </row>
    <row r="446" spans="1:10">
      <c r="A446">
        <v>10469070</v>
      </c>
      <c r="B446">
        <v>2.5051099914906798</v>
      </c>
      <c r="C446">
        <v>0.73710696944476495</v>
      </c>
      <c r="E446" t="str">
        <f>"10469070"</f>
        <v>10469070</v>
      </c>
      <c r="F446" t="str">
        <f t="shared" si="30"/>
        <v>Affy 1.0 ST</v>
      </c>
      <c r="G446" t="str">
        <f>"MGI:1858232"</f>
        <v>MGI:1858232</v>
      </c>
      <c r="H446" t="str">
        <f>"Nudt5"</f>
        <v>Nudt5</v>
      </c>
      <c r="I446" t="str">
        <f>"nudix (nucleoside diphosphate linked moiety X)-type motif 5"</f>
        <v>nudix (nucleoside diphosphate linked moiety X)-type motif 5</v>
      </c>
      <c r="J446" t="str">
        <f>"protein coding gene"</f>
        <v>protein coding gene</v>
      </c>
    </row>
    <row r="447" spans="1:10">
      <c r="A447">
        <v>10381250</v>
      </c>
      <c r="B447">
        <v>2.4935783855800402</v>
      </c>
      <c r="C447">
        <v>0.398208612021064</v>
      </c>
      <c r="E447" t="str">
        <f>"10381250"</f>
        <v>10381250</v>
      </c>
      <c r="F447" t="str">
        <f t="shared" si="30"/>
        <v>Affy 1.0 ST</v>
      </c>
      <c r="G447" t="str">
        <f>"MGI:101834"</f>
        <v>MGI:101834</v>
      </c>
      <c r="H447" t="str">
        <f>"Tubg1"</f>
        <v>Tubg1</v>
      </c>
      <c r="I447" t="s">
        <v>91</v>
      </c>
      <c r="J447" t="s">
        <v>155</v>
      </c>
    </row>
    <row r="448" spans="1:10">
      <c r="A448">
        <v>10419779</v>
      </c>
      <c r="B448">
        <v>2.48925284153158</v>
      </c>
      <c r="C448">
        <v>0.80285333680402804</v>
      </c>
      <c r="E448" t="str">
        <f>"10419779"</f>
        <v>10419779</v>
      </c>
      <c r="F448" t="str">
        <f t="shared" si="30"/>
        <v>Affy 1.0 ST</v>
      </c>
      <c r="G448" t="str">
        <f>"MGI:1261794"</f>
        <v>MGI:1261794</v>
      </c>
      <c r="H448" t="str">
        <f>"Haus4"</f>
        <v>Haus4</v>
      </c>
      <c r="I448" t="s">
        <v>92</v>
      </c>
      <c r="J448" t="s">
        <v>155</v>
      </c>
    </row>
    <row r="449" spans="1:10">
      <c r="A449">
        <v>10495574</v>
      </c>
      <c r="B449">
        <v>2.4859392958735098</v>
      </c>
      <c r="C449">
        <v>0.54411913452546501</v>
      </c>
      <c r="E449" t="str">
        <f>"10495574"</f>
        <v>10495574</v>
      </c>
      <c r="F449" t="str">
        <f t="shared" si="30"/>
        <v>Affy 1.0 ST</v>
      </c>
      <c r="G449" t="str">
        <f>"MGI:1920026"</f>
        <v>MGI:1920026</v>
      </c>
      <c r="H449" t="str">
        <f>"Sass6"</f>
        <v>Sass6</v>
      </c>
      <c r="I449" t="str">
        <f>"spindle assembly 6 homolog (C. elegans)"</f>
        <v>spindle assembly 6 homolog (C. elegans)</v>
      </c>
      <c r="J449" t="str">
        <f t="shared" ref="J449:J454" si="31">"protein coding gene"</f>
        <v>protein coding gene</v>
      </c>
    </row>
    <row r="450" spans="1:10">
      <c r="A450">
        <v>10590690</v>
      </c>
      <c r="B450">
        <v>2.4851777490002598</v>
      </c>
      <c r="C450">
        <v>0.81778090316036001</v>
      </c>
      <c r="E450" t="str">
        <f>"10590690"</f>
        <v>10590690</v>
      </c>
      <c r="F450" t="str">
        <f t="shared" si="30"/>
        <v>Affy 1.0 ST</v>
      </c>
      <c r="G450" t="str">
        <f>"MGI:107736"</f>
        <v>MGI:107736</v>
      </c>
      <c r="H450" t="str">
        <f>"Dync2h1"</f>
        <v>Dync2h1</v>
      </c>
      <c r="I450" t="str">
        <f>"dynein cytoplasmic 2 heavy chain 1"</f>
        <v>dynein cytoplasmic 2 heavy chain 1</v>
      </c>
      <c r="J450" t="str">
        <f t="shared" si="31"/>
        <v>protein coding gene</v>
      </c>
    </row>
    <row r="451" spans="1:10">
      <c r="A451">
        <v>10409424</v>
      </c>
      <c r="B451">
        <v>2.48451586915413</v>
      </c>
      <c r="C451">
        <v>0.98708903353688804</v>
      </c>
      <c r="E451" t="str">
        <f>"10409424"</f>
        <v>10409424</v>
      </c>
      <c r="F451" t="str">
        <f t="shared" si="30"/>
        <v>Affy 1.0 ST</v>
      </c>
      <c r="G451" t="str">
        <f>"MGI:104987"</f>
        <v>MGI:104987</v>
      </c>
      <c r="H451" t="str">
        <f>"Mxd3"</f>
        <v>Mxd3</v>
      </c>
      <c r="I451" t="str">
        <f>"Max dimerization protein 3"</f>
        <v>Max dimerization protein 3</v>
      </c>
      <c r="J451" t="str">
        <f t="shared" si="31"/>
        <v>protein coding gene</v>
      </c>
    </row>
    <row r="452" spans="1:10">
      <c r="A452">
        <v>10501091</v>
      </c>
      <c r="B452">
        <v>2.48321199337656</v>
      </c>
      <c r="C452">
        <v>0.65246384710397898</v>
      </c>
      <c r="E452" t="str">
        <f>"10501091"</f>
        <v>10501091</v>
      </c>
      <c r="F452" t="str">
        <f t="shared" si="30"/>
        <v>Affy 1.0 ST</v>
      </c>
      <c r="G452" t="str">
        <f>"MGI:2443205"</f>
        <v>MGI:2443205</v>
      </c>
      <c r="H452" t="str">
        <f>"Rbm15"</f>
        <v>Rbm15</v>
      </c>
      <c r="I452" t="str">
        <f>"RNA binding motif protein 15"</f>
        <v>RNA binding motif protein 15</v>
      </c>
      <c r="J452" t="str">
        <f t="shared" si="31"/>
        <v>protein coding gene</v>
      </c>
    </row>
    <row r="453" spans="1:10">
      <c r="A453">
        <v>10478799</v>
      </c>
      <c r="B453">
        <v>2.4806700933755099</v>
      </c>
      <c r="C453">
        <v>0.92857249929285302</v>
      </c>
      <c r="E453" t="str">
        <f>"10478799"</f>
        <v>10478799</v>
      </c>
      <c r="F453" t="str">
        <f t="shared" si="30"/>
        <v>Affy 1.0 ST</v>
      </c>
      <c r="G453" t="str">
        <f>"MGI:1339951"</f>
        <v>MGI:1339951</v>
      </c>
      <c r="H453" t="str">
        <f>"Cse1l"</f>
        <v>Cse1l</v>
      </c>
      <c r="I453" t="str">
        <f>"chromosome segregation 1-like (S. cerevisiae)"</f>
        <v>chromosome segregation 1-like (S. cerevisiae)</v>
      </c>
      <c r="J453" t="str">
        <f t="shared" si="31"/>
        <v>protein coding gene</v>
      </c>
    </row>
    <row r="454" spans="1:10">
      <c r="A454">
        <v>10479765</v>
      </c>
      <c r="B454">
        <v>2.4748152358444502</v>
      </c>
      <c r="C454">
        <v>0.56127510765774302</v>
      </c>
      <c r="E454" t="str">
        <f>"10479765"</f>
        <v>10479765</v>
      </c>
      <c r="F454" t="str">
        <f t="shared" si="30"/>
        <v>Affy 1.0 ST</v>
      </c>
      <c r="G454" t="str">
        <f>"MGI:1890396"</f>
        <v>MGI:1890396</v>
      </c>
      <c r="H454" t="str">
        <f>"Suv39h2"</f>
        <v>Suv39h2</v>
      </c>
      <c r="I454" t="str">
        <f>"suppressor of variegation 3-9 homolog 2 (Drosophila)"</f>
        <v>suppressor of variegation 3-9 homolog 2 (Drosophila)</v>
      </c>
      <c r="J454" t="str">
        <f t="shared" si="31"/>
        <v>protein coding gene</v>
      </c>
    </row>
    <row r="455" spans="1:10">
      <c r="A455">
        <v>10456488</v>
      </c>
      <c r="B455">
        <v>2.4709308142656701</v>
      </c>
      <c r="C455">
        <v>0.70407705165402501</v>
      </c>
      <c r="E455" t="str">
        <f>"10456488"</f>
        <v>10456488</v>
      </c>
      <c r="F455" t="str">
        <f>""</f>
        <v/>
      </c>
      <c r="G455" t="str">
        <f>"No associated gene"</f>
        <v>No associated gene</v>
      </c>
    </row>
    <row r="456" spans="1:10">
      <c r="A456">
        <v>10422854</v>
      </c>
      <c r="B456">
        <v>2.4705337299552701</v>
      </c>
      <c r="C456">
        <v>0.59917062477036298</v>
      </c>
      <c r="E456" t="str">
        <f>"10422854"</f>
        <v>10422854</v>
      </c>
      <c r="F456" t="str">
        <f t="shared" ref="F456:F471" si="32">"Affy 1.0 ST"</f>
        <v>Affy 1.0 ST</v>
      </c>
      <c r="G456" t="str">
        <f>"MGI:2181182"</f>
        <v>MGI:2181182</v>
      </c>
      <c r="H456" t="str">
        <f>"Nup155"</f>
        <v>Nup155</v>
      </c>
      <c r="I456" t="str">
        <f>"nucleoporin 155"</f>
        <v>nucleoporin 155</v>
      </c>
      <c r="J456" t="str">
        <f>"protein coding gene"</f>
        <v>protein coding gene</v>
      </c>
    </row>
    <row r="457" spans="1:10">
      <c r="A457">
        <v>10445308</v>
      </c>
      <c r="B457">
        <v>2.4683057656577598</v>
      </c>
      <c r="C457">
        <v>0.110928828330734</v>
      </c>
      <c r="E457" t="str">
        <f>"10445308"</f>
        <v>10445308</v>
      </c>
      <c r="F457" t="str">
        <f t="shared" si="32"/>
        <v>Affy 1.0 ST</v>
      </c>
      <c r="G457" t="str">
        <f>"MGI:1927096"</f>
        <v>MGI:1927096</v>
      </c>
      <c r="H457" t="str">
        <f>"Cyp39a1"</f>
        <v>Cyp39a1</v>
      </c>
      <c r="I457" t="s">
        <v>93</v>
      </c>
      <c r="J457" t="s">
        <v>155</v>
      </c>
    </row>
    <row r="458" spans="1:10">
      <c r="A458">
        <v>10431948</v>
      </c>
      <c r="B458">
        <v>2.4630301421327498</v>
      </c>
      <c r="C458">
        <v>0.51515072713812504</v>
      </c>
      <c r="E458" t="str">
        <f>"10431948"</f>
        <v>10431948</v>
      </c>
      <c r="F458" t="str">
        <f t="shared" si="32"/>
        <v>Affy 1.0 ST</v>
      </c>
      <c r="G458" t="str">
        <f>"MGI:1277218"</f>
        <v>MGI:1277218</v>
      </c>
      <c r="H458" t="str">
        <f>"Rpap3"</f>
        <v>Rpap3</v>
      </c>
      <c r="I458" t="str">
        <f>"RNA polymerase II associated protein 3"</f>
        <v>RNA polymerase II associated protein 3</v>
      </c>
      <c r="J458" t="str">
        <f t="shared" ref="J458:J463" si="33">"protein coding gene"</f>
        <v>protein coding gene</v>
      </c>
    </row>
    <row r="459" spans="1:10">
      <c r="A459">
        <v>10491036</v>
      </c>
      <c r="B459">
        <v>2.4599120466755098</v>
      </c>
      <c r="C459">
        <v>0.903814544823065</v>
      </c>
      <c r="E459" t="str">
        <f>"10491036"</f>
        <v>10491036</v>
      </c>
      <c r="F459" t="str">
        <f t="shared" si="32"/>
        <v>Affy 1.0 ST</v>
      </c>
      <c r="G459" t="str">
        <f>"MGI:1915469"</f>
        <v>MGI:1915469</v>
      </c>
      <c r="H459" t="str">
        <f>"Nudt21"</f>
        <v>Nudt21</v>
      </c>
      <c r="I459" t="str">
        <f>"nudix (nucleoside diphosphate linked moiety X)-type motif 21"</f>
        <v>nudix (nucleoside diphosphate linked moiety X)-type motif 21</v>
      </c>
      <c r="J459" t="str">
        <f t="shared" si="33"/>
        <v>protein coding gene</v>
      </c>
    </row>
    <row r="460" spans="1:10">
      <c r="A460">
        <v>10569181</v>
      </c>
      <c r="B460">
        <v>2.4596345830971198</v>
      </c>
      <c r="C460">
        <v>0.55092874610083598</v>
      </c>
      <c r="E460" t="str">
        <f>"10569181"</f>
        <v>10569181</v>
      </c>
      <c r="F460" t="str">
        <f t="shared" si="32"/>
        <v>Affy 1.0 ST</v>
      </c>
      <c r="G460" t="str">
        <f>"MGI:1889507"</f>
        <v>MGI:1889507</v>
      </c>
      <c r="H460" t="str">
        <f>"Lrdd"</f>
        <v>Lrdd</v>
      </c>
      <c r="I460" t="str">
        <f>"leucine-rich and death domain containing"</f>
        <v>leucine-rich and death domain containing</v>
      </c>
      <c r="J460" t="str">
        <f t="shared" si="33"/>
        <v>protein coding gene</v>
      </c>
    </row>
    <row r="461" spans="1:10">
      <c r="A461">
        <v>10431528</v>
      </c>
      <c r="B461">
        <v>2.45749956128321</v>
      </c>
      <c r="C461">
        <v>0.98819105130570795</v>
      </c>
      <c r="E461" t="str">
        <f>"10431528"</f>
        <v>10431528</v>
      </c>
      <c r="F461" t="str">
        <f t="shared" si="32"/>
        <v>Affy 1.0 ST</v>
      </c>
      <c r="G461" t="str">
        <f>"MGI:2146015"</f>
        <v>MGI:2146015</v>
      </c>
      <c r="H461" t="str">
        <f>"Lmf2"</f>
        <v>Lmf2</v>
      </c>
      <c r="I461" t="str">
        <f>"lipase maturation factor 2"</f>
        <v>lipase maturation factor 2</v>
      </c>
      <c r="J461" t="str">
        <f t="shared" si="33"/>
        <v>protein coding gene</v>
      </c>
    </row>
    <row r="462" spans="1:10">
      <c r="A462">
        <v>10353004</v>
      </c>
      <c r="B462">
        <v>2.4574231348487898</v>
      </c>
      <c r="C462">
        <v>0.33484231790437202</v>
      </c>
      <c r="E462" t="str">
        <f>"10353004"</f>
        <v>10353004</v>
      </c>
      <c r="F462" t="str">
        <f t="shared" si="32"/>
        <v>Affy 1.0 ST</v>
      </c>
      <c r="G462" t="str">
        <f>"MGI:1913447"</f>
        <v>MGI:1913447</v>
      </c>
      <c r="H462" t="str">
        <f>"Cks2"</f>
        <v>Cks2</v>
      </c>
      <c r="I462" t="str">
        <f>"CDC28 protein kinase regulatory subunit 2"</f>
        <v>CDC28 protein kinase regulatory subunit 2</v>
      </c>
      <c r="J462" t="str">
        <f t="shared" si="33"/>
        <v>protein coding gene</v>
      </c>
    </row>
    <row r="463" spans="1:10">
      <c r="A463">
        <v>10445702</v>
      </c>
      <c r="B463">
        <v>2.45309379632796</v>
      </c>
      <c r="C463">
        <v>0.41324216457066398</v>
      </c>
      <c r="E463" t="str">
        <f>"10445702"</f>
        <v>10445702</v>
      </c>
      <c r="F463" t="str">
        <f t="shared" si="32"/>
        <v>Affy 1.0 ST</v>
      </c>
      <c r="G463" t="str">
        <f>"MGI:2685391"</f>
        <v>MGI:2685391</v>
      </c>
      <c r="H463" t="str">
        <f>"Usp49"</f>
        <v>Usp49</v>
      </c>
      <c r="I463" t="str">
        <f>"ubiquitin specific peptidase 49"</f>
        <v>ubiquitin specific peptidase 49</v>
      </c>
      <c r="J463" t="str">
        <f t="shared" si="33"/>
        <v>protein coding gene</v>
      </c>
    </row>
    <row r="464" spans="1:10">
      <c r="A464">
        <v>10548699</v>
      </c>
      <c r="B464">
        <v>2.4528450682473601</v>
      </c>
      <c r="C464">
        <v>0.94239770525237698</v>
      </c>
      <c r="E464" t="str">
        <f>"10548699"</f>
        <v>10548699</v>
      </c>
      <c r="F464" t="str">
        <f t="shared" si="32"/>
        <v>Affy 1.0 ST</v>
      </c>
      <c r="G464" t="str">
        <f>"MGI:3645919"</f>
        <v>MGI:3645919</v>
      </c>
      <c r="H464" t="str">
        <f>"Gm8956"</f>
        <v>Gm8956</v>
      </c>
      <c r="I464" t="str">
        <f>"predicted gene 8956"</f>
        <v>predicted gene 8956</v>
      </c>
      <c r="J464" t="str">
        <f>"pseudogene"</f>
        <v>pseudogene</v>
      </c>
    </row>
    <row r="465" spans="1:10">
      <c r="A465">
        <v>10603431</v>
      </c>
      <c r="B465">
        <v>2.4460811935347002</v>
      </c>
      <c r="C465">
        <v>0.65667419953267503</v>
      </c>
      <c r="E465" t="str">
        <f>"10603431"</f>
        <v>10603431</v>
      </c>
      <c r="F465" t="str">
        <f t="shared" si="32"/>
        <v>Affy 1.0 ST</v>
      </c>
      <c r="G465" t="str">
        <f>"MGI:1099440"</f>
        <v>MGI:1099440</v>
      </c>
      <c r="H465" t="str">
        <f>"Suv39h1"</f>
        <v>Suv39h1</v>
      </c>
      <c r="I465" t="str">
        <f>"suppressor of variegation 3-9 homolog 1 (Drosophila)"</f>
        <v>suppressor of variegation 3-9 homolog 1 (Drosophila)</v>
      </c>
      <c r="J465" t="str">
        <f t="shared" ref="J465:J471" si="34">"protein coding gene"</f>
        <v>protein coding gene</v>
      </c>
    </row>
    <row r="466" spans="1:10">
      <c r="A466">
        <v>10549171</v>
      </c>
      <c r="B466">
        <v>2.43568114126268</v>
      </c>
      <c r="C466">
        <v>0.15303495764016001</v>
      </c>
      <c r="E466" t="str">
        <f>"10549171"</f>
        <v>10549171</v>
      </c>
      <c r="F466" t="str">
        <f t="shared" si="32"/>
        <v>Affy 1.0 ST</v>
      </c>
      <c r="G466" t="str">
        <f>"MGI:1921991"</f>
        <v>MGI:1921991</v>
      </c>
      <c r="H466" t="str">
        <f>"5730419I09Rik"</f>
        <v>5730419I09Rik</v>
      </c>
      <c r="I466" t="str">
        <f>"RIKEN cDNA 5730419I09 gene"</f>
        <v>RIKEN cDNA 5730419I09 gene</v>
      </c>
      <c r="J466" t="str">
        <f t="shared" si="34"/>
        <v>protein coding gene</v>
      </c>
    </row>
    <row r="467" spans="1:10">
      <c r="A467">
        <v>10525733</v>
      </c>
      <c r="B467">
        <v>2.43491216515838</v>
      </c>
      <c r="C467">
        <v>0.71612142246658095</v>
      </c>
      <c r="E467" t="str">
        <f>"10525733"</f>
        <v>10525733</v>
      </c>
      <c r="F467" t="str">
        <f t="shared" si="32"/>
        <v>Affy 1.0 ST</v>
      </c>
      <c r="G467" t="str">
        <f>"MGI:1915206"</f>
        <v>MGI:1915206</v>
      </c>
      <c r="H467" t="str">
        <f>"Setd8"</f>
        <v>Setd8</v>
      </c>
      <c r="I467" t="str">
        <f>"SET domain containing (lysine methyltransferase) 8"</f>
        <v>SET domain containing (lysine methyltransferase) 8</v>
      </c>
      <c r="J467" t="str">
        <f t="shared" si="34"/>
        <v>protein coding gene</v>
      </c>
    </row>
    <row r="468" spans="1:10">
      <c r="A468">
        <v>10344939</v>
      </c>
      <c r="B468">
        <v>2.4347495615420498</v>
      </c>
      <c r="C468">
        <v>0.59381017523497603</v>
      </c>
      <c r="E468" t="str">
        <f>"10344939"</f>
        <v>10344939</v>
      </c>
      <c r="F468" t="str">
        <f t="shared" si="32"/>
        <v>Affy 1.0 ST</v>
      </c>
      <c r="G468" t="str">
        <f>"MGI:109634"</f>
        <v>MGI:109634</v>
      </c>
      <c r="H468" t="str">
        <f>"Terf1"</f>
        <v>Terf1</v>
      </c>
      <c r="I468" t="str">
        <f>"telomeric repeat binding factor 1"</f>
        <v>telomeric repeat binding factor 1</v>
      </c>
      <c r="J468" t="str">
        <f t="shared" si="34"/>
        <v>protein coding gene</v>
      </c>
    </row>
    <row r="469" spans="1:10">
      <c r="A469">
        <v>10428561</v>
      </c>
      <c r="B469">
        <v>2.4318504198378199</v>
      </c>
      <c r="C469">
        <v>0.66713325558209102</v>
      </c>
      <c r="E469" t="str">
        <f>"10428561"</f>
        <v>10428561</v>
      </c>
      <c r="F469" t="str">
        <f t="shared" si="32"/>
        <v>Affy 1.0 ST</v>
      </c>
      <c r="G469" t="str">
        <f>"MGI:108016"</f>
        <v>MGI:108016</v>
      </c>
      <c r="H469" t="str">
        <f>"Rad21"</f>
        <v>Rad21</v>
      </c>
      <c r="I469" t="str">
        <f>"RAD21 homolog (S. pombe)"</f>
        <v>RAD21 homolog (S. pombe)</v>
      </c>
      <c r="J469" t="str">
        <f t="shared" si="34"/>
        <v>protein coding gene</v>
      </c>
    </row>
    <row r="470" spans="1:10">
      <c r="A470">
        <v>10560304</v>
      </c>
      <c r="B470">
        <v>2.4304848269511701</v>
      </c>
      <c r="C470">
        <v>0.43493095382969998</v>
      </c>
      <c r="E470" t="str">
        <f>"10560304"</f>
        <v>10560304</v>
      </c>
      <c r="F470" t="str">
        <f t="shared" si="32"/>
        <v>Affy 1.0 ST</v>
      </c>
      <c r="G470" t="str">
        <f>"MGI:103249"</f>
        <v>MGI:103249</v>
      </c>
      <c r="H470" t="str">
        <f>"Calm3"</f>
        <v>Calm3</v>
      </c>
      <c r="I470" t="str">
        <f>"calmodulin 3"</f>
        <v>calmodulin 3</v>
      </c>
      <c r="J470" t="str">
        <f t="shared" si="34"/>
        <v>protein coding gene</v>
      </c>
    </row>
    <row r="471" spans="1:10">
      <c r="A471">
        <v>10592289</v>
      </c>
      <c r="B471">
        <v>2.4279027270047302</v>
      </c>
      <c r="C471">
        <v>0.40809246063761601</v>
      </c>
      <c r="E471" t="str">
        <f>"10592289"</f>
        <v>10592289</v>
      </c>
      <c r="F471" t="str">
        <f t="shared" si="32"/>
        <v>Affy 1.0 ST</v>
      </c>
      <c r="G471" t="str">
        <f>"MGI:2444488"</f>
        <v>MGI:2444488</v>
      </c>
      <c r="H471" t="str">
        <f>"Ccdc15"</f>
        <v>Ccdc15</v>
      </c>
      <c r="I471" t="str">
        <f>"coiled-coil domain containing 15"</f>
        <v>coiled-coil domain containing 15</v>
      </c>
      <c r="J471" t="str">
        <f t="shared" si="34"/>
        <v>protein coding gene</v>
      </c>
    </row>
    <row r="472" spans="1:10">
      <c r="A472">
        <v>10340843</v>
      </c>
      <c r="B472">
        <v>2.4200676620706898</v>
      </c>
      <c r="C472">
        <v>0.62829535129553404</v>
      </c>
      <c r="E472" t="str">
        <f>"10340843"</f>
        <v>10340843</v>
      </c>
      <c r="F472" t="str">
        <f>""</f>
        <v/>
      </c>
      <c r="G472" t="str">
        <f>"No associated gene"</f>
        <v>No associated gene</v>
      </c>
    </row>
    <row r="473" spans="1:10">
      <c r="A473">
        <v>10450957</v>
      </c>
      <c r="B473">
        <v>2.4177553882395801</v>
      </c>
      <c r="C473">
        <v>0.302238309492184</v>
      </c>
      <c r="E473" t="str">
        <f>"10450957"</f>
        <v>10450957</v>
      </c>
      <c r="F473" t="str">
        <f>"Affy 1.0 ST"</f>
        <v>Affy 1.0 ST</v>
      </c>
      <c r="G473" t="str">
        <f>"MGI:1933744"</f>
        <v>MGI:1933744</v>
      </c>
      <c r="H473" t="str">
        <f>"Cenpq"</f>
        <v>Cenpq</v>
      </c>
      <c r="I473" t="str">
        <f>"centromere protein Q"</f>
        <v>centromere protein Q</v>
      </c>
      <c r="J473" t="str">
        <f>"protein coding gene"</f>
        <v>protein coding gene</v>
      </c>
    </row>
    <row r="474" spans="1:10">
      <c r="A474">
        <v>10338687</v>
      </c>
      <c r="B474">
        <v>2.4155615582631902</v>
      </c>
      <c r="C474">
        <v>0.30316406757423597</v>
      </c>
      <c r="E474" t="str">
        <f>"10338687"</f>
        <v>10338687</v>
      </c>
      <c r="F474" t="str">
        <f>""</f>
        <v/>
      </c>
      <c r="G474" t="str">
        <f>"No associated gene"</f>
        <v>No associated gene</v>
      </c>
    </row>
    <row r="475" spans="1:10">
      <c r="A475">
        <v>10598794</v>
      </c>
      <c r="B475">
        <v>2.4107216419676898</v>
      </c>
      <c r="C475">
        <v>0.48182604174736399</v>
      </c>
      <c r="E475" t="str">
        <f>"10598794"</f>
        <v>10598794</v>
      </c>
      <c r="F475" t="str">
        <f>""</f>
        <v/>
      </c>
      <c r="G475" t="str">
        <f>"No associated gene"</f>
        <v>No associated gene</v>
      </c>
    </row>
    <row r="476" spans="1:10">
      <c r="A476">
        <v>10429968</v>
      </c>
      <c r="B476">
        <v>2.4076829985927599</v>
      </c>
      <c r="C476">
        <v>0.75483062216418295</v>
      </c>
      <c r="E476" t="str">
        <f>"10429968"</f>
        <v>10429968</v>
      </c>
      <c r="F476" t="str">
        <f>""</f>
        <v/>
      </c>
      <c r="G476" t="str">
        <f>"No associated gene"</f>
        <v>No associated gene</v>
      </c>
    </row>
    <row r="477" spans="1:10">
      <c r="A477">
        <v>10365420</v>
      </c>
      <c r="B477">
        <v>2.40444526338467</v>
      </c>
      <c r="C477">
        <v>0.58688360345825696</v>
      </c>
      <c r="E477" t="str">
        <f>"10365420"</f>
        <v>10365420</v>
      </c>
      <c r="F477" t="str">
        <f>"Affy 1.0 ST"</f>
        <v>Affy 1.0 ST</v>
      </c>
      <c r="G477" t="str">
        <f>"MGI:2143652"</f>
        <v>MGI:2143652</v>
      </c>
      <c r="H477" t="str">
        <f>"AI597468"</f>
        <v>AI597468</v>
      </c>
      <c r="I477" t="str">
        <f>"expressed sequence AI597468"</f>
        <v>expressed sequence AI597468</v>
      </c>
      <c r="J477" t="str">
        <f>"protein coding gene"</f>
        <v>protein coding gene</v>
      </c>
    </row>
    <row r="478" spans="1:10">
      <c r="A478">
        <v>10386236</v>
      </c>
      <c r="B478">
        <v>2.4019257494661899</v>
      </c>
      <c r="C478">
        <v>0.400175540778826</v>
      </c>
      <c r="E478" t="str">
        <f>"10386236"</f>
        <v>10386236</v>
      </c>
      <c r="F478" t="str">
        <f>"Affy 1.0 ST"</f>
        <v>Affy 1.0 ST</v>
      </c>
      <c r="G478" t="str">
        <f>"MGI:1922442"</f>
        <v>MGI:1922442</v>
      </c>
      <c r="H478" t="str">
        <f>"Hist3h2bb-ps"</f>
        <v>Hist3h2bb-ps</v>
      </c>
      <c r="I478" t="s">
        <v>94</v>
      </c>
      <c r="J478" t="s">
        <v>133</v>
      </c>
    </row>
    <row r="479" spans="1:10">
      <c r="A479">
        <v>10548176</v>
      </c>
      <c r="B479">
        <v>2.4016905737654999</v>
      </c>
      <c r="C479">
        <v>0.48712842611790802</v>
      </c>
      <c r="E479" t="str">
        <f>"10548176"</f>
        <v>10548176</v>
      </c>
      <c r="F479" t="str">
        <f>"Affy 1.0 ST"</f>
        <v>Affy 1.0 ST</v>
      </c>
      <c r="G479" t="str">
        <f>"MGI:1915315"</f>
        <v>MGI:1915315</v>
      </c>
      <c r="H479" t="str">
        <f>"5930416I19Rik"</f>
        <v>5930416I19Rik</v>
      </c>
      <c r="I479" t="str">
        <f>"RIKEN cDNA 5930416I19 gene"</f>
        <v>RIKEN cDNA 5930416I19 gene</v>
      </c>
      <c r="J479" t="str">
        <f>"protein coding gene"</f>
        <v>protein coding gene</v>
      </c>
    </row>
    <row r="480" spans="1:10">
      <c r="A480">
        <v>10591035</v>
      </c>
      <c r="B480">
        <v>2.3997066318840199</v>
      </c>
      <c r="C480">
        <v>0.50985707055197405</v>
      </c>
      <c r="E480" t="str">
        <f>"10591035"</f>
        <v>10591035</v>
      </c>
      <c r="F480" t="str">
        <f>"Affy 1.0 ST"</f>
        <v>Affy 1.0 ST</v>
      </c>
      <c r="G480" t="str">
        <f>"MGI:2442521"</f>
        <v>MGI:2442521</v>
      </c>
      <c r="H480" t="str">
        <f>"5830418K08Rik"</f>
        <v>5830418K08Rik</v>
      </c>
      <c r="I480" t="str">
        <f>"RIKEN cDNA 5830418K08 gene"</f>
        <v>RIKEN cDNA 5830418K08 gene</v>
      </c>
      <c r="J480" t="str">
        <f>"protein coding gene"</f>
        <v>protein coding gene</v>
      </c>
    </row>
    <row r="481" spans="1:10">
      <c r="A481">
        <v>10342068</v>
      </c>
      <c r="B481">
        <v>2.3921274761651099</v>
      </c>
      <c r="C481">
        <v>0.308873958689587</v>
      </c>
      <c r="E481" t="str">
        <f>"10342068"</f>
        <v>10342068</v>
      </c>
      <c r="F481" t="str">
        <f>""</f>
        <v/>
      </c>
      <c r="G481" t="str">
        <f>"No associated gene"</f>
        <v>No associated gene</v>
      </c>
    </row>
    <row r="482" spans="1:10">
      <c r="A482">
        <v>10491835</v>
      </c>
      <c r="B482">
        <v>2.37818888080339</v>
      </c>
      <c r="C482">
        <v>0.223696641296317</v>
      </c>
      <c r="E482" t="str">
        <f>"10491835"</f>
        <v>10491835</v>
      </c>
      <c r="F482" t="str">
        <f>"Affy 1.0 ST"</f>
        <v>Affy 1.0 ST</v>
      </c>
      <c r="G482" t="str">
        <f>"MGI:1914604"</f>
        <v>MGI:1914604</v>
      </c>
      <c r="H482" t="str">
        <f>"Larp1b"</f>
        <v>Larp1b</v>
      </c>
      <c r="I482" t="s">
        <v>95</v>
      </c>
      <c r="J482" t="s">
        <v>155</v>
      </c>
    </row>
    <row r="483" spans="1:10">
      <c r="A483">
        <v>10455483</v>
      </c>
      <c r="B483">
        <v>2.3762004143225699</v>
      </c>
      <c r="C483">
        <v>0.49417314589658801</v>
      </c>
      <c r="E483" t="str">
        <f>"10455483"</f>
        <v>10455483</v>
      </c>
      <c r="F483" t="str">
        <f>"Affy 1.0 ST"</f>
        <v>Affy 1.0 ST</v>
      </c>
      <c r="G483" t="str">
        <f>"MGI:2448561"</f>
        <v>MGI:2448561</v>
      </c>
      <c r="H483" t="str">
        <f>"Ythdc2"</f>
        <v>Ythdc2</v>
      </c>
      <c r="I483" t="str">
        <f>"YTH domain containing 2"</f>
        <v>YTH domain containing 2</v>
      </c>
      <c r="J483" t="str">
        <f>"protein coding gene"</f>
        <v>protein coding gene</v>
      </c>
    </row>
    <row r="484" spans="1:10">
      <c r="A484">
        <v>10585129</v>
      </c>
      <c r="B484">
        <v>2.3754376505051802</v>
      </c>
      <c r="C484">
        <v>0.45503319790450197</v>
      </c>
      <c r="E484" t="str">
        <f>"10585129"</f>
        <v>10585129</v>
      </c>
      <c r="F484" t="str">
        <f>"Affy 1.0 ST"</f>
        <v>Affy 1.0 ST</v>
      </c>
      <c r="G484" t="str">
        <f>"MGI:1349478"</f>
        <v>MGI:1349478</v>
      </c>
      <c r="H484" t="str">
        <f>"Zw10"</f>
        <v>Zw10</v>
      </c>
      <c r="I484" t="s">
        <v>96</v>
      </c>
      <c r="J484" t="s">
        <v>155</v>
      </c>
    </row>
    <row r="485" spans="1:10">
      <c r="A485">
        <v>10563657</v>
      </c>
      <c r="B485">
        <v>2.3715629503801301</v>
      </c>
      <c r="C485">
        <v>0.46593632298700099</v>
      </c>
      <c r="E485" t="str">
        <f>"10563657"</f>
        <v>10563657</v>
      </c>
      <c r="F485" t="str">
        <f>""</f>
        <v/>
      </c>
      <c r="G485" t="str">
        <f>"No associated gene"</f>
        <v>No associated gene</v>
      </c>
    </row>
    <row r="486" spans="1:10">
      <c r="A486">
        <v>10490872</v>
      </c>
      <c r="B486">
        <v>2.36732411058841</v>
      </c>
      <c r="C486">
        <v>0.53366911653341398</v>
      </c>
      <c r="E486" t="str">
        <f>"10490872"</f>
        <v>10490872</v>
      </c>
      <c r="F486" t="str">
        <f t="shared" ref="F486:F500" si="35">"Affy 1.0 ST"</f>
        <v>Affy 1.0 ST</v>
      </c>
      <c r="G486" t="str">
        <f>"MGI:1918960"</f>
        <v>MGI:1918960</v>
      </c>
      <c r="H486" t="str">
        <f>"Lrrcc1"</f>
        <v>Lrrcc1</v>
      </c>
      <c r="I486" t="str">
        <f>"leucine rich repeat and coiled-coil domain containing 1"</f>
        <v>leucine rich repeat and coiled-coil domain containing 1</v>
      </c>
      <c r="J486" t="str">
        <f>"protein coding gene"</f>
        <v>protein coding gene</v>
      </c>
    </row>
    <row r="487" spans="1:10">
      <c r="A487">
        <v>10542006</v>
      </c>
      <c r="B487">
        <v>2.3669075011939</v>
      </c>
      <c r="C487">
        <v>0.47473684473178701</v>
      </c>
      <c r="E487" t="str">
        <f>"10542006"</f>
        <v>10542006</v>
      </c>
      <c r="F487" t="str">
        <f t="shared" si="35"/>
        <v>Affy 1.0 ST</v>
      </c>
      <c r="G487" t="str">
        <f>"MGI:107893"</f>
        <v>MGI:107893</v>
      </c>
      <c r="H487" t="str">
        <f>"D6Wsu163e"</f>
        <v>D6Wsu163e</v>
      </c>
      <c r="I487" t="s">
        <v>97</v>
      </c>
      <c r="J487" t="s">
        <v>155</v>
      </c>
    </row>
    <row r="488" spans="1:10">
      <c r="A488">
        <v>10599893</v>
      </c>
      <c r="B488">
        <v>2.3622415636222098</v>
      </c>
      <c r="C488">
        <v>0.125868465083255</v>
      </c>
      <c r="E488" t="str">
        <f>"10599893"</f>
        <v>10599893</v>
      </c>
      <c r="F488" t="str">
        <f t="shared" si="35"/>
        <v>Affy 1.0 ST</v>
      </c>
      <c r="G488" t="str">
        <f>"MGI:95564"</f>
        <v>MGI:95564</v>
      </c>
      <c r="H488" t="str">
        <f>"Fmr1"</f>
        <v>Fmr1</v>
      </c>
      <c r="I488" t="str">
        <f>"fragile X mental retardation syndrome 1 homolog"</f>
        <v>fragile X mental retardation syndrome 1 homolog</v>
      </c>
      <c r="J488" t="str">
        <f>"protein coding gene"</f>
        <v>protein coding gene</v>
      </c>
    </row>
    <row r="489" spans="1:10">
      <c r="A489">
        <v>10483770</v>
      </c>
      <c r="B489">
        <v>2.3546792758190702</v>
      </c>
      <c r="C489">
        <v>0.59022817190147803</v>
      </c>
      <c r="E489" t="str">
        <f>"10483770"</f>
        <v>10483770</v>
      </c>
      <c r="F489" t="str">
        <f t="shared" si="35"/>
        <v>Affy 1.0 ST</v>
      </c>
      <c r="G489" t="str">
        <f>"MGI:1918115"</f>
        <v>MGI:1918115</v>
      </c>
      <c r="H489" t="str">
        <f>"Lnp"</f>
        <v>Lnp</v>
      </c>
      <c r="I489" t="str">
        <f>"limb and neural patterns"</f>
        <v>limb and neural patterns</v>
      </c>
      <c r="J489" t="str">
        <f>"protein coding gene"</f>
        <v>protein coding gene</v>
      </c>
    </row>
    <row r="490" spans="1:10">
      <c r="A490">
        <v>10580590</v>
      </c>
      <c r="B490">
        <v>2.35196268820604</v>
      </c>
      <c r="C490">
        <v>0.35615641145856902</v>
      </c>
      <c r="E490" t="str">
        <f>"10580590"</f>
        <v>10580590</v>
      </c>
      <c r="F490" t="str">
        <f t="shared" si="35"/>
        <v>Affy 1.0 ST</v>
      </c>
      <c r="G490" t="str">
        <f>"MGI:95640"</f>
        <v>MGI:95640</v>
      </c>
      <c r="H490" t="str">
        <f>"Gapdh"</f>
        <v>Gapdh</v>
      </c>
      <c r="I490" t="str">
        <f>"glyceraldehyde-3-phosphate dehydrogenase"</f>
        <v>glyceraldehyde-3-phosphate dehydrogenase</v>
      </c>
      <c r="J490" t="str">
        <f>"protein coding gene"</f>
        <v>protein coding gene</v>
      </c>
    </row>
    <row r="491" spans="1:10">
      <c r="A491">
        <v>10408266</v>
      </c>
      <c r="B491">
        <v>2.3498420311542398</v>
      </c>
      <c r="C491">
        <v>0.59853670473209697</v>
      </c>
      <c r="E491" t="str">
        <f>"10408266"</f>
        <v>10408266</v>
      </c>
      <c r="F491" t="str">
        <f t="shared" si="35"/>
        <v>Affy 1.0 ST</v>
      </c>
      <c r="G491" t="str">
        <f>"MGI:2448375"</f>
        <v>MGI:2448375</v>
      </c>
      <c r="H491" t="str">
        <f>"Hist1h2ba"</f>
        <v>Hist1h2ba</v>
      </c>
      <c r="I491" t="s">
        <v>98</v>
      </c>
      <c r="J491" t="s">
        <v>155</v>
      </c>
    </row>
    <row r="492" spans="1:10">
      <c r="A492">
        <v>10352267</v>
      </c>
      <c r="B492">
        <v>2.3496464432373898</v>
      </c>
      <c r="C492">
        <v>0.24671794595795701</v>
      </c>
      <c r="E492" t="str">
        <f>"10352267"</f>
        <v>10352267</v>
      </c>
      <c r="F492" t="str">
        <f t="shared" si="35"/>
        <v>Affy 1.0 ST</v>
      </c>
      <c r="G492" t="str">
        <f>"MGI:1919818"</f>
        <v>MGI:1919818</v>
      </c>
      <c r="H492" t="str">
        <f>"Lin9"</f>
        <v>Lin9</v>
      </c>
      <c r="I492" t="str">
        <f>"lin-9 homolog (C. elegans)"</f>
        <v>lin-9 homolog (C. elegans)</v>
      </c>
      <c r="J492" t="str">
        <f>"protein coding gene"</f>
        <v>protein coding gene</v>
      </c>
    </row>
    <row r="493" spans="1:10">
      <c r="A493">
        <v>10607524</v>
      </c>
      <c r="B493">
        <v>2.3473014587513799</v>
      </c>
      <c r="C493">
        <v>0.76479129943333002</v>
      </c>
      <c r="E493" t="str">
        <f>"10607524"</f>
        <v>10607524</v>
      </c>
      <c r="F493" t="str">
        <f t="shared" si="35"/>
        <v>Affy 1.0 ST</v>
      </c>
      <c r="G493" t="str">
        <f>"MGI:109490"</f>
        <v>MGI:109490</v>
      </c>
      <c r="H493" t="str">
        <f>"Sms"</f>
        <v>Sms</v>
      </c>
      <c r="I493" t="str">
        <f>"spermine synthase"</f>
        <v>spermine synthase</v>
      </c>
      <c r="J493" t="str">
        <f>"protein coding gene"</f>
        <v>protein coding gene</v>
      </c>
    </row>
    <row r="494" spans="1:10">
      <c r="A494">
        <v>10426225</v>
      </c>
      <c r="B494">
        <v>2.34610111410035</v>
      </c>
      <c r="C494">
        <v>0.39865514233056698</v>
      </c>
      <c r="E494" t="str">
        <f>"10426225"</f>
        <v>10426225</v>
      </c>
      <c r="F494" t="str">
        <f t="shared" si="35"/>
        <v>Affy 1.0 ST</v>
      </c>
      <c r="G494" t="str">
        <f>"MGI:1289164"</f>
        <v>MGI:1289164</v>
      </c>
      <c r="H494" t="str">
        <f>"Ncaph2"</f>
        <v>Ncaph2</v>
      </c>
      <c r="I494" t="s">
        <v>99</v>
      </c>
      <c r="J494" t="s">
        <v>155</v>
      </c>
    </row>
    <row r="495" spans="1:10">
      <c r="A495">
        <v>10600797</v>
      </c>
      <c r="B495">
        <v>2.3431473644521499</v>
      </c>
      <c r="C495">
        <v>0.72963734601024899</v>
      </c>
      <c r="E495" t="str">
        <f>"10600797"</f>
        <v>10600797</v>
      </c>
      <c r="F495" t="str">
        <f t="shared" si="35"/>
        <v>Affy 1.0 ST</v>
      </c>
      <c r="G495" t="str">
        <f>"MGI:3649039"</f>
        <v>MGI:3649039</v>
      </c>
      <c r="H495" t="str">
        <f>"Apoo-ps"</f>
        <v>Apoo-ps</v>
      </c>
      <c r="I495" t="s">
        <v>100</v>
      </c>
      <c r="J495" t="s">
        <v>133</v>
      </c>
    </row>
    <row r="496" spans="1:10">
      <c r="A496">
        <v>10507286</v>
      </c>
      <c r="B496">
        <v>2.33822549748393</v>
      </c>
      <c r="C496">
        <v>0.36406444279580802</v>
      </c>
      <c r="E496" t="str">
        <f>"10507286"</f>
        <v>10507286</v>
      </c>
      <c r="F496" t="str">
        <f t="shared" si="35"/>
        <v>Affy 1.0 ST</v>
      </c>
      <c r="G496" t="str">
        <f>"MGI:96581"</f>
        <v>MGI:96581</v>
      </c>
      <c r="H496" t="str">
        <f>"Ipp"</f>
        <v>Ipp</v>
      </c>
      <c r="I496" t="str">
        <f>"IAP promoted placental gene"</f>
        <v>IAP promoted placental gene</v>
      </c>
      <c r="J496" t="str">
        <f>"protein coding gene"</f>
        <v>protein coding gene</v>
      </c>
    </row>
    <row r="497" spans="1:10">
      <c r="A497">
        <v>10405063</v>
      </c>
      <c r="B497">
        <v>2.3373473849507</v>
      </c>
      <c r="C497">
        <v>0.66093735301243495</v>
      </c>
      <c r="E497" t="str">
        <f>"10405063"</f>
        <v>10405063</v>
      </c>
      <c r="F497" t="str">
        <f t="shared" si="35"/>
        <v>Affy 1.0 ST</v>
      </c>
      <c r="G497" t="str">
        <f>"MGI:109278"</f>
        <v>MGI:109278</v>
      </c>
      <c r="H497" t="str">
        <f>"Ogn"</f>
        <v>Ogn</v>
      </c>
      <c r="I497" t="str">
        <f>"osteoglycin"</f>
        <v>osteoglycin</v>
      </c>
      <c r="J497" t="str">
        <f>"protein coding gene"</f>
        <v>protein coding gene</v>
      </c>
    </row>
    <row r="498" spans="1:10">
      <c r="A498">
        <v>10492558</v>
      </c>
      <c r="B498">
        <v>2.3341168919000301</v>
      </c>
      <c r="C498">
        <v>0.66190127308559099</v>
      </c>
      <c r="E498" t="str">
        <f>"10492558"</f>
        <v>10492558</v>
      </c>
      <c r="F498" t="str">
        <f t="shared" si="35"/>
        <v>Affy 1.0 ST</v>
      </c>
      <c r="G498" t="str">
        <f>"MGI:1917349"</f>
        <v>MGI:1917349</v>
      </c>
      <c r="H498" t="str">
        <f>"Smc4"</f>
        <v>Smc4</v>
      </c>
      <c r="I498" t="str">
        <f>"structural maintenance of chromosomes 4"</f>
        <v>structural maintenance of chromosomes 4</v>
      </c>
      <c r="J498" t="str">
        <f>"protein coding gene"</f>
        <v>protein coding gene</v>
      </c>
    </row>
    <row r="499" spans="1:10">
      <c r="A499">
        <v>10466818</v>
      </c>
      <c r="B499">
        <v>2.3337083910545999</v>
      </c>
      <c r="C499">
        <v>0.244782379276171</v>
      </c>
      <c r="E499" t="str">
        <f>"10466818"</f>
        <v>10466818</v>
      </c>
      <c r="F499" t="str">
        <f t="shared" si="35"/>
        <v>Affy 1.0 ST</v>
      </c>
      <c r="G499" t="str">
        <f>"MGI:2385089"</f>
        <v>MGI:2385089</v>
      </c>
      <c r="H499" t="str">
        <f>"Cbwd1"</f>
        <v>Cbwd1</v>
      </c>
      <c r="I499" t="str">
        <f>"COBW domain containing 1"</f>
        <v>COBW domain containing 1</v>
      </c>
      <c r="J499" t="str">
        <f>"protein coding gene"</f>
        <v>protein coding gene</v>
      </c>
    </row>
    <row r="500" spans="1:10">
      <c r="A500">
        <v>10446441</v>
      </c>
      <c r="B500">
        <v>2.3299714609042201</v>
      </c>
      <c r="C500">
        <v>0.55697008176465601</v>
      </c>
      <c r="E500" t="str">
        <f>"10446441"</f>
        <v>10446441</v>
      </c>
      <c r="F500" t="str">
        <f t="shared" si="35"/>
        <v>Affy 1.0 ST</v>
      </c>
      <c r="G500" t="str">
        <f>"MGI:2443590"</f>
        <v>MGI:2443590</v>
      </c>
      <c r="H500" t="str">
        <f>"Ddx11"</f>
        <v>Ddx11</v>
      </c>
      <c r="I500" t="s">
        <v>101</v>
      </c>
      <c r="J500" t="s">
        <v>155</v>
      </c>
    </row>
    <row r="501" spans="1:10">
      <c r="A501">
        <v>10514383</v>
      </c>
      <c r="B501">
        <v>2.3299617326078899</v>
      </c>
      <c r="C501">
        <v>0.48908157314238598</v>
      </c>
      <c r="E501" t="str">
        <f>"10514383"</f>
        <v>10514383</v>
      </c>
      <c r="F501" t="str">
        <f>""</f>
        <v/>
      </c>
      <c r="G501" t="str">
        <f>"No associated gene"</f>
        <v>No associated gene</v>
      </c>
    </row>
    <row r="502" spans="1:10">
      <c r="A502">
        <v>10538282</v>
      </c>
      <c r="B502">
        <v>2.3291776724483402</v>
      </c>
      <c r="C502">
        <v>0.78971722090110497</v>
      </c>
      <c r="E502" t="str">
        <f>"10538282"</f>
        <v>10538282</v>
      </c>
      <c r="F502" t="str">
        <f>"Affy 1.0 ST"</f>
        <v>Affy 1.0 ST</v>
      </c>
      <c r="G502" t="str">
        <f>"MGI:108515"</f>
        <v>MGI:108515</v>
      </c>
      <c r="H502" t="str">
        <f>"Cbx3"</f>
        <v>Cbx3</v>
      </c>
      <c r="I502" t="str">
        <f>"chromobox homolog 3 (Drosophila HP1 gamma)"</f>
        <v>chromobox homolog 3 (Drosophila HP1 gamma)</v>
      </c>
      <c r="J502" t="str">
        <f>"protein coding gene"</f>
        <v>protein coding gene</v>
      </c>
    </row>
    <row r="503" spans="1:10">
      <c r="A503">
        <v>10410207</v>
      </c>
      <c r="B503">
        <v>2.32765314602142</v>
      </c>
      <c r="C503">
        <v>0.485110147379537</v>
      </c>
      <c r="E503" t="str">
        <f>"10410207"</f>
        <v>10410207</v>
      </c>
      <c r="F503" t="str">
        <f>"Affy 1.0 ST"</f>
        <v>Affy 1.0 ST</v>
      </c>
      <c r="G503" t="str">
        <f>"MGI:108515"</f>
        <v>MGI:108515</v>
      </c>
      <c r="H503" t="str">
        <f>"Cbx3"</f>
        <v>Cbx3</v>
      </c>
      <c r="I503" t="str">
        <f>"chromobox homolog 3 (Drosophila HP1 gamma)"</f>
        <v>chromobox homolog 3 (Drosophila HP1 gamma)</v>
      </c>
      <c r="J503" t="str">
        <f>"protein coding gene"</f>
        <v>protein coding gene</v>
      </c>
    </row>
    <row r="504" spans="1:10">
      <c r="A504">
        <v>10342811</v>
      </c>
      <c r="B504">
        <v>2.3211562625969799</v>
      </c>
      <c r="C504">
        <v>0.52481865282239304</v>
      </c>
      <c r="E504" t="str">
        <f>"10342811"</f>
        <v>10342811</v>
      </c>
      <c r="F504" t="str">
        <f>""</f>
        <v/>
      </c>
      <c r="G504" t="str">
        <f>"No associated gene"</f>
        <v>No associated gene</v>
      </c>
    </row>
    <row r="505" spans="1:10">
      <c r="A505">
        <v>10567851</v>
      </c>
      <c r="B505">
        <v>2.3108372723456698</v>
      </c>
      <c r="C505">
        <v>9.2427681622563707E-2</v>
      </c>
      <c r="E505" t="str">
        <f>"10567851"</f>
        <v>10567851</v>
      </c>
      <c r="F505" t="str">
        <f t="shared" ref="F505:F513" si="36">"Affy 1.0 ST"</f>
        <v>Affy 1.0 ST</v>
      </c>
      <c r="G505" t="str">
        <f>"MGI:1329015"</f>
        <v>MGI:1329015</v>
      </c>
      <c r="H505" t="str">
        <f>"Nfatc2ip"</f>
        <v>Nfatc2ip</v>
      </c>
      <c r="I505" t="s">
        <v>102</v>
      </c>
      <c r="J505" t="s">
        <v>155</v>
      </c>
    </row>
    <row r="506" spans="1:10">
      <c r="A506">
        <v>10425559</v>
      </c>
      <c r="B506">
        <v>2.31064105595827</v>
      </c>
      <c r="C506">
        <v>0.32369213332261298</v>
      </c>
      <c r="E506" t="str">
        <f>"10425559"</f>
        <v>10425559</v>
      </c>
      <c r="F506" t="str">
        <f t="shared" si="36"/>
        <v>Affy 1.0 ST</v>
      </c>
      <c r="G506" t="str">
        <f>"MGI:2443584"</f>
        <v>MGI:2443584</v>
      </c>
      <c r="H506" t="str">
        <f>"L3mbtl2"</f>
        <v>L3mbtl2</v>
      </c>
      <c r="I506" t="str">
        <f>"l(3)mbt-like 2 (Drosophila)"</f>
        <v>l(3)mbt-like 2 (Drosophila)</v>
      </c>
      <c r="J506" t="str">
        <f>"protein coding gene"</f>
        <v>protein coding gene</v>
      </c>
    </row>
    <row r="507" spans="1:10">
      <c r="A507">
        <v>10540072</v>
      </c>
      <c r="B507">
        <v>2.30725636401574</v>
      </c>
      <c r="C507">
        <v>0.477880286336263</v>
      </c>
      <c r="E507" t="str">
        <f>"10540072"</f>
        <v>10540072</v>
      </c>
      <c r="F507" t="str">
        <f t="shared" si="36"/>
        <v>Affy 1.0 ST</v>
      </c>
      <c r="G507" t="str">
        <f>"MGI:3645534"</f>
        <v>MGI:3645534</v>
      </c>
      <c r="H507" t="str">
        <f>"Gm5972"</f>
        <v>Gm5972</v>
      </c>
      <c r="I507" t="str">
        <f>"predicted gene 5972"</f>
        <v>predicted gene 5972</v>
      </c>
      <c r="J507" t="str">
        <f>"pseudogene"</f>
        <v>pseudogene</v>
      </c>
    </row>
    <row r="508" spans="1:10">
      <c r="A508">
        <v>10585091</v>
      </c>
      <c r="B508">
        <v>2.3012756573920101</v>
      </c>
      <c r="C508">
        <v>0.61293991431810302</v>
      </c>
      <c r="E508" t="str">
        <f>"10585091"</f>
        <v>10585091</v>
      </c>
      <c r="F508" t="str">
        <f t="shared" si="36"/>
        <v>Affy 1.0 ST</v>
      </c>
      <c r="G508" t="str">
        <f>"MGI:893586"</f>
        <v>MGI:893586</v>
      </c>
      <c r="H508" t="str">
        <f>"Nhp2l1"</f>
        <v>Nhp2l1</v>
      </c>
      <c r="I508" t="str">
        <f>"NHP2 non-histone chromosome protein 2-like 1 (S. cerevisiae)"</f>
        <v>NHP2 non-histone chromosome protein 2-like 1 (S. cerevisiae)</v>
      </c>
      <c r="J508" t="str">
        <f t="shared" ref="J508:J513" si="37">"protein coding gene"</f>
        <v>protein coding gene</v>
      </c>
    </row>
    <row r="509" spans="1:10">
      <c r="A509">
        <v>10452701</v>
      </c>
      <c r="B509">
        <v>2.3002399748101698</v>
      </c>
      <c r="C509">
        <v>0.79835324690380804</v>
      </c>
      <c r="E509" t="str">
        <f>"10452701"</f>
        <v>10452701</v>
      </c>
      <c r="F509" t="str">
        <f t="shared" si="36"/>
        <v>Affy 1.0 ST</v>
      </c>
      <c r="G509" t="str">
        <f>"MGI:1921605"</f>
        <v>MGI:1921605</v>
      </c>
      <c r="H509" t="str">
        <f>"Smchd1"</f>
        <v>Smchd1</v>
      </c>
      <c r="I509" t="str">
        <f>"SMC hinge domain containing 1"</f>
        <v>SMC hinge domain containing 1</v>
      </c>
      <c r="J509" t="str">
        <f t="shared" si="37"/>
        <v>protein coding gene</v>
      </c>
    </row>
    <row r="510" spans="1:10">
      <c r="A510">
        <v>10578193</v>
      </c>
      <c r="B510">
        <v>2.2882594792503199</v>
      </c>
      <c r="C510">
        <v>0.16216665851292</v>
      </c>
      <c r="E510" t="str">
        <f>"10578193"</f>
        <v>10578193</v>
      </c>
      <c r="F510" t="str">
        <f t="shared" si="36"/>
        <v>Affy 1.0 ST</v>
      </c>
      <c r="G510" t="str">
        <f>"MGI:1914526"</f>
        <v>MGI:1914526</v>
      </c>
      <c r="H510" t="str">
        <f>"Eri1"</f>
        <v>Eri1</v>
      </c>
      <c r="I510" t="str">
        <f>"exoribonuclease 1"</f>
        <v>exoribonuclease 1</v>
      </c>
      <c r="J510" t="str">
        <f t="shared" si="37"/>
        <v>protein coding gene</v>
      </c>
    </row>
    <row r="511" spans="1:10">
      <c r="A511">
        <v>10453399</v>
      </c>
      <c r="B511">
        <v>2.28505449782591</v>
      </c>
      <c r="C511">
        <v>0.35267718504516099</v>
      </c>
      <c r="E511" t="str">
        <f>"10453399"</f>
        <v>10453399</v>
      </c>
      <c r="F511" t="str">
        <f t="shared" si="36"/>
        <v>Affy 1.0 ST</v>
      </c>
      <c r="G511" t="str">
        <f>"MGI:1925836"</f>
        <v>MGI:1925836</v>
      </c>
      <c r="H511" t="str">
        <f>"Srbd1"</f>
        <v>Srbd1</v>
      </c>
      <c r="I511" t="str">
        <f>"S1 RNA binding domain 1"</f>
        <v>S1 RNA binding domain 1</v>
      </c>
      <c r="J511" t="str">
        <f t="shared" si="37"/>
        <v>protein coding gene</v>
      </c>
    </row>
    <row r="512" spans="1:10">
      <c r="A512">
        <v>10382542</v>
      </c>
      <c r="B512">
        <v>2.2805125488914801</v>
      </c>
      <c r="C512">
        <v>0.744001586780352</v>
      </c>
      <c r="E512" t="str">
        <f>"10382542"</f>
        <v>10382542</v>
      </c>
      <c r="F512" t="str">
        <f t="shared" si="36"/>
        <v>Affy 1.0 ST</v>
      </c>
      <c r="G512" t="str">
        <f>"MGI:3046173"</f>
        <v>MGI:3046173</v>
      </c>
      <c r="H512" t="str">
        <f>"Nup85"</f>
        <v>Nup85</v>
      </c>
      <c r="I512" t="str">
        <f>"nucleoporin 85"</f>
        <v>nucleoporin 85</v>
      </c>
      <c r="J512" t="str">
        <f t="shared" si="37"/>
        <v>protein coding gene</v>
      </c>
    </row>
    <row r="513" spans="1:10">
      <c r="A513">
        <v>10479775</v>
      </c>
      <c r="B513">
        <v>2.2771351242034399</v>
      </c>
      <c r="C513">
        <v>0.26387508752070898</v>
      </c>
      <c r="E513" t="str">
        <f>"10479775"</f>
        <v>10479775</v>
      </c>
      <c r="F513" t="str">
        <f t="shared" si="36"/>
        <v>Affy 1.0 ST</v>
      </c>
      <c r="G513" t="str">
        <f>"MGI:1354164"</f>
        <v>MGI:1354164</v>
      </c>
      <c r="H513" t="str">
        <f>"Hspa14"</f>
        <v>Hspa14</v>
      </c>
      <c r="I513" t="str">
        <f>"heat shock protein 14"</f>
        <v>heat shock protein 14</v>
      </c>
      <c r="J513" t="str">
        <f t="shared" si="37"/>
        <v>protein coding gene</v>
      </c>
    </row>
    <row r="514" spans="1:10">
      <c r="A514">
        <v>10338701</v>
      </c>
      <c r="B514">
        <v>2.27521583381849</v>
      </c>
      <c r="C514">
        <v>0.25452656254503198</v>
      </c>
      <c r="E514" t="str">
        <f>"10338701"</f>
        <v>10338701</v>
      </c>
      <c r="F514" t="str">
        <f>""</f>
        <v/>
      </c>
      <c r="G514" t="str">
        <f>"No associated gene"</f>
        <v>No associated gene</v>
      </c>
    </row>
    <row r="515" spans="1:10">
      <c r="A515">
        <v>10482181</v>
      </c>
      <c r="B515">
        <v>2.2721556809240799</v>
      </c>
      <c r="C515">
        <v>0.60056738283167499</v>
      </c>
      <c r="E515" t="str">
        <f>"10482181"</f>
        <v>10482181</v>
      </c>
      <c r="F515" t="str">
        <f t="shared" ref="F515:F523" si="38">"Affy 1.0 ST"</f>
        <v>Affy 1.0 ST</v>
      </c>
      <c r="G515" t="str">
        <f>"MGI:104626"</f>
        <v>MGI:104626</v>
      </c>
      <c r="H515" t="str">
        <f>"Strbp"</f>
        <v>Strbp</v>
      </c>
      <c r="I515" t="str">
        <f>"spermatid perinuclear RNA binding protein"</f>
        <v>spermatid perinuclear RNA binding protein</v>
      </c>
      <c r="J515" t="str">
        <f>"protein coding gene"</f>
        <v>protein coding gene</v>
      </c>
    </row>
    <row r="516" spans="1:10">
      <c r="A516">
        <v>10508996</v>
      </c>
      <c r="B516">
        <v>2.2641070312809899</v>
      </c>
      <c r="C516">
        <v>0.64885262048521697</v>
      </c>
      <c r="E516" t="str">
        <f>"10508996"</f>
        <v>10508996</v>
      </c>
      <c r="F516" t="str">
        <f t="shared" si="38"/>
        <v>Affy 1.0 ST</v>
      </c>
      <c r="G516" t="str">
        <f>"MGI:1917135"</f>
        <v>MGI:1917135</v>
      </c>
      <c r="H516" t="str">
        <f>"2610002D18Rik"</f>
        <v>2610002D18Rik</v>
      </c>
      <c r="I516" t="str">
        <f>"RIKEN cDNA 2610002D18 gene"</f>
        <v>RIKEN cDNA 2610002D18 gene</v>
      </c>
      <c r="J516" t="str">
        <f>"protein coding gene"</f>
        <v>protein coding gene</v>
      </c>
    </row>
    <row r="517" spans="1:10">
      <c r="A517">
        <v>10352356</v>
      </c>
      <c r="B517">
        <v>2.2636017426431398</v>
      </c>
      <c r="C517">
        <v>0.62805297977415897</v>
      </c>
      <c r="E517" t="str">
        <f>"10352356"</f>
        <v>10352356</v>
      </c>
      <c r="F517" t="str">
        <f t="shared" si="38"/>
        <v>Affy 1.0 ST</v>
      </c>
      <c r="G517" t="str">
        <f>"MGI:1919159"</f>
        <v>MGI:1919159</v>
      </c>
      <c r="H517" t="str">
        <f>"Haus5"</f>
        <v>Haus5</v>
      </c>
      <c r="I517" t="s">
        <v>75</v>
      </c>
      <c r="J517" t="s">
        <v>155</v>
      </c>
    </row>
    <row r="518" spans="1:10">
      <c r="A518">
        <v>10450384</v>
      </c>
      <c r="B518">
        <v>2.2603327223778602</v>
      </c>
      <c r="C518">
        <v>0.69431863548527195</v>
      </c>
      <c r="E518" t="str">
        <f>"10450384"</f>
        <v>10450384</v>
      </c>
      <c r="F518" t="str">
        <f t="shared" si="38"/>
        <v>Affy 1.0 ST</v>
      </c>
      <c r="G518" t="str">
        <f>"MGI:1329021"</f>
        <v>MGI:1329021</v>
      </c>
      <c r="H518" t="str">
        <f>"Msh5"</f>
        <v>Msh5</v>
      </c>
      <c r="I518" t="str">
        <f>"mutS homolog 5 (E. coli)"</f>
        <v>mutS homolog 5 (E. coli)</v>
      </c>
      <c r="J518" t="str">
        <f>"protein coding gene"</f>
        <v>protein coding gene</v>
      </c>
    </row>
    <row r="519" spans="1:10">
      <c r="A519">
        <v>10510142</v>
      </c>
      <c r="B519">
        <v>2.2568304730422701</v>
      </c>
      <c r="C519">
        <v>0.206624681323652</v>
      </c>
      <c r="E519" t="str">
        <f>"10510142"</f>
        <v>10510142</v>
      </c>
      <c r="F519" t="str">
        <f t="shared" si="38"/>
        <v>Affy 1.0 ST</v>
      </c>
      <c r="G519" t="str">
        <f>"MGI:2443330"</f>
        <v>MGI:2443330</v>
      </c>
      <c r="H519" t="str">
        <f>"Vmn2r-ps14"</f>
        <v>Vmn2r-ps14</v>
      </c>
      <c r="I519" t="s">
        <v>103</v>
      </c>
      <c r="J519" t="s">
        <v>133</v>
      </c>
    </row>
    <row r="520" spans="1:10">
      <c r="A520">
        <v>10447880</v>
      </c>
      <c r="B520">
        <v>2.2565688537177402</v>
      </c>
      <c r="C520">
        <v>0.58688049632249195</v>
      </c>
      <c r="E520" t="str">
        <f>"10447880"</f>
        <v>10447880</v>
      </c>
      <c r="F520" t="str">
        <f t="shared" si="38"/>
        <v>Affy 1.0 ST</v>
      </c>
      <c r="G520" t="str">
        <f>"MGI:1914931"</f>
        <v>MGI:1914931</v>
      </c>
      <c r="H520" t="str">
        <f>"Mrpl18"</f>
        <v>Mrpl18</v>
      </c>
      <c r="I520" t="str">
        <f>"mitochondrial ribosomal protein L18"</f>
        <v>mitochondrial ribosomal protein L18</v>
      </c>
      <c r="J520" t="str">
        <f>"protein coding gene"</f>
        <v>protein coding gene</v>
      </c>
    </row>
    <row r="521" spans="1:10">
      <c r="A521">
        <v>10475437</v>
      </c>
      <c r="B521">
        <v>2.25620230892982</v>
      </c>
      <c r="C521">
        <v>0.438093356874172</v>
      </c>
      <c r="E521" t="str">
        <f>"10475437"</f>
        <v>10475437</v>
      </c>
      <c r="F521" t="str">
        <f t="shared" si="38"/>
        <v>Affy 1.0 ST</v>
      </c>
      <c r="G521" t="str">
        <f>"MGI:98266"</f>
        <v>MGI:98266</v>
      </c>
      <c r="H521" t="str">
        <f>"Sord"</f>
        <v>Sord</v>
      </c>
      <c r="I521" t="str">
        <f>"sorbitol dehydrogenase"</f>
        <v>sorbitol dehydrogenase</v>
      </c>
      <c r="J521" t="str">
        <f>"protein coding gene"</f>
        <v>protein coding gene</v>
      </c>
    </row>
    <row r="522" spans="1:10">
      <c r="A522">
        <v>10548057</v>
      </c>
      <c r="B522">
        <v>2.2503847308092699</v>
      </c>
      <c r="C522">
        <v>0.38031646107717698</v>
      </c>
      <c r="E522" t="str">
        <f>"10548057"</f>
        <v>10548057</v>
      </c>
      <c r="F522" t="str">
        <f t="shared" si="38"/>
        <v>Affy 1.0 ST</v>
      </c>
      <c r="G522" t="str">
        <f>"MGI:1913358"</f>
        <v>MGI:1913358</v>
      </c>
      <c r="H522" t="str">
        <f>"Ndufa9"</f>
        <v>Ndufa9</v>
      </c>
      <c r="I522" t="s">
        <v>104</v>
      </c>
      <c r="J522" t="s">
        <v>155</v>
      </c>
    </row>
    <row r="523" spans="1:10">
      <c r="A523">
        <v>10580722</v>
      </c>
      <c r="B523">
        <v>2.2501163901526899</v>
      </c>
      <c r="C523">
        <v>0.65396371777568396</v>
      </c>
      <c r="E523" t="str">
        <f>"10580722"</f>
        <v>10580722</v>
      </c>
      <c r="F523" t="str">
        <f t="shared" si="38"/>
        <v>Affy 1.0 ST</v>
      </c>
      <c r="G523" t="str">
        <f>"MGI:1915469"</f>
        <v>MGI:1915469</v>
      </c>
      <c r="H523" t="str">
        <f>"Nudt21"</f>
        <v>Nudt21</v>
      </c>
      <c r="I523" t="str">
        <f>"nudix (nucleoside diphosphate linked moiety X)-type motif 21"</f>
        <v>nudix (nucleoside diphosphate linked moiety X)-type motif 21</v>
      </c>
      <c r="J523" t="str">
        <f>"protein coding gene"</f>
        <v>protein coding gene</v>
      </c>
    </row>
    <row r="524" spans="1:10">
      <c r="A524">
        <v>10339740</v>
      </c>
      <c r="B524">
        <v>2.2494980041347801</v>
      </c>
      <c r="C524">
        <v>0.23264116810627999</v>
      </c>
      <c r="E524" t="str">
        <f>"10339740"</f>
        <v>10339740</v>
      </c>
      <c r="F524" t="str">
        <f>""</f>
        <v/>
      </c>
      <c r="G524" t="str">
        <f>"No associated gene"</f>
        <v>No associated gene</v>
      </c>
    </row>
    <row r="525" spans="1:10">
      <c r="A525">
        <v>10420668</v>
      </c>
      <c r="B525">
        <v>2.2447129432889401</v>
      </c>
      <c r="C525">
        <v>0.246982269241872</v>
      </c>
      <c r="E525" t="str">
        <f>"10420668"</f>
        <v>10420668</v>
      </c>
      <c r="F525" t="str">
        <f>""</f>
        <v/>
      </c>
      <c r="G525" t="str">
        <f>"No associated gene"</f>
        <v>No associated gene</v>
      </c>
    </row>
    <row r="526" spans="1:10">
      <c r="A526">
        <v>10449999</v>
      </c>
      <c r="B526">
        <v>2.2417363372377999</v>
      </c>
      <c r="C526">
        <v>0.58395350985154104</v>
      </c>
      <c r="E526" t="str">
        <f>"10449999"</f>
        <v>10449999</v>
      </c>
      <c r="F526" t="str">
        <f t="shared" ref="F526:F533" si="39">"Affy 1.0 ST"</f>
        <v>Affy 1.0 ST</v>
      </c>
      <c r="G526" t="str">
        <f>"MGI:107547"</f>
        <v>MGI:107547</v>
      </c>
      <c r="H526" t="str">
        <f>"Zfp101"</f>
        <v>Zfp101</v>
      </c>
      <c r="I526" t="str">
        <f>"zinc finger protein 101"</f>
        <v>zinc finger protein 101</v>
      </c>
      <c r="J526" t="str">
        <f>"protein coding gene"</f>
        <v>protein coding gene</v>
      </c>
    </row>
    <row r="527" spans="1:10">
      <c r="A527">
        <v>10604620</v>
      </c>
      <c r="B527">
        <v>2.2398979789367202</v>
      </c>
      <c r="C527">
        <v>0.62389425029069101</v>
      </c>
      <c r="E527" t="str">
        <f>"10604620"</f>
        <v>10604620</v>
      </c>
      <c r="F527" t="str">
        <f t="shared" si="39"/>
        <v>Affy 1.0 ST</v>
      </c>
      <c r="G527" t="str">
        <f>"MGI:1926005"</f>
        <v>MGI:1926005</v>
      </c>
      <c r="H527" t="str">
        <f>"Fam122b"</f>
        <v>Fam122b</v>
      </c>
      <c r="I527" t="s">
        <v>105</v>
      </c>
      <c r="J527" t="s">
        <v>155</v>
      </c>
    </row>
    <row r="528" spans="1:10">
      <c r="A528">
        <v>10409737</v>
      </c>
      <c r="B528">
        <v>2.2395346715311</v>
      </c>
      <c r="C528">
        <v>0.52209657140936006</v>
      </c>
      <c r="E528" t="str">
        <f>"10409737"</f>
        <v>10409737</v>
      </c>
      <c r="F528" t="str">
        <f t="shared" si="39"/>
        <v>Affy 1.0 ST</v>
      </c>
      <c r="G528" t="str">
        <f>"MGI:2159437"</f>
        <v>MGI:2159437</v>
      </c>
      <c r="H528" t="str">
        <f>"Agtpbp1"</f>
        <v>Agtpbp1</v>
      </c>
      <c r="I528" t="str">
        <f>"ATP/GTP binding protein 1"</f>
        <v>ATP/GTP binding protein 1</v>
      </c>
      <c r="J528" t="str">
        <f>"protein coding gene"</f>
        <v>protein coding gene</v>
      </c>
    </row>
    <row r="529" spans="1:10">
      <c r="A529">
        <v>10438909</v>
      </c>
      <c r="B529">
        <v>2.2350025051356202</v>
      </c>
      <c r="C529">
        <v>0.40511456843751498</v>
      </c>
      <c r="E529" t="str">
        <f>"10438909"</f>
        <v>10438909</v>
      </c>
      <c r="F529" t="str">
        <f t="shared" si="39"/>
        <v>Affy 1.0 ST</v>
      </c>
      <c r="G529" t="str">
        <f>"MGI:2685387"</f>
        <v>MGI:2685387</v>
      </c>
      <c r="H529" t="str">
        <f>"Atp13a3"</f>
        <v>Atp13a3</v>
      </c>
      <c r="I529" t="str">
        <f>"ATPase type 13A3"</f>
        <v>ATPase type 13A3</v>
      </c>
      <c r="J529" t="str">
        <f>"protein coding gene"</f>
        <v>protein coding gene</v>
      </c>
    </row>
    <row r="530" spans="1:10">
      <c r="A530">
        <v>10586773</v>
      </c>
      <c r="B530">
        <v>2.22488490909981</v>
      </c>
      <c r="C530">
        <v>0.44810759544447198</v>
      </c>
      <c r="E530" t="str">
        <f>"10586773"</f>
        <v>10586773</v>
      </c>
      <c r="F530" t="str">
        <f t="shared" si="39"/>
        <v>Affy 1.0 ST</v>
      </c>
      <c r="G530" t="str">
        <f>"MGI:1933289"</f>
        <v>MGI:1933289</v>
      </c>
      <c r="H530" t="str">
        <f>"Gtf2a2"</f>
        <v>Gtf2a2</v>
      </c>
      <c r="I530" t="s">
        <v>106</v>
      </c>
      <c r="J530" t="s">
        <v>155</v>
      </c>
    </row>
    <row r="531" spans="1:10">
      <c r="A531">
        <v>10395831</v>
      </c>
      <c r="B531">
        <v>2.22292841352674</v>
      </c>
      <c r="C531">
        <v>0.47543434767707499</v>
      </c>
      <c r="E531" t="str">
        <f>"10395831"</f>
        <v>10395831</v>
      </c>
      <c r="F531" t="str">
        <f t="shared" si="39"/>
        <v>Affy 1.0 ST</v>
      </c>
      <c r="G531" t="str">
        <f>"MGI:1196337"</f>
        <v>MGI:1196337</v>
      </c>
      <c r="H531" t="str">
        <f>"Brms1l"</f>
        <v>Brms1l</v>
      </c>
      <c r="I531" t="str">
        <f>"breast cancer metastasis-suppressor 1-like"</f>
        <v>breast cancer metastasis-suppressor 1-like</v>
      </c>
      <c r="J531" t="str">
        <f>"protein coding gene"</f>
        <v>protein coding gene</v>
      </c>
    </row>
    <row r="532" spans="1:10">
      <c r="A532">
        <v>10474577</v>
      </c>
      <c r="B532">
        <v>2.2219500581578502</v>
      </c>
      <c r="C532">
        <v>0.49928475805370898</v>
      </c>
      <c r="E532" t="str">
        <f>"10474577"</f>
        <v>10474577</v>
      </c>
      <c r="F532" t="str">
        <f t="shared" si="39"/>
        <v>Affy 1.0 ST</v>
      </c>
      <c r="G532" t="str">
        <f>"MGI:1919675"</f>
        <v>MGI:1919675</v>
      </c>
      <c r="H532" t="str">
        <f>"2410042D21Rik"</f>
        <v>2410042D21Rik</v>
      </c>
      <c r="I532" t="str">
        <f>"RIKEN cDNA 2410042D21 gene"</f>
        <v>RIKEN cDNA 2410042D21 gene</v>
      </c>
      <c r="J532" t="str">
        <f>"protein coding gene"</f>
        <v>protein coding gene</v>
      </c>
    </row>
    <row r="533" spans="1:10">
      <c r="A533">
        <v>10528840</v>
      </c>
      <c r="B533">
        <v>2.2210082438533698</v>
      </c>
      <c r="C533">
        <v>0.30775282327091902</v>
      </c>
      <c r="E533" t="str">
        <f>"10528840"</f>
        <v>10528840</v>
      </c>
      <c r="F533" t="str">
        <f t="shared" si="39"/>
        <v>Affy 1.0 ST</v>
      </c>
      <c r="G533" t="str">
        <f>"MGI:1890430"</f>
        <v>MGI:1890430</v>
      </c>
      <c r="H533" t="str">
        <f>"Paxip1"</f>
        <v>Paxip1</v>
      </c>
      <c r="I533" t="str">
        <f>"PAX interacting (with transcription-activation domain) protein 1"</f>
        <v>PAX interacting (with transcription-activation domain) protein 1</v>
      </c>
      <c r="J533" t="str">
        <f>"protein coding gene"</f>
        <v>protein coding gene</v>
      </c>
    </row>
    <row r="534" spans="1:10">
      <c r="A534">
        <v>10340212</v>
      </c>
      <c r="B534">
        <v>2.2150878576962798</v>
      </c>
      <c r="C534">
        <v>0.26106971576180299</v>
      </c>
      <c r="E534" t="str">
        <f>"10340212"</f>
        <v>10340212</v>
      </c>
      <c r="F534" t="str">
        <f>""</f>
        <v/>
      </c>
      <c r="G534" t="str">
        <f>"No associated gene"</f>
        <v>No associated gene</v>
      </c>
    </row>
    <row r="535" spans="1:10">
      <c r="A535">
        <v>10488589</v>
      </c>
      <c r="B535">
        <v>2.21320221431461</v>
      </c>
      <c r="C535">
        <v>0.53469916732957901</v>
      </c>
      <c r="E535" t="str">
        <f>"10488589"</f>
        <v>10488589</v>
      </c>
      <c r="F535" t="str">
        <f>"Affy 1.0 ST"</f>
        <v>Affy 1.0 ST</v>
      </c>
      <c r="G535" t="str">
        <f>"MGI:1921097"</f>
        <v>MGI:1921097</v>
      </c>
      <c r="H535" t="str">
        <f>"Fam110a"</f>
        <v>Fam110a</v>
      </c>
      <c r="I535" t="s">
        <v>107</v>
      </c>
      <c r="J535" t="s">
        <v>155</v>
      </c>
    </row>
    <row r="536" spans="1:10">
      <c r="A536">
        <v>10405058</v>
      </c>
      <c r="B536">
        <v>2.2120108823183302</v>
      </c>
      <c r="C536">
        <v>0.57505128680842499</v>
      </c>
      <c r="E536" t="str">
        <f>"10405058"</f>
        <v>10405058</v>
      </c>
      <c r="F536" t="str">
        <f>"Affy 1.0 ST"</f>
        <v>Affy 1.0 ST</v>
      </c>
      <c r="G536" t="str">
        <f>"MGI:1350918"</f>
        <v>MGI:1350918</v>
      </c>
      <c r="H536" t="str">
        <f>"Omd"</f>
        <v>Omd</v>
      </c>
      <c r="I536" t="str">
        <f>"osteomodulin"</f>
        <v>osteomodulin</v>
      </c>
      <c r="J536" t="str">
        <f>"protein coding gene"</f>
        <v>protein coding gene</v>
      </c>
    </row>
    <row r="537" spans="1:10">
      <c r="A537">
        <v>10386402</v>
      </c>
      <c r="B537">
        <v>2.21087195786528</v>
      </c>
      <c r="C537">
        <v>0.48380651294971899</v>
      </c>
      <c r="E537" t="str">
        <f>"10386402"</f>
        <v>10386402</v>
      </c>
      <c r="F537" t="str">
        <f>"Affy 1.0 ST"</f>
        <v>Affy 1.0 ST</v>
      </c>
      <c r="G537" t="str">
        <f>"MGI:2679270"</f>
        <v>MGI:2679270</v>
      </c>
      <c r="H537" t="str">
        <f>"Zkscan17"</f>
        <v>Zkscan17</v>
      </c>
      <c r="I537" t="str">
        <f>"zinc finger with KRAB and SCAN domains 17"</f>
        <v>zinc finger with KRAB and SCAN domains 17</v>
      </c>
      <c r="J537" t="str">
        <f>"protein coding gene"</f>
        <v>protein coding gene</v>
      </c>
    </row>
    <row r="538" spans="1:10">
      <c r="A538">
        <v>10552173</v>
      </c>
      <c r="B538">
        <v>2.20415244220731</v>
      </c>
      <c r="C538">
        <v>0.42414680320243298</v>
      </c>
      <c r="E538" t="str">
        <f>"10552173"</f>
        <v>10552173</v>
      </c>
      <c r="F538" t="str">
        <f>"Affy 1.0 ST"</f>
        <v>Affy 1.0 ST</v>
      </c>
      <c r="G538" t="str">
        <f>"MGI:1919390"</f>
        <v>MGI:1919390</v>
      </c>
      <c r="H538" t="str">
        <f>"Ccdc123"</f>
        <v>Ccdc123</v>
      </c>
      <c r="I538" t="str">
        <f>"coiled-coil domain containing 123"</f>
        <v>coiled-coil domain containing 123</v>
      </c>
      <c r="J538" t="str">
        <f>"protein coding gene"</f>
        <v>protein coding gene</v>
      </c>
    </row>
    <row r="539" spans="1:10">
      <c r="A539">
        <v>10341721</v>
      </c>
      <c r="B539">
        <v>2.2010653520827201</v>
      </c>
      <c r="C539">
        <v>0.27656493665040599</v>
      </c>
      <c r="E539" t="str">
        <f>"10341721"</f>
        <v>10341721</v>
      </c>
      <c r="F539" t="str">
        <f>""</f>
        <v/>
      </c>
      <c r="G539" t="str">
        <f>"No associated gene"</f>
        <v>No associated gene</v>
      </c>
    </row>
    <row r="540" spans="1:10">
      <c r="A540">
        <v>10495763</v>
      </c>
      <c r="B540">
        <v>2.1995157125275999</v>
      </c>
      <c r="C540">
        <v>0.60902130303991397</v>
      </c>
      <c r="E540" t="str">
        <f>"10495763"</f>
        <v>10495763</v>
      </c>
      <c r="F540" t="str">
        <f>"Affy 1.0 ST"</f>
        <v>Affy 1.0 ST</v>
      </c>
      <c r="G540" t="str">
        <f>"MGI:104995"</f>
        <v>MGI:104995</v>
      </c>
      <c r="H540" t="str">
        <f>"Gclm"</f>
        <v>Gclm</v>
      </c>
      <c r="I540" t="s">
        <v>108</v>
      </c>
      <c r="J540" t="s">
        <v>155</v>
      </c>
    </row>
    <row r="541" spans="1:10">
      <c r="A541">
        <v>10371307</v>
      </c>
      <c r="B541">
        <v>2.19864592106117</v>
      </c>
      <c r="C541">
        <v>0.42975945242850899</v>
      </c>
      <c r="E541" t="str">
        <f>"10371307"</f>
        <v>10371307</v>
      </c>
      <c r="F541" t="str">
        <f>"Affy 1.0 ST"</f>
        <v>Affy 1.0 ST</v>
      </c>
      <c r="G541" t="str">
        <f>"MGI:97317"</f>
        <v>MGI:97317</v>
      </c>
      <c r="H541" t="str">
        <f>"Nfyb"</f>
        <v>Nfyb</v>
      </c>
      <c r="I541" t="str">
        <f>"nuclear transcription factor-Y beta"</f>
        <v>nuclear transcription factor-Y beta</v>
      </c>
      <c r="J541" t="str">
        <f>"protein coding gene"</f>
        <v>protein coding gene</v>
      </c>
    </row>
    <row r="542" spans="1:10">
      <c r="A542">
        <v>10392943</v>
      </c>
      <c r="B542">
        <v>2.1952210819367299</v>
      </c>
      <c r="C542">
        <v>0.43912145094128202</v>
      </c>
      <c r="E542" t="str">
        <f>"10392943"</f>
        <v>10392943</v>
      </c>
      <c r="F542" t="str">
        <f>"Affy 1.0 ST"</f>
        <v>Affy 1.0 ST</v>
      </c>
      <c r="G542" t="str">
        <f>"MGI:1096361"</f>
        <v>MGI:1096361</v>
      </c>
      <c r="H542" t="str">
        <f>"Hn1"</f>
        <v>Hn1</v>
      </c>
      <c r="I542" t="str">
        <f>"hematological and neurological expressed sequence 1"</f>
        <v>hematological and neurological expressed sequence 1</v>
      </c>
      <c r="J542" t="str">
        <f>"protein coding gene"</f>
        <v>protein coding gene</v>
      </c>
    </row>
    <row r="543" spans="1:10">
      <c r="A543">
        <v>10439878</v>
      </c>
      <c r="B543">
        <v>2.1916302342475098</v>
      </c>
      <c r="C543">
        <v>0.21484399081432301</v>
      </c>
      <c r="E543" t="str">
        <f>"10439878"</f>
        <v>10439878</v>
      </c>
      <c r="F543" t="str">
        <f>"Affy 1.0 ST"</f>
        <v>Affy 1.0 ST</v>
      </c>
      <c r="G543" t="str">
        <f>"MGI:106054"</f>
        <v>MGI:106054</v>
      </c>
      <c r="H543" t="str">
        <f>"Psmc1"</f>
        <v>Psmc1</v>
      </c>
      <c r="I543" t="s">
        <v>109</v>
      </c>
      <c r="J543" t="s">
        <v>155</v>
      </c>
    </row>
    <row r="544" spans="1:10">
      <c r="A544">
        <v>10342642</v>
      </c>
      <c r="B544">
        <v>2.1794910780744901</v>
      </c>
      <c r="C544">
        <v>0.256848681507229</v>
      </c>
      <c r="E544" t="str">
        <f>"10342642"</f>
        <v>10342642</v>
      </c>
      <c r="F544" t="str">
        <f>""</f>
        <v/>
      </c>
      <c r="G544" t="str">
        <f>"No associated gene"</f>
        <v>No associated gene</v>
      </c>
    </row>
    <row r="545" spans="1:10">
      <c r="A545">
        <v>10339335</v>
      </c>
      <c r="B545">
        <v>2.1780788452867501</v>
      </c>
      <c r="C545">
        <v>0.23129143422305601</v>
      </c>
      <c r="E545" t="str">
        <f>"10339335"</f>
        <v>10339335</v>
      </c>
      <c r="F545" t="str">
        <f>""</f>
        <v/>
      </c>
      <c r="G545" t="str">
        <f>"No associated gene"</f>
        <v>No associated gene</v>
      </c>
    </row>
    <row r="546" spans="1:10">
      <c r="A546">
        <v>10339595</v>
      </c>
      <c r="B546">
        <v>2.1766014000457301</v>
      </c>
      <c r="C546">
        <v>0.20734943390923499</v>
      </c>
      <c r="E546" t="str">
        <f>"10339595"</f>
        <v>10339595</v>
      </c>
      <c r="F546" t="str">
        <f>""</f>
        <v/>
      </c>
      <c r="G546" t="str">
        <f>"No associated gene"</f>
        <v>No associated gene</v>
      </c>
    </row>
    <row r="547" spans="1:10">
      <c r="A547">
        <v>10595900</v>
      </c>
      <c r="B547">
        <v>2.1758351669712699</v>
      </c>
      <c r="C547">
        <v>0.28941040508933302</v>
      </c>
      <c r="E547" t="str">
        <f>"10595900"</f>
        <v>10595900</v>
      </c>
      <c r="F547" t="str">
        <f>"Affy 1.0 ST"</f>
        <v>Affy 1.0 ST</v>
      </c>
      <c r="G547" t="str">
        <f>"MGI:1928137"</f>
        <v>MGI:1928137</v>
      </c>
      <c r="H547" t="str">
        <f>"Mrps22"</f>
        <v>Mrps22</v>
      </c>
      <c r="I547" t="str">
        <f>"mitochondrial ribosomal protein S22"</f>
        <v>mitochondrial ribosomal protein S22</v>
      </c>
      <c r="J547" t="str">
        <f>"protein coding gene"</f>
        <v>protein coding gene</v>
      </c>
    </row>
    <row r="548" spans="1:10">
      <c r="A548">
        <v>10514158</v>
      </c>
      <c r="B548">
        <v>2.1715448555522499</v>
      </c>
      <c r="C548">
        <v>0.41602775449525298</v>
      </c>
      <c r="E548" t="str">
        <f>"10514158"</f>
        <v>10514158</v>
      </c>
      <c r="F548" t="str">
        <f>"Affy 1.0 ST"</f>
        <v>Affy 1.0 ST</v>
      </c>
      <c r="G548" t="str">
        <f>"MGI:2142116"</f>
        <v>MGI:2142116</v>
      </c>
      <c r="H548" t="str">
        <f>"Psip1"</f>
        <v>Psip1</v>
      </c>
      <c r="I548" t="str">
        <f>"PC4 and SFRS1 interacting protein 1"</f>
        <v>PC4 and SFRS1 interacting protein 1</v>
      </c>
      <c r="J548" t="str">
        <f>"protein coding gene"</f>
        <v>protein coding gene</v>
      </c>
    </row>
    <row r="549" spans="1:10">
      <c r="A549">
        <v>10452213</v>
      </c>
      <c r="B549">
        <v>2.1685678974405902</v>
      </c>
      <c r="C549">
        <v>0.12640397183060001</v>
      </c>
      <c r="E549" t="str">
        <f>"10452213"</f>
        <v>10452213</v>
      </c>
      <c r="F549" t="str">
        <f>"Affy 1.0 ST"</f>
        <v>Affy 1.0 ST</v>
      </c>
      <c r="G549" t="str">
        <f>"MGI:1923848"</f>
        <v>MGI:1923848</v>
      </c>
      <c r="H549" t="str">
        <f>"Gtf2f1"</f>
        <v>Gtf2f1</v>
      </c>
      <c r="I549" t="s">
        <v>110</v>
      </c>
      <c r="J549" t="s">
        <v>155</v>
      </c>
    </row>
    <row r="550" spans="1:10">
      <c r="A550">
        <v>10529305</v>
      </c>
      <c r="B550">
        <v>2.1674089262573202</v>
      </c>
      <c r="C550">
        <v>0.18365134988318599</v>
      </c>
      <c r="E550" t="str">
        <f>"10529305"</f>
        <v>10529305</v>
      </c>
      <c r="F550" t="str">
        <f>"Affy 1.0 ST"</f>
        <v>Affy 1.0 ST</v>
      </c>
      <c r="G550" t="str">
        <f>"MGI:1915616"</f>
        <v>MGI:1915616</v>
      </c>
      <c r="H550" t="str">
        <f>"Tmem129"</f>
        <v>Tmem129</v>
      </c>
      <c r="I550" t="str">
        <f>"transmembrane protein 129"</f>
        <v>transmembrane protein 129</v>
      </c>
      <c r="J550" t="str">
        <f>"protein coding gene"</f>
        <v>protein coding gene</v>
      </c>
    </row>
    <row r="551" spans="1:10">
      <c r="A551">
        <v>10507699</v>
      </c>
      <c r="B551">
        <v>2.1666787095090498</v>
      </c>
      <c r="C551">
        <v>0.41930580486860702</v>
      </c>
      <c r="E551" t="str">
        <f>"10507699"</f>
        <v>10507699</v>
      </c>
      <c r="F551" t="str">
        <f>"Affy 1.0 ST"</f>
        <v>Affy 1.0 ST</v>
      </c>
      <c r="G551" t="str">
        <f>"MGI:1352762"</f>
        <v>MGI:1352762</v>
      </c>
      <c r="H551" t="str">
        <f>"Scmh1"</f>
        <v>Scmh1</v>
      </c>
      <c r="I551" t="str">
        <f>"sex comb on midleg homolog 1"</f>
        <v>sex comb on midleg homolog 1</v>
      </c>
      <c r="J551" t="str">
        <f>"protein coding gene"</f>
        <v>protein coding gene</v>
      </c>
    </row>
    <row r="552" spans="1:10">
      <c r="A552">
        <v>10341746</v>
      </c>
      <c r="B552">
        <v>2.1566329897001699</v>
      </c>
      <c r="C552">
        <v>0.420553619779934</v>
      </c>
      <c r="E552" t="str">
        <f>"10341746"</f>
        <v>10341746</v>
      </c>
      <c r="F552" t="str">
        <f>""</f>
        <v/>
      </c>
      <c r="G552" t="str">
        <f>"No associated gene"</f>
        <v>No associated gene</v>
      </c>
    </row>
    <row r="553" spans="1:10">
      <c r="A553">
        <v>10466000</v>
      </c>
      <c r="B553">
        <v>2.1557627574935601</v>
      </c>
      <c r="C553">
        <v>0.51175867974859002</v>
      </c>
      <c r="E553" t="str">
        <f>"10466000"</f>
        <v>10466000</v>
      </c>
      <c r="F553" t="str">
        <f>"Affy 1.0 ST"</f>
        <v>Affy 1.0 ST</v>
      </c>
      <c r="G553" t="str">
        <f>"MGI:1920232"</f>
        <v>MGI:1920232</v>
      </c>
      <c r="H553" t="str">
        <f>"Tmem138"</f>
        <v>Tmem138</v>
      </c>
      <c r="I553" t="str">
        <f>"transmembrane protein 138"</f>
        <v>transmembrane protein 138</v>
      </c>
      <c r="J553" t="str">
        <f>"protein coding gene"</f>
        <v>protein coding gene</v>
      </c>
    </row>
    <row r="554" spans="1:10">
      <c r="A554">
        <v>10502029</v>
      </c>
      <c r="B554">
        <v>2.1531277688111601</v>
      </c>
      <c r="C554">
        <v>0.34141282580993099</v>
      </c>
      <c r="E554" t="str">
        <f>"10502029"</f>
        <v>10502029</v>
      </c>
      <c r="F554" t="str">
        <f>"Affy 1.0 ST"</f>
        <v>Affy 1.0 ST</v>
      </c>
      <c r="G554" t="str">
        <f>"MGI:107634"</f>
        <v>MGI:107634</v>
      </c>
      <c r="H554" t="str">
        <f>"Larp7"</f>
        <v>Larp7</v>
      </c>
      <c r="I554" t="s">
        <v>40</v>
      </c>
      <c r="J554" t="s">
        <v>155</v>
      </c>
    </row>
    <row r="555" spans="1:10">
      <c r="A555">
        <v>10608696</v>
      </c>
      <c r="B555">
        <v>2.1526931879632798</v>
      </c>
      <c r="C555">
        <v>0.54834124105551996</v>
      </c>
      <c r="E555" t="str">
        <f>"10608696"</f>
        <v>10608696</v>
      </c>
      <c r="F555" t="str">
        <f>""</f>
        <v/>
      </c>
      <c r="G555" t="str">
        <f>"No associated gene"</f>
        <v>No associated gene</v>
      </c>
    </row>
    <row r="556" spans="1:10">
      <c r="A556">
        <v>10496638</v>
      </c>
      <c r="B556">
        <v>2.1523777268230999</v>
      </c>
      <c r="C556">
        <v>0.61030022952385299</v>
      </c>
      <c r="E556" t="str">
        <f>"10496638"</f>
        <v>10496638</v>
      </c>
      <c r="F556" t="str">
        <f>"Affy 1.0 ST"</f>
        <v>Affy 1.0 ST</v>
      </c>
      <c r="G556" t="str">
        <f>"MGI:1098600"</f>
        <v>MGI:1098600</v>
      </c>
      <c r="H556" t="str">
        <f>"Odf2l"</f>
        <v>Odf2l</v>
      </c>
      <c r="I556" t="str">
        <f>"outer dense fiber of sperm tails 2-like"</f>
        <v>outer dense fiber of sperm tails 2-like</v>
      </c>
      <c r="J556" t="str">
        <f>"protein coding gene"</f>
        <v>protein coding gene</v>
      </c>
    </row>
    <row r="557" spans="1:10">
      <c r="A557">
        <v>10343933</v>
      </c>
      <c r="B557">
        <v>2.1514547143144198</v>
      </c>
      <c r="C557">
        <v>0.33020783033199103</v>
      </c>
      <c r="E557" t="str">
        <f>"10343933"</f>
        <v>10343933</v>
      </c>
      <c r="F557" t="str">
        <f>""</f>
        <v/>
      </c>
      <c r="G557" t="str">
        <f>"No associated gene"</f>
        <v>No associated gene</v>
      </c>
    </row>
    <row r="558" spans="1:10">
      <c r="A558">
        <v>10543709</v>
      </c>
      <c r="B558">
        <v>2.1475385456182701</v>
      </c>
      <c r="C558">
        <v>0.18654995677116601</v>
      </c>
      <c r="E558" t="str">
        <f>"10543709"</f>
        <v>10543709</v>
      </c>
      <c r="F558" t="str">
        <f t="shared" ref="F558:F582" si="40">"Affy 1.0 ST"</f>
        <v>Affy 1.0 ST</v>
      </c>
      <c r="G558" t="str">
        <f>"MGI:1919899"</f>
        <v>MGI:1919899</v>
      </c>
      <c r="H558" t="str">
        <f>"Tmem209"</f>
        <v>Tmem209</v>
      </c>
      <c r="I558" t="str">
        <f>"transmembrane protein 209"</f>
        <v>transmembrane protein 209</v>
      </c>
      <c r="J558" t="str">
        <f>"protein coding gene"</f>
        <v>protein coding gene</v>
      </c>
    </row>
    <row r="559" spans="1:10">
      <c r="A559">
        <v>10575961</v>
      </c>
      <c r="B559">
        <v>2.1448934386801701</v>
      </c>
      <c r="C559">
        <v>0.61021328186263502</v>
      </c>
      <c r="E559" t="str">
        <f>"10575961"</f>
        <v>10575961</v>
      </c>
      <c r="F559" t="str">
        <f t="shared" si="40"/>
        <v>Affy 1.0 ST</v>
      </c>
      <c r="G559" t="str">
        <f>"MGI:894652"</f>
        <v>MGI:894652</v>
      </c>
      <c r="H559" t="str">
        <f>"Usp10"</f>
        <v>Usp10</v>
      </c>
      <c r="I559" t="str">
        <f>"ubiquitin specific peptidase 10"</f>
        <v>ubiquitin specific peptidase 10</v>
      </c>
      <c r="J559" t="str">
        <f>"protein coding gene"</f>
        <v>protein coding gene</v>
      </c>
    </row>
    <row r="560" spans="1:10">
      <c r="A560">
        <v>10487109</v>
      </c>
      <c r="B560">
        <v>2.1404182125533899</v>
      </c>
      <c r="C560">
        <v>0.25398167608837902</v>
      </c>
      <c r="E560" t="str">
        <f>"10487109"</f>
        <v>10487109</v>
      </c>
      <c r="F560" t="str">
        <f t="shared" si="40"/>
        <v>Affy 1.0 ST</v>
      </c>
      <c r="G560" t="str">
        <f>"MGI:2139083"</f>
        <v>MGI:2139083</v>
      </c>
      <c r="H560" t="str">
        <f>"Cep152"</f>
        <v>Cep152</v>
      </c>
      <c r="I560" t="str">
        <f>"centrosomal protein 152"</f>
        <v>centrosomal protein 152</v>
      </c>
      <c r="J560" t="str">
        <f>"protein coding gene"</f>
        <v>protein coding gene</v>
      </c>
    </row>
    <row r="561" spans="1:10">
      <c r="A561">
        <v>10372687</v>
      </c>
      <c r="B561">
        <v>2.1393755726400401</v>
      </c>
      <c r="C561">
        <v>0.154574442024072</v>
      </c>
      <c r="E561" t="str">
        <f>"10372687"</f>
        <v>10372687</v>
      </c>
      <c r="F561" t="str">
        <f t="shared" si="40"/>
        <v>Affy 1.0 ST</v>
      </c>
      <c r="G561" t="str">
        <f>"MGI:2143854"</f>
        <v>MGI:2143854</v>
      </c>
      <c r="H561" t="str">
        <f>"Nup107"</f>
        <v>Nup107</v>
      </c>
      <c r="I561" t="str">
        <f>"nucleoporin 107"</f>
        <v>nucleoporin 107</v>
      </c>
      <c r="J561" t="str">
        <f>"protein coding gene"</f>
        <v>protein coding gene</v>
      </c>
    </row>
    <row r="562" spans="1:10">
      <c r="A562">
        <v>10416044</v>
      </c>
      <c r="B562">
        <v>2.13826638309382</v>
      </c>
      <c r="C562">
        <v>6.4611358544134703E-2</v>
      </c>
      <c r="E562" t="str">
        <f>"10416044"</f>
        <v>10416044</v>
      </c>
      <c r="F562" t="str">
        <f t="shared" si="40"/>
        <v>Affy 1.0 ST</v>
      </c>
      <c r="G562" t="str">
        <f>"MGI:1914429"</f>
        <v>MGI:1914429</v>
      </c>
      <c r="H562" t="str">
        <f>"Ccdc25"</f>
        <v>Ccdc25</v>
      </c>
      <c r="I562" t="str">
        <f>"coiled-coil domain containing 25"</f>
        <v>coiled-coil domain containing 25</v>
      </c>
      <c r="J562" t="str">
        <f>"protein coding gene"</f>
        <v>protein coding gene</v>
      </c>
    </row>
    <row r="563" spans="1:10">
      <c r="A563">
        <v>10601192</v>
      </c>
      <c r="B563">
        <v>2.1367453452745901</v>
      </c>
      <c r="C563">
        <v>0.29751718872627397</v>
      </c>
      <c r="E563" t="str">
        <f>"10601192"</f>
        <v>10601192</v>
      </c>
      <c r="F563" t="str">
        <f t="shared" si="40"/>
        <v>Affy 1.0 ST</v>
      </c>
      <c r="G563" t="str">
        <f>"MGI:1336878"</f>
        <v>MGI:1336878</v>
      </c>
      <c r="H563" t="str">
        <f>"Taf1"</f>
        <v>Taf1</v>
      </c>
      <c r="I563" t="s">
        <v>41</v>
      </c>
      <c r="J563" t="s">
        <v>155</v>
      </c>
    </row>
    <row r="564" spans="1:10">
      <c r="A564">
        <v>10521337</v>
      </c>
      <c r="B564">
        <v>2.1359118282327501</v>
      </c>
      <c r="C564">
        <v>0.42944563317890999</v>
      </c>
      <c r="E564" t="str">
        <f>"10521337"</f>
        <v>10521337</v>
      </c>
      <c r="F564" t="str">
        <f t="shared" si="40"/>
        <v>Affy 1.0 ST</v>
      </c>
      <c r="G564" t="str">
        <f>"MGI:1918979"</f>
        <v>MGI:1918979</v>
      </c>
      <c r="H564" t="str">
        <f>"Rgs12"</f>
        <v>Rgs12</v>
      </c>
      <c r="I564" t="str">
        <f>"regulator of G-protein signaling 12"</f>
        <v>regulator of G-protein signaling 12</v>
      </c>
      <c r="J564" t="str">
        <f>"protein coding gene"</f>
        <v>protein coding gene</v>
      </c>
    </row>
    <row r="565" spans="1:10">
      <c r="A565">
        <v>10471608</v>
      </c>
      <c r="B565">
        <v>2.1357089742483502</v>
      </c>
      <c r="C565">
        <v>0.461502359172348</v>
      </c>
      <c r="E565" t="str">
        <f>"10471608"</f>
        <v>10471608</v>
      </c>
      <c r="F565" t="str">
        <f t="shared" si="40"/>
        <v>Affy 1.0 ST</v>
      </c>
      <c r="G565" t="str">
        <f>"MGI:1889576"</f>
        <v>MGI:1889576</v>
      </c>
      <c r="H565" t="str">
        <f>"Cep110"</f>
        <v>Cep110</v>
      </c>
      <c r="I565" t="str">
        <f>"centrosomal protein 110"</f>
        <v>centrosomal protein 110</v>
      </c>
      <c r="J565" t="str">
        <f>"protein coding gene"</f>
        <v>protein coding gene</v>
      </c>
    </row>
    <row r="566" spans="1:10">
      <c r="A566">
        <v>10545379</v>
      </c>
      <c r="B566">
        <v>2.1352446724759102</v>
      </c>
      <c r="C566">
        <v>0.44109806227484</v>
      </c>
      <c r="E566" t="str">
        <f>"10545379"</f>
        <v>10545379</v>
      </c>
      <c r="F566" t="str">
        <f t="shared" si="40"/>
        <v>Affy 1.0 ST</v>
      </c>
      <c r="G566" t="str">
        <f>"MGI:107622"</f>
        <v>MGI:107622</v>
      </c>
      <c r="H566" t="str">
        <f>"Usp39"</f>
        <v>Usp39</v>
      </c>
      <c r="I566" t="str">
        <f>"ubiquitin specific peptidase 39"</f>
        <v>ubiquitin specific peptidase 39</v>
      </c>
      <c r="J566" t="str">
        <f>"protein coding gene"</f>
        <v>protein coding gene</v>
      </c>
    </row>
    <row r="567" spans="1:10">
      <c r="A567">
        <v>10381462</v>
      </c>
      <c r="B567">
        <v>2.1351192367768799</v>
      </c>
      <c r="C567">
        <v>0.23660564586590699</v>
      </c>
      <c r="E567" t="str">
        <f>"10381462"</f>
        <v>10381462</v>
      </c>
      <c r="F567" t="str">
        <f t="shared" si="40"/>
        <v>Affy 1.0 ST</v>
      </c>
      <c r="G567" t="str">
        <f>"MGI:1913849"</f>
        <v>MGI:1913849</v>
      </c>
      <c r="H567" t="str">
        <f>"Rdm1"</f>
        <v>Rdm1</v>
      </c>
      <c r="I567" t="str">
        <f>"RAD52 motif 1"</f>
        <v>RAD52 motif 1</v>
      </c>
      <c r="J567" t="str">
        <f>"protein coding gene"</f>
        <v>protein coding gene</v>
      </c>
    </row>
    <row r="568" spans="1:10">
      <c r="A568">
        <v>10453544</v>
      </c>
      <c r="B568">
        <v>2.1310899613412202</v>
      </c>
      <c r="C568">
        <v>0.313380302671185</v>
      </c>
      <c r="E568" t="str">
        <f>"10453544"</f>
        <v>10453544</v>
      </c>
      <c r="F568" t="str">
        <f t="shared" si="40"/>
        <v>Affy 1.0 ST</v>
      </c>
      <c r="G568" t="str">
        <f>"MGI:1924031"</f>
        <v>MGI:1924031</v>
      </c>
      <c r="H568" t="str">
        <f>"Mettl4"</f>
        <v>Mettl4</v>
      </c>
      <c r="I568" t="str">
        <f>"methyltransferase like 4"</f>
        <v>methyltransferase like 4</v>
      </c>
      <c r="J568" t="str">
        <f>"protein coding gene"</f>
        <v>protein coding gene</v>
      </c>
    </row>
    <row r="569" spans="1:10">
      <c r="A569">
        <v>10518361</v>
      </c>
      <c r="B569">
        <v>2.1294948049623299</v>
      </c>
      <c r="C569">
        <v>0.41687523896017797</v>
      </c>
      <c r="E569" t="str">
        <f>"10518361"</f>
        <v>10518361</v>
      </c>
      <c r="F569" t="str">
        <f t="shared" si="40"/>
        <v>Affy 1.0 ST</v>
      </c>
      <c r="G569" t="str">
        <f>"MGI:2443330"</f>
        <v>MGI:2443330</v>
      </c>
      <c r="H569" t="str">
        <f>"Vmn2r-ps14"</f>
        <v>Vmn2r-ps14</v>
      </c>
      <c r="I569" t="s">
        <v>103</v>
      </c>
      <c r="J569" t="s">
        <v>133</v>
      </c>
    </row>
    <row r="570" spans="1:10">
      <c r="A570">
        <v>10540227</v>
      </c>
      <c r="B570">
        <v>2.1237506502169201</v>
      </c>
      <c r="C570">
        <v>0.459473622684133</v>
      </c>
      <c r="E570" t="str">
        <f>"10540227"</f>
        <v>10540227</v>
      </c>
      <c r="F570" t="str">
        <f t="shared" si="40"/>
        <v>Affy 1.0 ST</v>
      </c>
      <c r="G570" t="str">
        <f>"MGI:2661430"</f>
        <v>MGI:2661430</v>
      </c>
      <c r="H570" t="str">
        <f>"Kbtbd8"</f>
        <v>Kbtbd8</v>
      </c>
      <c r="I570" t="str">
        <f>"kelch repeat and BTB (POZ) domain containing 8"</f>
        <v>kelch repeat and BTB (POZ) domain containing 8</v>
      </c>
      <c r="J570" t="str">
        <f>"protein coding gene"</f>
        <v>protein coding gene</v>
      </c>
    </row>
    <row r="571" spans="1:10">
      <c r="A571">
        <v>10606714</v>
      </c>
      <c r="B571">
        <v>2.1209347449048601</v>
      </c>
      <c r="C571">
        <v>0.34191454724867298</v>
      </c>
      <c r="E571" t="str">
        <f>"10606714"</f>
        <v>10606714</v>
      </c>
      <c r="F571" t="str">
        <f t="shared" si="40"/>
        <v>Affy 1.0 ST</v>
      </c>
      <c r="G571" t="str">
        <f>"MGI:1347344"</f>
        <v>MGI:1347344</v>
      </c>
      <c r="H571" t="str">
        <f>"Gla"</f>
        <v>Gla</v>
      </c>
      <c r="I571" t="s">
        <v>42</v>
      </c>
      <c r="J571" t="s">
        <v>155</v>
      </c>
    </row>
    <row r="572" spans="1:10">
      <c r="A572">
        <v>10555576</v>
      </c>
      <c r="B572">
        <v>2.11870376092345</v>
      </c>
      <c r="C572">
        <v>0.27177919710138398</v>
      </c>
      <c r="E572" t="str">
        <f>"10555576"</f>
        <v>10555576</v>
      </c>
      <c r="F572" t="str">
        <f t="shared" si="40"/>
        <v>Affy 1.0 ST</v>
      </c>
      <c r="G572" t="str">
        <f>"MGI:1922680"</f>
        <v>MGI:1922680</v>
      </c>
      <c r="H572" t="str">
        <f>"3200002M19Rik"</f>
        <v>3200002M19Rik</v>
      </c>
      <c r="I572" t="str">
        <f>"RIKEN cDNA 3200002M19 gene"</f>
        <v>RIKEN cDNA 3200002M19 gene</v>
      </c>
      <c r="J572" t="str">
        <f>"protein coding gene"</f>
        <v>protein coding gene</v>
      </c>
    </row>
    <row r="573" spans="1:10">
      <c r="A573">
        <v>10353219</v>
      </c>
      <c r="B573">
        <v>2.1178663123875801</v>
      </c>
      <c r="C573">
        <v>4.2281496365262003E-2</v>
      </c>
      <c r="E573" t="str">
        <f>"10353219"</f>
        <v>10353219</v>
      </c>
      <c r="F573" t="str">
        <f t="shared" si="40"/>
        <v>Affy 1.0 ST</v>
      </c>
      <c r="G573" t="str">
        <f>"MGI:2158813"</f>
        <v>MGI:2158813</v>
      </c>
      <c r="H573" t="str">
        <f>"Sumo2"</f>
        <v>Sumo2</v>
      </c>
      <c r="I573" t="str">
        <f>"SMT3 suppressor of mif two 3 homolog 2 (yeast)"</f>
        <v>SMT3 suppressor of mif two 3 homolog 2 (yeast)</v>
      </c>
      <c r="J573" t="str">
        <f>"protein coding gene"</f>
        <v>protein coding gene</v>
      </c>
    </row>
    <row r="574" spans="1:10">
      <c r="A574">
        <v>10458138</v>
      </c>
      <c r="B574">
        <v>2.1164726286911102</v>
      </c>
      <c r="C574">
        <v>0.25008742898957498</v>
      </c>
      <c r="E574" t="str">
        <f>"10458138"</f>
        <v>10458138</v>
      </c>
      <c r="F574" t="str">
        <f t="shared" si="40"/>
        <v>Affy 1.0 ST</v>
      </c>
      <c r="G574" t="str">
        <f>"MGI:1925906"</f>
        <v>MGI:1925906</v>
      </c>
      <c r="H574" t="str">
        <f>"Brd8"</f>
        <v>Brd8</v>
      </c>
      <c r="I574" t="str">
        <f>"bromodomain containing 8"</f>
        <v>bromodomain containing 8</v>
      </c>
      <c r="J574" t="str">
        <f>"protein coding gene"</f>
        <v>protein coding gene</v>
      </c>
    </row>
    <row r="575" spans="1:10">
      <c r="A575">
        <v>10575550</v>
      </c>
      <c r="B575">
        <v>2.1158138462134</v>
      </c>
      <c r="C575">
        <v>0.54590259307676903</v>
      </c>
      <c r="E575" t="str">
        <f>"10575550"</f>
        <v>10575550</v>
      </c>
      <c r="F575" t="str">
        <f t="shared" si="40"/>
        <v>Affy 1.0 ST</v>
      </c>
      <c r="G575" t="str">
        <f>"MGI:2384560"</f>
        <v>MGI:2384560</v>
      </c>
      <c r="H575" t="str">
        <f>"Aars"</f>
        <v>Aars</v>
      </c>
      <c r="I575" t="str">
        <f>"alanyl-tRNA synthetase"</f>
        <v>alanyl-tRNA synthetase</v>
      </c>
      <c r="J575" t="str">
        <f>"protein coding gene"</f>
        <v>protein coding gene</v>
      </c>
    </row>
    <row r="576" spans="1:10">
      <c r="A576">
        <v>10409322</v>
      </c>
      <c r="B576">
        <v>2.1120844476789902</v>
      </c>
      <c r="C576">
        <v>0.53994482719993497</v>
      </c>
      <c r="E576" t="str">
        <f>"10409322"</f>
        <v>10409322</v>
      </c>
      <c r="F576" t="str">
        <f t="shared" si="40"/>
        <v>Affy 1.0 ST</v>
      </c>
      <c r="G576" t="str">
        <f>"MGI:1920916"</f>
        <v>MGI:1920916</v>
      </c>
      <c r="H576" t="str">
        <f>"Thoc3"</f>
        <v>Thoc3</v>
      </c>
      <c r="I576" t="str">
        <f>"THO complex 3"</f>
        <v>THO complex 3</v>
      </c>
      <c r="J576" t="str">
        <f>"protein coding gene"</f>
        <v>protein coding gene</v>
      </c>
    </row>
    <row r="577" spans="1:10">
      <c r="A577">
        <v>10601471</v>
      </c>
      <c r="B577">
        <v>2.10862056911441</v>
      </c>
      <c r="C577">
        <v>0.32960202359808299</v>
      </c>
      <c r="E577" t="str">
        <f>"10601471"</f>
        <v>10601471</v>
      </c>
      <c r="F577" t="str">
        <f t="shared" si="40"/>
        <v>Affy 1.0 ST</v>
      </c>
      <c r="G577" t="str">
        <f>"MGI:3642996"</f>
        <v>MGI:3642996</v>
      </c>
      <c r="H577" t="str">
        <f>"Gm5393"</f>
        <v>Gm5393</v>
      </c>
      <c r="I577" t="str">
        <f>"predicted pseudogene 5393"</f>
        <v>predicted pseudogene 5393</v>
      </c>
      <c r="J577" t="str">
        <f>"pseudogene"</f>
        <v>pseudogene</v>
      </c>
    </row>
    <row r="578" spans="1:10">
      <c r="A578">
        <v>10360460</v>
      </c>
      <c r="B578">
        <v>2.1072021967371102</v>
      </c>
      <c r="C578">
        <v>7.2202534298620599E-2</v>
      </c>
      <c r="E578" t="str">
        <f>"10360460"</f>
        <v>10360460</v>
      </c>
      <c r="F578" t="str">
        <f t="shared" si="40"/>
        <v>Affy 1.0 ST</v>
      </c>
      <c r="G578" t="str">
        <f>"MGI:101913"</f>
        <v>MGI:101913</v>
      </c>
      <c r="H578" t="str">
        <f>"Chml"</f>
        <v>Chml</v>
      </c>
      <c r="I578" t="str">
        <f>"choroideremia-like"</f>
        <v>choroideremia-like</v>
      </c>
      <c r="J578" t="str">
        <f>"protein coding gene"</f>
        <v>protein coding gene</v>
      </c>
    </row>
    <row r="579" spans="1:10">
      <c r="A579">
        <v>10397741</v>
      </c>
      <c r="B579">
        <v>2.1069875627661498</v>
      </c>
      <c r="C579">
        <v>0.14478387873662699</v>
      </c>
      <c r="E579" t="str">
        <f>"10397741"</f>
        <v>10397741</v>
      </c>
      <c r="F579" t="str">
        <f t="shared" si="40"/>
        <v>Affy 1.0 ST</v>
      </c>
      <c r="G579" t="str">
        <f>"MGI:106054"</f>
        <v>MGI:106054</v>
      </c>
      <c r="H579" t="str">
        <f>"Psmc1"</f>
        <v>Psmc1</v>
      </c>
      <c r="I579" t="s">
        <v>109</v>
      </c>
      <c r="J579" t="s">
        <v>155</v>
      </c>
    </row>
    <row r="580" spans="1:10">
      <c r="A580">
        <v>10456439</v>
      </c>
      <c r="B580">
        <v>2.10375858401577</v>
      </c>
      <c r="C580">
        <v>0.50267091685648502</v>
      </c>
      <c r="E580" t="str">
        <f>"10456439"</f>
        <v>10456439</v>
      </c>
      <c r="F580" t="str">
        <f t="shared" si="40"/>
        <v>Affy 1.0 ST</v>
      </c>
      <c r="G580" t="str">
        <f>"MGI:1918049"</f>
        <v>MGI:1918049</v>
      </c>
      <c r="H580" t="str">
        <f>"Cep192"</f>
        <v>Cep192</v>
      </c>
      <c r="I580" t="str">
        <f>"centrosomal protein 192"</f>
        <v>centrosomal protein 192</v>
      </c>
      <c r="J580" t="str">
        <f>"protein coding gene"</f>
        <v>protein coding gene</v>
      </c>
    </row>
    <row r="581" spans="1:10">
      <c r="A581">
        <v>10500304</v>
      </c>
      <c r="B581">
        <v>2.10222151986284</v>
      </c>
      <c r="C581">
        <v>0.27009703820930803</v>
      </c>
      <c r="E581" t="str">
        <f>"10500304"</f>
        <v>10500304</v>
      </c>
      <c r="F581" t="str">
        <f t="shared" si="40"/>
        <v>Affy 1.0 ST</v>
      </c>
      <c r="G581" t="str">
        <f>"MGI:891965"</f>
        <v>MGI:891965</v>
      </c>
      <c r="H581" t="str">
        <f>"Vps45"</f>
        <v>Vps45</v>
      </c>
      <c r="I581" t="str">
        <f>"vacuolar protein sorting 45 (yeast)"</f>
        <v>vacuolar protein sorting 45 (yeast)</v>
      </c>
      <c r="J581" t="str">
        <f>"protein coding gene"</f>
        <v>protein coding gene</v>
      </c>
    </row>
    <row r="582" spans="1:10">
      <c r="A582">
        <v>10451123</v>
      </c>
      <c r="B582">
        <v>2.1018489032578098</v>
      </c>
      <c r="C582">
        <v>0.46018263912962099</v>
      </c>
      <c r="E582" t="str">
        <f>"10451123"</f>
        <v>10451123</v>
      </c>
      <c r="F582" t="str">
        <f t="shared" si="40"/>
        <v>Affy 1.0 ST</v>
      </c>
      <c r="G582" t="str">
        <f>"MGI:1927073"</f>
        <v>MGI:1927073</v>
      </c>
      <c r="H582" t="str">
        <f>"Slc29a1"</f>
        <v>Slc29a1</v>
      </c>
      <c r="I582" t="s">
        <v>43</v>
      </c>
      <c r="J582" t="s">
        <v>155</v>
      </c>
    </row>
    <row r="583" spans="1:10">
      <c r="A583">
        <v>10339650</v>
      </c>
      <c r="B583">
        <v>2.1002689558216701</v>
      </c>
      <c r="C583">
        <v>0.17648978330749601</v>
      </c>
      <c r="E583" t="str">
        <f>"10339650"</f>
        <v>10339650</v>
      </c>
      <c r="F583" t="str">
        <f>""</f>
        <v/>
      </c>
      <c r="G583" t="str">
        <f>"No associated gene"</f>
        <v>No associated gene</v>
      </c>
    </row>
    <row r="584" spans="1:10">
      <c r="A584">
        <v>10602062</v>
      </c>
      <c r="B584">
        <v>2.0955182232853402</v>
      </c>
      <c r="C584">
        <v>0.31314352363534698</v>
      </c>
      <c r="E584" t="str">
        <f>"10602062"</f>
        <v>10602062</v>
      </c>
      <c r="F584" t="str">
        <f>"Affy 1.0 ST"</f>
        <v>Affy 1.0 ST</v>
      </c>
      <c r="G584" t="str">
        <f>"MGI:97775"</f>
        <v>MGI:97775</v>
      </c>
      <c r="H584" t="str">
        <f>"Prps1"</f>
        <v>Prps1</v>
      </c>
      <c r="I584" t="str">
        <f>"phosphoribosyl pyrophosphate synthetase 1"</f>
        <v>phosphoribosyl pyrophosphate synthetase 1</v>
      </c>
      <c r="J584" t="str">
        <f>"protein coding gene"</f>
        <v>protein coding gene</v>
      </c>
    </row>
    <row r="585" spans="1:10">
      <c r="A585">
        <v>10492679</v>
      </c>
      <c r="B585">
        <v>2.0931757617080402</v>
      </c>
      <c r="C585">
        <v>0.191970776725507</v>
      </c>
      <c r="E585" t="str">
        <f>"10492679"</f>
        <v>10492679</v>
      </c>
      <c r="F585" t="str">
        <f>"Affy 1.0 ST"</f>
        <v>Affy 1.0 ST</v>
      </c>
      <c r="G585" t="str">
        <f>"MGI:1923189"</f>
        <v>MGI:1923189</v>
      </c>
      <c r="H585" t="str">
        <f>"4930579G24Rik"</f>
        <v>4930579G24Rik</v>
      </c>
      <c r="I585" t="str">
        <f>"RIKEN cDNA 4930579G24 gene"</f>
        <v>RIKEN cDNA 4930579G24 gene</v>
      </c>
      <c r="J585" t="str">
        <f>"protein coding gene"</f>
        <v>protein coding gene</v>
      </c>
    </row>
    <row r="586" spans="1:10">
      <c r="A586">
        <v>10465604</v>
      </c>
      <c r="B586">
        <v>2.0885315854494801</v>
      </c>
      <c r="C586">
        <v>0.30443956883144002</v>
      </c>
      <c r="E586" t="str">
        <f>"10465604"</f>
        <v>10465604</v>
      </c>
      <c r="F586" t="str">
        <f>"Affy 1.0 ST"</f>
        <v>Affy 1.0 ST</v>
      </c>
      <c r="G586" t="str">
        <f>"MGI:109130"</f>
        <v>MGI:109130</v>
      </c>
      <c r="H586" t="str">
        <f>"Stip1"</f>
        <v>Stip1</v>
      </c>
      <c r="I586" t="str">
        <f>"stress-induced phosphoprotein 1"</f>
        <v>stress-induced phosphoprotein 1</v>
      </c>
      <c r="J586" t="str">
        <f>"protein coding gene"</f>
        <v>protein coding gene</v>
      </c>
    </row>
    <row r="587" spans="1:10">
      <c r="A587">
        <v>10380751</v>
      </c>
      <c r="B587">
        <v>2.0837140156538498</v>
      </c>
      <c r="C587">
        <v>0.50155090118821399</v>
      </c>
      <c r="E587" t="str">
        <f>"10380751"</f>
        <v>10380751</v>
      </c>
      <c r="F587" t="str">
        <f>"Affy 1.0 ST"</f>
        <v>Affy 1.0 ST</v>
      </c>
      <c r="G587" t="str">
        <f>"MGI:1914286"</f>
        <v>MGI:1914286</v>
      </c>
      <c r="H587" t="str">
        <f>"Mrpl45"</f>
        <v>Mrpl45</v>
      </c>
      <c r="I587" t="str">
        <f>"mitochondrial ribosomal protein L45"</f>
        <v>mitochondrial ribosomal protein L45</v>
      </c>
      <c r="J587" t="str">
        <f>"protein coding gene"</f>
        <v>protein coding gene</v>
      </c>
    </row>
    <row r="588" spans="1:10">
      <c r="A588">
        <v>10469712</v>
      </c>
      <c r="B588">
        <v>2.0809569741051099</v>
      </c>
      <c r="C588">
        <v>0.45714902717433797</v>
      </c>
      <c r="E588" t="str">
        <f>"10469712"</f>
        <v>10469712</v>
      </c>
      <c r="F588" t="str">
        <f>"Affy 1.0 ST"</f>
        <v>Affy 1.0 ST</v>
      </c>
      <c r="G588" t="str">
        <f>"MGI:1889278"</f>
        <v>MGI:1889278</v>
      </c>
      <c r="H588" t="str">
        <f>"Pdss1"</f>
        <v>Pdss1</v>
      </c>
      <c r="I588" t="s">
        <v>44</v>
      </c>
      <c r="J588" t="s">
        <v>155</v>
      </c>
    </row>
    <row r="589" spans="1:10">
      <c r="A589">
        <v>10340055</v>
      </c>
      <c r="B589">
        <v>2.0800724404555799</v>
      </c>
      <c r="C589">
        <v>0.33042917908101999</v>
      </c>
      <c r="E589" t="str">
        <f>"10340055"</f>
        <v>10340055</v>
      </c>
      <c r="F589" t="str">
        <f>""</f>
        <v/>
      </c>
      <c r="G589" t="str">
        <f>"No associated gene"</f>
        <v>No associated gene</v>
      </c>
    </row>
    <row r="590" spans="1:10">
      <c r="A590">
        <v>10392012</v>
      </c>
      <c r="B590">
        <v>2.0791217772161898</v>
      </c>
      <c r="C590">
        <v>0.272404411752591</v>
      </c>
      <c r="E590" t="str">
        <f>"10392012"</f>
        <v>10392012</v>
      </c>
      <c r="F590" t="str">
        <f t="shared" ref="F590:F600" si="41">"Affy 1.0 ST"</f>
        <v>Affy 1.0 ST</v>
      </c>
      <c r="G590" t="str">
        <f>"MGI:102685"</f>
        <v>MGI:102685</v>
      </c>
      <c r="H590" t="str">
        <f>"Cdc27"</f>
        <v>Cdc27</v>
      </c>
      <c r="I590" t="str">
        <f>"cell division cycle 27 homolog (S. cerevisiae)"</f>
        <v>cell division cycle 27 homolog (S. cerevisiae)</v>
      </c>
      <c r="J590" t="str">
        <f>"protein coding gene"</f>
        <v>protein coding gene</v>
      </c>
    </row>
    <row r="591" spans="1:10">
      <c r="A591">
        <v>10412011</v>
      </c>
      <c r="B591">
        <v>2.0783138528066001</v>
      </c>
      <c r="C591">
        <v>0.57923682405083499</v>
      </c>
      <c r="E591" t="str">
        <f>"10412011"</f>
        <v>10412011</v>
      </c>
      <c r="F591" t="str">
        <f t="shared" si="41"/>
        <v>Affy 1.0 ST</v>
      </c>
      <c r="G591" t="str">
        <f>"MGI:108390"</f>
        <v>MGI:108390</v>
      </c>
      <c r="H591" t="str">
        <f>"Kif2a"</f>
        <v>Kif2a</v>
      </c>
      <c r="I591" t="str">
        <f>"kinesin family member 2A"</f>
        <v>kinesin family member 2A</v>
      </c>
      <c r="J591" t="str">
        <f>"protein coding gene"</f>
        <v>protein coding gene</v>
      </c>
    </row>
    <row r="592" spans="1:10">
      <c r="A592">
        <v>10403938</v>
      </c>
      <c r="B592">
        <v>2.0781677823778701</v>
      </c>
      <c r="C592">
        <v>0.18709316540687301</v>
      </c>
      <c r="E592" t="str">
        <f>"10403938"</f>
        <v>10403938</v>
      </c>
      <c r="F592" t="str">
        <f t="shared" si="41"/>
        <v>Affy 1.0 ST</v>
      </c>
      <c r="G592" t="str">
        <f>"MGI:3710573"</f>
        <v>MGI:3710573</v>
      </c>
      <c r="H592" t="str">
        <f>"Hist1h2ap"</f>
        <v>Hist1h2ap</v>
      </c>
      <c r="I592" t="s">
        <v>115</v>
      </c>
      <c r="J592" t="s">
        <v>155</v>
      </c>
    </row>
    <row r="593" spans="1:10">
      <c r="A593">
        <v>10581111</v>
      </c>
      <c r="B593">
        <v>2.0730083222588398</v>
      </c>
      <c r="C593">
        <v>0.32580833650027402</v>
      </c>
      <c r="E593" t="str">
        <f>"10581111"</f>
        <v>10581111</v>
      </c>
      <c r="F593" t="str">
        <f t="shared" si="41"/>
        <v>Affy 1.0 ST</v>
      </c>
      <c r="G593" t="str">
        <f>"MGI:2384561"</f>
        <v>MGI:2384561</v>
      </c>
      <c r="H593" t="str">
        <f>"Nae1"</f>
        <v>Nae1</v>
      </c>
      <c r="I593" t="str">
        <f>"NEDD8 activating enzyme E1 subunit 1"</f>
        <v>NEDD8 activating enzyme E1 subunit 1</v>
      </c>
      <c r="J593" t="str">
        <f>"protein coding gene"</f>
        <v>protein coding gene</v>
      </c>
    </row>
    <row r="594" spans="1:10">
      <c r="A594">
        <v>10407390</v>
      </c>
      <c r="B594">
        <v>2.0700567546196602</v>
      </c>
      <c r="C594">
        <v>0.15843363875802599</v>
      </c>
      <c r="E594" t="str">
        <f>"10407390"</f>
        <v>10407390</v>
      </c>
      <c r="F594" t="str">
        <f t="shared" si="41"/>
        <v>Affy 1.0 ST</v>
      </c>
      <c r="G594" t="str">
        <f>"MGI:97791"</f>
        <v>MGI:97791</v>
      </c>
      <c r="H594" t="str">
        <f>"Ptbp1"</f>
        <v>Ptbp1</v>
      </c>
      <c r="I594" t="str">
        <f>"polypyrimidine tract binding protein 1"</f>
        <v>polypyrimidine tract binding protein 1</v>
      </c>
      <c r="J594" t="str">
        <f>"protein coding gene"</f>
        <v>protein coding gene</v>
      </c>
    </row>
    <row r="595" spans="1:10">
      <c r="A595">
        <v>10506822</v>
      </c>
      <c r="B595">
        <v>2.0678892889054601</v>
      </c>
      <c r="C595">
        <v>0.36707996720888703</v>
      </c>
      <c r="E595" t="str">
        <f>"10506822"</f>
        <v>10506822</v>
      </c>
      <c r="F595" t="str">
        <f t="shared" si="41"/>
        <v>Affy 1.0 ST</v>
      </c>
      <c r="G595" t="str">
        <f>"MGI:1328337"</f>
        <v>MGI:1328337</v>
      </c>
      <c r="H595" t="str">
        <f>"Orc1"</f>
        <v>Orc1</v>
      </c>
      <c r="I595" t="s">
        <v>45</v>
      </c>
      <c r="J595" t="s">
        <v>155</v>
      </c>
    </row>
    <row r="596" spans="1:10">
      <c r="A596">
        <v>10379968</v>
      </c>
      <c r="B596">
        <v>2.0673707020102698</v>
      </c>
      <c r="C596">
        <v>0.23422513704171299</v>
      </c>
      <c r="E596" t="str">
        <f>"10379968"</f>
        <v>10379968</v>
      </c>
      <c r="F596" t="str">
        <f t="shared" si="41"/>
        <v>Affy 1.0 ST</v>
      </c>
      <c r="G596" t="str">
        <f>"MGI:1891826"</f>
        <v>MGI:1891826</v>
      </c>
      <c r="H596" t="str">
        <f>"Tubd1"</f>
        <v>Tubd1</v>
      </c>
      <c r="I596" t="s">
        <v>46</v>
      </c>
      <c r="J596" t="s">
        <v>155</v>
      </c>
    </row>
    <row r="597" spans="1:10">
      <c r="A597">
        <v>10465005</v>
      </c>
      <c r="B597">
        <v>2.06659618867609</v>
      </c>
      <c r="C597">
        <v>0.42135901385313501</v>
      </c>
      <c r="E597" t="str">
        <f>"10465005"</f>
        <v>10465005</v>
      </c>
      <c r="F597" t="str">
        <f t="shared" si="41"/>
        <v>Affy 1.0 ST</v>
      </c>
      <c r="G597" t="str">
        <f>"MGI:1346330"</f>
        <v>MGI:1346330</v>
      </c>
      <c r="H597" t="str">
        <f>"Banf1"</f>
        <v>Banf1</v>
      </c>
      <c r="I597" t="str">
        <f>"barrier to autointegration factor 1"</f>
        <v>barrier to autointegration factor 1</v>
      </c>
      <c r="J597" t="str">
        <f>"protein coding gene"</f>
        <v>protein coding gene</v>
      </c>
    </row>
    <row r="598" spans="1:10">
      <c r="A598">
        <v>10547492</v>
      </c>
      <c r="B598">
        <v>2.0644772228802202</v>
      </c>
      <c r="C598">
        <v>0.40042889227934902</v>
      </c>
      <c r="E598" t="str">
        <f>"10547492"</f>
        <v>10547492</v>
      </c>
      <c r="F598" t="str">
        <f t="shared" si="41"/>
        <v>Affy 1.0 ST</v>
      </c>
      <c r="G598" t="str">
        <f>"MGI:1914450"</f>
        <v>MGI:1914450</v>
      </c>
      <c r="H598" t="str">
        <f>"Ccdc77"</f>
        <v>Ccdc77</v>
      </c>
      <c r="I598" t="str">
        <f>"coiled-coil domain containing 77"</f>
        <v>coiled-coil domain containing 77</v>
      </c>
      <c r="J598" t="str">
        <f>"protein coding gene"</f>
        <v>protein coding gene</v>
      </c>
    </row>
    <row r="599" spans="1:10">
      <c r="A599">
        <v>10360324</v>
      </c>
      <c r="B599">
        <v>2.0637111687130698</v>
      </c>
      <c r="C599">
        <v>0.21302736747138501</v>
      </c>
      <c r="E599" t="str">
        <f>"10360324"</f>
        <v>10360324</v>
      </c>
      <c r="F599" t="str">
        <f t="shared" si="41"/>
        <v>Affy 1.0 ST</v>
      </c>
      <c r="G599" t="str">
        <f>"MGI:3780879"</f>
        <v>MGI:3780879</v>
      </c>
      <c r="H599" t="str">
        <f>"Gm2710"</f>
        <v>Gm2710</v>
      </c>
      <c r="I599" t="str">
        <f>"predicted gene 2710"</f>
        <v>predicted gene 2710</v>
      </c>
      <c r="J599" t="str">
        <f>"pseudogene"</f>
        <v>pseudogene</v>
      </c>
    </row>
    <row r="600" spans="1:10">
      <c r="A600">
        <v>10571288</v>
      </c>
      <c r="B600">
        <v>2.0635943802857701</v>
      </c>
      <c r="C600">
        <v>0.36564515525318497</v>
      </c>
      <c r="E600" t="str">
        <f>"10571288"</f>
        <v>10571288</v>
      </c>
      <c r="F600" t="str">
        <f t="shared" si="41"/>
        <v>Affy 1.0 ST</v>
      </c>
      <c r="G600" t="str">
        <f>"MGI:1915403"</f>
        <v>MGI:1915403</v>
      </c>
      <c r="H600" t="str">
        <f>"Gtf2e2"</f>
        <v>Gtf2e2</v>
      </c>
      <c r="I600" t="s">
        <v>47</v>
      </c>
      <c r="J600" t="s">
        <v>155</v>
      </c>
    </row>
    <row r="601" spans="1:10">
      <c r="A601">
        <v>10338231</v>
      </c>
      <c r="B601">
        <v>2.0632432649431101</v>
      </c>
      <c r="C601">
        <v>0.416185567769563</v>
      </c>
      <c r="E601" t="str">
        <f>"10338231"</f>
        <v>10338231</v>
      </c>
      <c r="F601" t="str">
        <f>""</f>
        <v/>
      </c>
      <c r="G601" t="str">
        <f>"No associated gene"</f>
        <v>No associated gene</v>
      </c>
    </row>
    <row r="602" spans="1:10">
      <c r="A602">
        <v>10556764</v>
      </c>
      <c r="B602">
        <v>2.0581459812618901</v>
      </c>
      <c r="C602">
        <v>0.489530897042459</v>
      </c>
      <c r="E602" t="str">
        <f>"10556764"</f>
        <v>10556764</v>
      </c>
      <c r="F602" t="str">
        <f>"Affy 1.0 ST"</f>
        <v>Affy 1.0 ST</v>
      </c>
      <c r="G602" t="str">
        <f>"MGI:104872"</f>
        <v>MGI:104872</v>
      </c>
      <c r="H602" t="str">
        <f>"Ppp1cc"</f>
        <v>Ppp1cc</v>
      </c>
      <c r="I602" t="s">
        <v>48</v>
      </c>
      <c r="J602" t="s">
        <v>155</v>
      </c>
    </row>
    <row r="603" spans="1:10">
      <c r="A603">
        <v>10340379</v>
      </c>
      <c r="B603">
        <v>2.0534511110403502</v>
      </c>
      <c r="C603">
        <v>0.43608875739805197</v>
      </c>
      <c r="E603" t="str">
        <f>"10340379"</f>
        <v>10340379</v>
      </c>
      <c r="F603" t="str">
        <f>""</f>
        <v/>
      </c>
      <c r="G603" t="str">
        <f>"No associated gene"</f>
        <v>No associated gene</v>
      </c>
    </row>
    <row r="604" spans="1:10">
      <c r="A604">
        <v>10379346</v>
      </c>
      <c r="B604">
        <v>2.0458747897507901</v>
      </c>
      <c r="C604">
        <v>0.29081339243571103</v>
      </c>
      <c r="E604" t="str">
        <f>"10379346"</f>
        <v>10379346</v>
      </c>
      <c r="F604" t="str">
        <f>"Affy 1.0 ST"</f>
        <v>Affy 1.0 ST</v>
      </c>
      <c r="G604" t="str">
        <f>"MGI:1261758"</f>
        <v>MGI:1261758</v>
      </c>
      <c r="H604" t="str">
        <f>"Suz12"</f>
        <v>Suz12</v>
      </c>
      <c r="I604" t="str">
        <f>"suppressor of zeste 12 homolog (Drosophila)"</f>
        <v>suppressor of zeste 12 homolog (Drosophila)</v>
      </c>
      <c r="J604" t="str">
        <f>"protein coding gene"</f>
        <v>protein coding gene</v>
      </c>
    </row>
    <row r="605" spans="1:10">
      <c r="A605">
        <v>10464819</v>
      </c>
      <c r="B605">
        <v>2.0431498857638499</v>
      </c>
      <c r="C605">
        <v>0.204740530684758</v>
      </c>
      <c r="E605" t="str">
        <f>"10464819"</f>
        <v>10464819</v>
      </c>
      <c r="F605" t="str">
        <f>"Affy 1.0 ST"</f>
        <v>Affy 1.0 ST</v>
      </c>
      <c r="G605" t="str">
        <f>"MGI:1929092"</f>
        <v>MGI:1929092</v>
      </c>
      <c r="H605" t="str">
        <f>"Rbm14"</f>
        <v>Rbm14</v>
      </c>
      <c r="I605" t="str">
        <f>"RNA binding motif protein 14"</f>
        <v>RNA binding motif protein 14</v>
      </c>
      <c r="J605" t="str">
        <f>"protein coding gene"</f>
        <v>protein coding gene</v>
      </c>
    </row>
    <row r="606" spans="1:10">
      <c r="A606">
        <v>10342475</v>
      </c>
      <c r="B606">
        <v>2.0413695859260299</v>
      </c>
      <c r="C606">
        <v>0.227519479307975</v>
      </c>
      <c r="E606" t="str">
        <f>"10342475"</f>
        <v>10342475</v>
      </c>
      <c r="F606" t="str">
        <f>""</f>
        <v/>
      </c>
      <c r="G606" t="str">
        <f>"No associated gene"</f>
        <v>No associated gene</v>
      </c>
    </row>
    <row r="607" spans="1:10">
      <c r="A607">
        <v>10388409</v>
      </c>
      <c r="B607">
        <v>2.0412194144795501</v>
      </c>
      <c r="C607">
        <v>0.22631262531871399</v>
      </c>
      <c r="E607" t="str">
        <f>"10388409"</f>
        <v>10388409</v>
      </c>
      <c r="F607" t="str">
        <f t="shared" ref="F607:F617" si="42">"Affy 1.0 ST"</f>
        <v>Affy 1.0 ST</v>
      </c>
      <c r="G607" t="str">
        <f>"MGI:1915525"</f>
        <v>MGI:1915525</v>
      </c>
      <c r="H607" t="str">
        <f>"Rpa1"</f>
        <v>Rpa1</v>
      </c>
      <c r="I607" t="str">
        <f>"replication protein A1"</f>
        <v>replication protein A1</v>
      </c>
      <c r="J607" t="str">
        <f t="shared" ref="J607:J614" si="43">"protein coding gene"</f>
        <v>protein coding gene</v>
      </c>
    </row>
    <row r="608" spans="1:10">
      <c r="A608">
        <v>10371830</v>
      </c>
      <c r="B608">
        <v>2.03917251574862</v>
      </c>
      <c r="C608">
        <v>0.28246581627524903</v>
      </c>
      <c r="E608" t="str">
        <f>"10371830"</f>
        <v>10371830</v>
      </c>
      <c r="F608" t="str">
        <f t="shared" si="42"/>
        <v>Affy 1.0 ST</v>
      </c>
      <c r="G608" t="str">
        <f>"MGI:1914269"</f>
        <v>MGI:1914269</v>
      </c>
      <c r="H608" t="str">
        <f>"Actr6"</f>
        <v>Actr6</v>
      </c>
      <c r="I608" t="str">
        <f>"ARP6 actin-related protein 6 homolog (yeast)"</f>
        <v>ARP6 actin-related protein 6 homolog (yeast)</v>
      </c>
      <c r="J608" t="str">
        <f t="shared" si="43"/>
        <v>protein coding gene</v>
      </c>
    </row>
    <row r="609" spans="1:10">
      <c r="A609">
        <v>10603508</v>
      </c>
      <c r="B609">
        <v>2.0386830941771801</v>
      </c>
      <c r="C609">
        <v>7.0503524348275906E-2</v>
      </c>
      <c r="E609" t="str">
        <f>"10603508"</f>
        <v>10603508</v>
      </c>
      <c r="F609" t="str">
        <f t="shared" si="42"/>
        <v>Affy 1.0 ST</v>
      </c>
      <c r="G609" t="str">
        <f>"MGI:1859648"</f>
        <v>MGI:1859648</v>
      </c>
      <c r="H609" t="str">
        <f>"Ftsj1"</f>
        <v>Ftsj1</v>
      </c>
      <c r="I609" t="str">
        <f>"FtsJ homolog 1 (E. coli)"</f>
        <v>FtsJ homolog 1 (E. coli)</v>
      </c>
      <c r="J609" t="str">
        <f t="shared" si="43"/>
        <v>protein coding gene</v>
      </c>
    </row>
    <row r="610" spans="1:10">
      <c r="A610">
        <v>10473650</v>
      </c>
      <c r="B610">
        <v>2.0359505215670199</v>
      </c>
      <c r="C610">
        <v>0.34868370659872799</v>
      </c>
      <c r="E610" t="str">
        <f>"10473650"</f>
        <v>10473650</v>
      </c>
      <c r="F610" t="str">
        <f t="shared" si="42"/>
        <v>Affy 1.0 ST</v>
      </c>
      <c r="G610" t="str">
        <f>"MGI:1926227"</f>
        <v>MGI:1926227</v>
      </c>
      <c r="H610" t="str">
        <f>"Nup160"</f>
        <v>Nup160</v>
      </c>
      <c r="I610" t="str">
        <f>"nucleoporin 160"</f>
        <v>nucleoporin 160</v>
      </c>
      <c r="J610" t="str">
        <f t="shared" si="43"/>
        <v>protein coding gene</v>
      </c>
    </row>
    <row r="611" spans="1:10">
      <c r="A611">
        <v>10457118</v>
      </c>
      <c r="B611">
        <v>2.0342963696532399</v>
      </c>
      <c r="C611">
        <v>0.35734068950572001</v>
      </c>
      <c r="E611" t="str">
        <f>"10457118"</f>
        <v>10457118</v>
      </c>
      <c r="F611" t="str">
        <f t="shared" si="42"/>
        <v>Affy 1.0 ST</v>
      </c>
      <c r="G611" t="str">
        <f>"MGI:2179288"</f>
        <v>MGI:2179288</v>
      </c>
      <c r="H611" t="str">
        <f>"Rttn"</f>
        <v>Rttn</v>
      </c>
      <c r="I611" t="str">
        <f>"rotatin"</f>
        <v>rotatin</v>
      </c>
      <c r="J611" t="str">
        <f t="shared" si="43"/>
        <v>protein coding gene</v>
      </c>
    </row>
    <row r="612" spans="1:10">
      <c r="A612">
        <v>10384322</v>
      </c>
      <c r="B612">
        <v>2.0342056932159398</v>
      </c>
      <c r="C612">
        <v>0.47769601907079901</v>
      </c>
      <c r="E612" t="str">
        <f>"10384322"</f>
        <v>10384322</v>
      </c>
      <c r="F612" t="str">
        <f t="shared" si="42"/>
        <v>Affy 1.0 ST</v>
      </c>
      <c r="G612" t="str">
        <f>"MGI:1277962"</f>
        <v>MGI:1277962</v>
      </c>
      <c r="H612" t="str">
        <f>"Hus1"</f>
        <v>Hus1</v>
      </c>
      <c r="I612" t="str">
        <f>"Hus1 homolog (S. pombe)"</f>
        <v>Hus1 homolog (S. pombe)</v>
      </c>
      <c r="J612" t="str">
        <f t="shared" si="43"/>
        <v>protein coding gene</v>
      </c>
    </row>
    <row r="613" spans="1:10">
      <c r="A613">
        <v>10373530</v>
      </c>
      <c r="B613">
        <v>2.0320342748206102</v>
      </c>
      <c r="C613">
        <v>0.47161543702097702</v>
      </c>
      <c r="E613" t="str">
        <f>"10373530"</f>
        <v>10373530</v>
      </c>
      <c r="F613" t="str">
        <f t="shared" si="42"/>
        <v>Affy 1.0 ST</v>
      </c>
      <c r="G613" t="str">
        <f>"MGI:104772"</f>
        <v>MGI:104772</v>
      </c>
      <c r="H613" t="str">
        <f>"Cdk2"</f>
        <v>Cdk2</v>
      </c>
      <c r="I613" t="str">
        <f>"cyclin-dependent kinase 2"</f>
        <v>cyclin-dependent kinase 2</v>
      </c>
      <c r="J613" t="str">
        <f t="shared" si="43"/>
        <v>protein coding gene</v>
      </c>
    </row>
    <row r="614" spans="1:10">
      <c r="A614">
        <v>10549473</v>
      </c>
      <c r="B614">
        <v>2.03007729976899</v>
      </c>
      <c r="C614">
        <v>0.40510287096078101</v>
      </c>
      <c r="E614" t="str">
        <f>"10549473"</f>
        <v>10549473</v>
      </c>
      <c r="F614" t="str">
        <f t="shared" si="42"/>
        <v>Affy 1.0 ST</v>
      </c>
      <c r="G614" t="str">
        <f>"MGI:2448541"</f>
        <v>MGI:2448541</v>
      </c>
      <c r="H614" t="str">
        <f>"Caprin2"</f>
        <v>Caprin2</v>
      </c>
      <c r="I614" t="str">
        <f>"caprin family member 2"</f>
        <v>caprin family member 2</v>
      </c>
      <c r="J614" t="str">
        <f t="shared" si="43"/>
        <v>protein coding gene</v>
      </c>
    </row>
    <row r="615" spans="1:10">
      <c r="A615">
        <v>10359190</v>
      </c>
      <c r="B615">
        <v>2.0289149943496101</v>
      </c>
      <c r="C615">
        <v>0.24253772125230799</v>
      </c>
      <c r="E615" t="str">
        <f>"10359190"</f>
        <v>10359190</v>
      </c>
      <c r="F615" t="str">
        <f t="shared" si="42"/>
        <v>Affy 1.0 ST</v>
      </c>
      <c r="G615" t="str">
        <f>"MGI:2443990"</f>
        <v>MGI:2443990</v>
      </c>
      <c r="H615" t="str">
        <f>"Fam20b"</f>
        <v>Fam20b</v>
      </c>
      <c r="I615" t="s">
        <v>49</v>
      </c>
      <c r="J615" t="s">
        <v>155</v>
      </c>
    </row>
    <row r="616" spans="1:10">
      <c r="A616">
        <v>10441107</v>
      </c>
      <c r="B616">
        <v>2.0288200232661699</v>
      </c>
      <c r="C616">
        <v>0.38072923436707701</v>
      </c>
      <c r="E616" t="str">
        <f>"10441107"</f>
        <v>10441107</v>
      </c>
      <c r="F616" t="str">
        <f t="shared" si="42"/>
        <v>Affy 1.0 ST</v>
      </c>
      <c r="G616" t="str">
        <f>"MGI:1860263"</f>
        <v>MGI:1860263</v>
      </c>
      <c r="H616" t="str">
        <f>"Psmg1"</f>
        <v>Psmg1</v>
      </c>
      <c r="I616" t="s">
        <v>50</v>
      </c>
      <c r="J616" t="s">
        <v>155</v>
      </c>
    </row>
    <row r="617" spans="1:10">
      <c r="A617">
        <v>10526319</v>
      </c>
      <c r="B617">
        <v>2.0277324783048001</v>
      </c>
      <c r="C617">
        <v>0.41920300951283501</v>
      </c>
      <c r="E617" t="str">
        <f>"10526319"</f>
        <v>10526319</v>
      </c>
      <c r="F617" t="str">
        <f t="shared" si="42"/>
        <v>Affy 1.0 ST</v>
      </c>
      <c r="G617" t="str">
        <f>"MGI:1353499"</f>
        <v>MGI:1353499</v>
      </c>
      <c r="H617" t="str">
        <f>"Baz1b"</f>
        <v>Baz1b</v>
      </c>
      <c r="I617" t="s">
        <v>51</v>
      </c>
      <c r="J617" t="s">
        <v>155</v>
      </c>
    </row>
    <row r="618" spans="1:10">
      <c r="A618">
        <v>10440591</v>
      </c>
      <c r="B618">
        <v>2.0253589866428401</v>
      </c>
      <c r="C618">
        <v>0.42086326712292099</v>
      </c>
      <c r="E618" t="str">
        <f>"10440591"</f>
        <v>10440591</v>
      </c>
      <c r="F618" t="str">
        <f>""</f>
        <v/>
      </c>
      <c r="G618" t="str">
        <f>"No associated gene"</f>
        <v>No associated gene</v>
      </c>
    </row>
    <row r="619" spans="1:10">
      <c r="A619">
        <v>10496796</v>
      </c>
      <c r="B619">
        <v>2.0250149488371001</v>
      </c>
      <c r="C619">
        <v>0.130703420353664</v>
      </c>
      <c r="E619" t="str">
        <f>"10496796"</f>
        <v>10496796</v>
      </c>
      <c r="F619" t="str">
        <f>"Affy 1.0 ST"</f>
        <v>Affy 1.0 ST</v>
      </c>
      <c r="G619" t="str">
        <f>"MGI:2139150"</f>
        <v>MGI:2139150</v>
      </c>
      <c r="H619" t="str">
        <f>"Ssx2ip"</f>
        <v>Ssx2ip</v>
      </c>
      <c r="I619" t="s">
        <v>52</v>
      </c>
      <c r="J619" t="s">
        <v>155</v>
      </c>
    </row>
    <row r="620" spans="1:10">
      <c r="A620">
        <v>10350504</v>
      </c>
      <c r="B620">
        <v>2.01972139686087</v>
      </c>
      <c r="C620">
        <v>0.49356129860085701</v>
      </c>
      <c r="E620" t="str">
        <f>"10350504"</f>
        <v>10350504</v>
      </c>
      <c r="F620" t="str">
        <f>""</f>
        <v/>
      </c>
      <c r="G620" t="str">
        <f>"No associated gene"</f>
        <v>No associated gene</v>
      </c>
    </row>
    <row r="621" spans="1:10">
      <c r="A621">
        <v>10448127</v>
      </c>
      <c r="B621">
        <v>2.0193473312428498</v>
      </c>
      <c r="C621">
        <v>0.18714941017155801</v>
      </c>
      <c r="E621" t="str">
        <f>"10448127"</f>
        <v>10448127</v>
      </c>
      <c r="F621" t="str">
        <f>"Affy 1.0 ST"</f>
        <v>Affy 1.0 ST</v>
      </c>
      <c r="G621" t="str">
        <f>"MGI:107443"</f>
        <v>MGI:107443</v>
      </c>
      <c r="H621" t="str">
        <f>"Fpr1"</f>
        <v>Fpr1</v>
      </c>
      <c r="I621" t="str">
        <f>"formyl peptide receptor 1"</f>
        <v>formyl peptide receptor 1</v>
      </c>
      <c r="J621" t="str">
        <f>"protein coding gene"</f>
        <v>protein coding gene</v>
      </c>
    </row>
    <row r="622" spans="1:10">
      <c r="A622">
        <v>10572870</v>
      </c>
      <c r="B622">
        <v>2.0192396258003802</v>
      </c>
      <c r="C622">
        <v>0.27513800140019201</v>
      </c>
      <c r="E622" t="str">
        <f>"10572870"</f>
        <v>10572870</v>
      </c>
      <c r="F622" t="str">
        <f>"Affy 1.0 ST"</f>
        <v>Affy 1.0 ST</v>
      </c>
      <c r="G622" t="str">
        <f>"MGI:1918073"</f>
        <v>MGI:1918073</v>
      </c>
      <c r="H622" t="str">
        <f>"Hmgxb4"</f>
        <v>Hmgxb4</v>
      </c>
      <c r="I622" t="str">
        <f>"HMG box domain containing 4"</f>
        <v>HMG box domain containing 4</v>
      </c>
      <c r="J622" t="str">
        <f>"protein coding gene"</f>
        <v>protein coding gene</v>
      </c>
    </row>
    <row r="623" spans="1:10">
      <c r="A623">
        <v>10605195</v>
      </c>
      <c r="B623">
        <v>2.0191752684776301</v>
      </c>
      <c r="C623">
        <v>0.39793365565477201</v>
      </c>
      <c r="E623" t="str">
        <f>"10605195"</f>
        <v>10605195</v>
      </c>
      <c r="F623" t="str">
        <f>"Affy 1.0 ST"</f>
        <v>Affy 1.0 ST</v>
      </c>
      <c r="G623" t="str">
        <f>"MGI:105942"</f>
        <v>MGI:105942</v>
      </c>
      <c r="H623" t="str">
        <f>"Hcfc1"</f>
        <v>Hcfc1</v>
      </c>
      <c r="I623" t="str">
        <f>"host cell factor C1"</f>
        <v>host cell factor C1</v>
      </c>
      <c r="J623" t="str">
        <f>"protein coding gene"</f>
        <v>protein coding gene</v>
      </c>
    </row>
    <row r="624" spans="1:10">
      <c r="A624">
        <v>10356461</v>
      </c>
      <c r="B624">
        <v>2.0191117162654701</v>
      </c>
      <c r="C624">
        <v>0.37014429324507198</v>
      </c>
      <c r="E624" t="str">
        <f>"10356461"</f>
        <v>10356461</v>
      </c>
      <c r="F624" t="str">
        <f>"Affy 1.0 ST"</f>
        <v>Affy 1.0 ST</v>
      </c>
      <c r="G624" t="str">
        <f>"MGI:2685821"</f>
        <v>MGI:2685821</v>
      </c>
      <c r="H624" t="str">
        <f>"Hjurp"</f>
        <v>Hjurp</v>
      </c>
      <c r="I624" t="str">
        <f>"Holliday junction recognition protein"</f>
        <v>Holliday junction recognition protein</v>
      </c>
      <c r="J624" t="str">
        <f>"protein coding gene"</f>
        <v>protein coding gene</v>
      </c>
    </row>
    <row r="625" spans="1:10">
      <c r="A625">
        <v>10528172</v>
      </c>
      <c r="B625">
        <v>2.0181017739824498</v>
      </c>
      <c r="C625">
        <v>0.31006658115819502</v>
      </c>
      <c r="E625" t="str">
        <f>"10528172"</f>
        <v>10528172</v>
      </c>
      <c r="F625" t="str">
        <f>""</f>
        <v/>
      </c>
      <c r="G625" t="str">
        <f>"No associated gene"</f>
        <v>No associated gene</v>
      </c>
    </row>
    <row r="626" spans="1:10">
      <c r="A626">
        <v>10452118</v>
      </c>
      <c r="B626">
        <v>2.01634340848309</v>
      </c>
      <c r="C626">
        <v>0.44881167743130301</v>
      </c>
      <c r="E626" t="str">
        <f>"10452118"</f>
        <v>10452118</v>
      </c>
      <c r="F626" t="str">
        <f>"Affy 1.0 ST"</f>
        <v>Affy 1.0 ST</v>
      </c>
      <c r="G626" t="str">
        <f>"MGI:1921392"</f>
        <v>MGI:1921392</v>
      </c>
      <c r="H626" t="str">
        <f>"Lonp1"</f>
        <v>Lonp1</v>
      </c>
      <c r="I626" t="s">
        <v>53</v>
      </c>
      <c r="J626" t="s">
        <v>155</v>
      </c>
    </row>
    <row r="627" spans="1:10">
      <c r="A627">
        <v>10343640</v>
      </c>
      <c r="B627">
        <v>2.0163150039973501</v>
      </c>
      <c r="C627">
        <v>0.18122661845362201</v>
      </c>
      <c r="E627" t="str">
        <f>"10343640"</f>
        <v>10343640</v>
      </c>
      <c r="F627" t="str">
        <f>""</f>
        <v/>
      </c>
      <c r="G627" t="str">
        <f>"No associated gene"</f>
        <v>No associated gene</v>
      </c>
    </row>
    <row r="628" spans="1:10">
      <c r="A628">
        <v>10362974</v>
      </c>
      <c r="B628">
        <v>2.0157584613014099</v>
      </c>
      <c r="C628">
        <v>0.163650037431566</v>
      </c>
      <c r="E628" t="str">
        <f>"10362974"</f>
        <v>10362974</v>
      </c>
      <c r="F628" t="str">
        <f>"Affy 1.0 ST"</f>
        <v>Affy 1.0 ST</v>
      </c>
      <c r="G628" t="str">
        <f>"MGI:2446110"</f>
        <v>MGI:2446110</v>
      </c>
      <c r="H628" t="str">
        <f>"Hace1"</f>
        <v>Hace1</v>
      </c>
      <c r="I628" t="s">
        <v>54</v>
      </c>
      <c r="J628" t="s">
        <v>155</v>
      </c>
    </row>
    <row r="629" spans="1:10">
      <c r="A629">
        <v>10523856</v>
      </c>
      <c r="B629">
        <v>2.0152741454026599</v>
      </c>
      <c r="C629">
        <v>0.18911172971929299</v>
      </c>
      <c r="E629" t="str">
        <f>"10523856"</f>
        <v>10523856</v>
      </c>
      <c r="F629" t="str">
        <f>""</f>
        <v/>
      </c>
      <c r="G629" t="str">
        <f>"No associated gene"</f>
        <v>No associated gene</v>
      </c>
    </row>
    <row r="630" spans="1:10">
      <c r="A630">
        <v>10604405</v>
      </c>
      <c r="B630">
        <v>2.0149955967019602</v>
      </c>
      <c r="C630">
        <v>0.33035572628370302</v>
      </c>
      <c r="E630" t="str">
        <f>"10604405"</f>
        <v>10604405</v>
      </c>
      <c r="F630" t="str">
        <f>"Affy 1.0 ST"</f>
        <v>Affy 1.0 ST</v>
      </c>
      <c r="G630" t="str">
        <f>"MGI:1349419"</f>
        <v>MGI:1349419</v>
      </c>
      <c r="H630" t="str">
        <f>"Aifm1"</f>
        <v>Aifm1</v>
      </c>
      <c r="I630" t="s">
        <v>55</v>
      </c>
      <c r="J630" t="s">
        <v>155</v>
      </c>
    </row>
    <row r="631" spans="1:10">
      <c r="A631">
        <v>10344813</v>
      </c>
      <c r="B631">
        <v>2.0122977440687699</v>
      </c>
      <c r="C631">
        <v>0.22059968154479001</v>
      </c>
      <c r="E631" t="str">
        <f>"10344813"</f>
        <v>10344813</v>
      </c>
      <c r="F631" t="str">
        <f>"Affy 1.0 ST"</f>
        <v>Affy 1.0 ST</v>
      </c>
      <c r="G631" t="str">
        <f>"MGI:2681832"</f>
        <v>MGI:2681832</v>
      </c>
      <c r="H631" t="str">
        <f>"Cspp1"</f>
        <v>Cspp1</v>
      </c>
      <c r="I631" t="str">
        <f>"centrosome and spindle pole associated protein 1"</f>
        <v>centrosome and spindle pole associated protein 1</v>
      </c>
      <c r="J631" t="str">
        <f>"protein coding gene"</f>
        <v>protein coding gene</v>
      </c>
    </row>
    <row r="632" spans="1:10">
      <c r="A632">
        <v>10458398</v>
      </c>
      <c r="B632">
        <v>2.0105851077273198</v>
      </c>
      <c r="C632">
        <v>0.25192430044657199</v>
      </c>
      <c r="E632" t="str">
        <f>"10458398"</f>
        <v>10458398</v>
      </c>
      <c r="F632" t="str">
        <f>"Affy 1.0 ST"</f>
        <v>Affy 1.0 ST</v>
      </c>
      <c r="G632" t="str">
        <f>"MGI:108087"</f>
        <v>MGI:108087</v>
      </c>
      <c r="H632" t="str">
        <f>"Hars"</f>
        <v>Hars</v>
      </c>
      <c r="I632" t="str">
        <f>"histidyl-tRNA synthetase"</f>
        <v>histidyl-tRNA synthetase</v>
      </c>
      <c r="J632" t="str">
        <f>"protein coding gene"</f>
        <v>protein coding gene</v>
      </c>
    </row>
    <row r="633" spans="1:10">
      <c r="A633">
        <v>10389010</v>
      </c>
      <c r="B633">
        <v>2.0033007836380201</v>
      </c>
      <c r="C633">
        <v>3.06877975937342E-2</v>
      </c>
      <c r="E633" t="str">
        <f>"10389010"</f>
        <v>10389010</v>
      </c>
      <c r="F633" t="str">
        <f>"Affy 1.0 ST"</f>
        <v>Affy 1.0 ST</v>
      </c>
      <c r="G633" t="str">
        <f>"MGI:1917841"</f>
        <v>MGI:1917841</v>
      </c>
      <c r="H633" t="str">
        <f>"5730455P16Rik"</f>
        <v>5730455P16Rik</v>
      </c>
      <c r="I633" t="str">
        <f>"RIKEN cDNA 5730455P16 gene"</f>
        <v>RIKEN cDNA 5730455P16 gene</v>
      </c>
      <c r="J633" t="str">
        <f>"protein coding gene"</f>
        <v>protein coding gene</v>
      </c>
    </row>
    <row r="634" spans="1:10">
      <c r="A634">
        <v>10602223</v>
      </c>
      <c r="B634">
        <v>2.00328956953209</v>
      </c>
      <c r="C634">
        <v>0.34831314993068202</v>
      </c>
      <c r="E634" t="str">
        <f>"10602223"</f>
        <v>10602223</v>
      </c>
      <c r="F634" t="str">
        <f>"Affy 1.0 ST"</f>
        <v>Affy 1.0 ST</v>
      </c>
      <c r="G634" t="str">
        <f>"MGI:1914824"</f>
        <v>MGI:1914824</v>
      </c>
      <c r="H634" t="str">
        <f>"Alg13"</f>
        <v>Alg13</v>
      </c>
      <c r="I634" t="str">
        <f>"asparagine-linked glycosylation 13 homolog (S. cerevisiae)"</f>
        <v>asparagine-linked glycosylation 13 homolog (S. cerevisiae)</v>
      </c>
      <c r="J634" t="str">
        <f>"protein coding gene"</f>
        <v>protein coding gene</v>
      </c>
    </row>
    <row r="635" spans="1:10">
      <c r="A635">
        <v>10340852</v>
      </c>
      <c r="B635">
        <v>2.0020033109452302</v>
      </c>
      <c r="C635">
        <v>0.20252996441172699</v>
      </c>
      <c r="E635" t="str">
        <f>"10340852"</f>
        <v>10340852</v>
      </c>
      <c r="F635" t="str">
        <f>""</f>
        <v/>
      </c>
      <c r="G635" t="str">
        <f>"No associated gene"</f>
        <v>No associated gene</v>
      </c>
    </row>
    <row r="636" spans="1:10">
      <c r="A636">
        <v>10344493</v>
      </c>
      <c r="B636">
        <v>2.0018463359227199</v>
      </c>
      <c r="C636">
        <v>5.77106157594783E-2</v>
      </c>
      <c r="E636" t="str">
        <f>"10344493"</f>
        <v>10344493</v>
      </c>
      <c r="F636" t="str">
        <f>""</f>
        <v/>
      </c>
      <c r="G636" t="str">
        <f>"No associated gene"</f>
        <v>No associated gene</v>
      </c>
    </row>
    <row r="637" spans="1:10">
      <c r="A637">
        <v>10598848</v>
      </c>
      <c r="B637">
        <v>1.9956941482066799</v>
      </c>
      <c r="C637">
        <v>0.41277897034058603</v>
      </c>
      <c r="E637" t="str">
        <f>"10598848"</f>
        <v>10598848</v>
      </c>
      <c r="F637" t="str">
        <f t="shared" ref="F637:F643" si="44">"Affy 1.0 ST"</f>
        <v>Affy 1.0 ST</v>
      </c>
      <c r="G637" t="str">
        <f>"MGI:2148019"</f>
        <v>MGI:2148019</v>
      </c>
      <c r="H637" t="str">
        <f>"Phf16"</f>
        <v>Phf16</v>
      </c>
      <c r="I637" t="str">
        <f>"PHD finger protein 16"</f>
        <v>PHD finger protein 16</v>
      </c>
      <c r="J637" t="str">
        <f>"protein coding gene"</f>
        <v>protein coding gene</v>
      </c>
    </row>
    <row r="638" spans="1:10">
      <c r="A638">
        <v>10475686</v>
      </c>
      <c r="B638">
        <v>1.9951688709095701</v>
      </c>
      <c r="C638">
        <v>0.448832505446906</v>
      </c>
      <c r="E638" t="str">
        <f>"10475686"</f>
        <v>10475686</v>
      </c>
      <c r="F638" t="str">
        <f t="shared" si="44"/>
        <v>Affy 1.0 ST</v>
      </c>
      <c r="G638" t="str">
        <f>"MGI:1336993"</f>
        <v>MGI:1336993</v>
      </c>
      <c r="H638" t="str">
        <f>"Ap4e1"</f>
        <v>Ap4e1</v>
      </c>
      <c r="I638" t="s">
        <v>56</v>
      </c>
      <c r="J638" t="s">
        <v>155</v>
      </c>
    </row>
    <row r="639" spans="1:10">
      <c r="A639">
        <v>10448707</v>
      </c>
      <c r="B639">
        <v>1.9925627754593001</v>
      </c>
      <c r="C639">
        <v>0.428458484263251</v>
      </c>
      <c r="E639" t="str">
        <f>"10448707"</f>
        <v>10448707</v>
      </c>
      <c r="F639" t="str">
        <f t="shared" si="44"/>
        <v>Affy 1.0 ST</v>
      </c>
      <c r="G639" t="str">
        <f>"MGI:2384863"</f>
        <v>MGI:2384863</v>
      </c>
      <c r="H639" t="str">
        <f>"Tbl3"</f>
        <v>Tbl3</v>
      </c>
      <c r="I639" t="str">
        <f>"transducin (beta)-like 3"</f>
        <v>transducin (beta)-like 3</v>
      </c>
      <c r="J639" t="str">
        <f>"protein coding gene"</f>
        <v>protein coding gene</v>
      </c>
    </row>
    <row r="640" spans="1:10">
      <c r="A640">
        <v>10420670</v>
      </c>
      <c r="B640">
        <v>1.99117454218968</v>
      </c>
      <c r="C640">
        <v>0.17520558761708499</v>
      </c>
      <c r="E640" t="str">
        <f>"10420670"</f>
        <v>10420670</v>
      </c>
      <c r="F640" t="str">
        <f t="shared" si="44"/>
        <v>Affy 1.0 ST</v>
      </c>
      <c r="G640" t="str">
        <f>"MGI:1934030"</f>
        <v>MGI:1934030</v>
      </c>
      <c r="H640" t="str">
        <f>"Dleu2"</f>
        <v>Dleu2</v>
      </c>
      <c r="I640" t="s">
        <v>57</v>
      </c>
      <c r="J640" t="s">
        <v>58</v>
      </c>
    </row>
    <row r="641" spans="1:10">
      <c r="A641">
        <v>10378024</v>
      </c>
      <c r="B641">
        <v>1.99100170040397</v>
      </c>
      <c r="C641">
        <v>0.42397527069942498</v>
      </c>
      <c r="E641" t="str">
        <f>"10378024"</f>
        <v>10378024</v>
      </c>
      <c r="F641" t="str">
        <f t="shared" si="44"/>
        <v>Affy 1.0 ST</v>
      </c>
      <c r="G641" t="str">
        <f>"MGI:1914389"</f>
        <v>MGI:1914389</v>
      </c>
      <c r="H641" t="str">
        <f>"Mis12"</f>
        <v>Mis12</v>
      </c>
      <c r="I641" t="str">
        <f>"MIS12 homolog (yeast)"</f>
        <v>MIS12 homolog (yeast)</v>
      </c>
      <c r="J641" t="str">
        <f>"protein coding gene"</f>
        <v>protein coding gene</v>
      </c>
    </row>
    <row r="642" spans="1:10">
      <c r="A642">
        <v>10562331</v>
      </c>
      <c r="B642">
        <v>1.98807033267716</v>
      </c>
      <c r="C642">
        <v>0.160035104870316</v>
      </c>
      <c r="E642" t="str">
        <f>"10562331"</f>
        <v>10562331</v>
      </c>
      <c r="F642" t="str">
        <f t="shared" si="44"/>
        <v>Affy 1.0 ST</v>
      </c>
      <c r="G642" t="str">
        <f>"MGI:1858313"</f>
        <v>MGI:1858313</v>
      </c>
      <c r="H642" t="str">
        <f>"Uba2"</f>
        <v>Uba2</v>
      </c>
      <c r="I642" t="str">
        <f>"ubiquitin-like modifier activating enzyme 2"</f>
        <v>ubiquitin-like modifier activating enzyme 2</v>
      </c>
      <c r="J642" t="str">
        <f>"protein coding gene"</f>
        <v>protein coding gene</v>
      </c>
    </row>
    <row r="643" spans="1:10">
      <c r="A643">
        <v>10468929</v>
      </c>
      <c r="B643">
        <v>1.9848208557346301</v>
      </c>
      <c r="C643">
        <v>0.37018991777128002</v>
      </c>
      <c r="E643" t="str">
        <f>"10468929"</f>
        <v>10468929</v>
      </c>
      <c r="F643" t="str">
        <f t="shared" si="44"/>
        <v>Affy 1.0 ST</v>
      </c>
      <c r="G643" t="str">
        <f>"MGI:1202298"</f>
        <v>MGI:1202298</v>
      </c>
      <c r="H643" t="str">
        <f>"Nmt2"</f>
        <v>Nmt2</v>
      </c>
      <c r="I643" t="str">
        <f>"N-myristoyltransferase 2"</f>
        <v>N-myristoyltransferase 2</v>
      </c>
      <c r="J643" t="str">
        <f>"protein coding gene"</f>
        <v>protein coding gene</v>
      </c>
    </row>
    <row r="644" spans="1:10">
      <c r="A644">
        <v>10343351</v>
      </c>
      <c r="B644">
        <v>1.9827845636606301</v>
      </c>
      <c r="C644">
        <v>3.7024757152297E-2</v>
      </c>
      <c r="E644" t="str">
        <f>"10343351"</f>
        <v>10343351</v>
      </c>
      <c r="F644" t="str">
        <f>""</f>
        <v/>
      </c>
      <c r="G644" t="str">
        <f>"No associated gene"</f>
        <v>No associated gene</v>
      </c>
    </row>
    <row r="645" spans="1:10">
      <c r="A645">
        <v>10385081</v>
      </c>
      <c r="B645">
        <v>1.9810144242202401</v>
      </c>
      <c r="C645">
        <v>0.24251966229904801</v>
      </c>
      <c r="E645" t="str">
        <f>"10385081"</f>
        <v>10385081</v>
      </c>
      <c r="F645" t="str">
        <f>"Affy 1.0 ST"</f>
        <v>Affy 1.0 ST</v>
      </c>
      <c r="G645" t="str">
        <f>"MGI:3525200"</f>
        <v>MGI:3525200</v>
      </c>
      <c r="H645" t="str">
        <f>"Anp32-ps"</f>
        <v>Anp32-ps</v>
      </c>
      <c r="I645" t="s">
        <v>59</v>
      </c>
      <c r="J645" t="s">
        <v>133</v>
      </c>
    </row>
    <row r="646" spans="1:10">
      <c r="A646">
        <v>10561958</v>
      </c>
      <c r="B646">
        <v>1.9805472220361999</v>
      </c>
      <c r="C646">
        <v>0.27636615354489502</v>
      </c>
      <c r="E646" t="str">
        <f>"10561958"</f>
        <v>10561958</v>
      </c>
      <c r="F646" t="str">
        <f>"Affy 1.0 ST"</f>
        <v>Affy 1.0 ST</v>
      </c>
      <c r="G646" t="str">
        <f>"MGI:2673998"</f>
        <v>MGI:2673998</v>
      </c>
      <c r="H646" t="str">
        <f>"Arhgap33"</f>
        <v>Arhgap33</v>
      </c>
      <c r="I646" t="str">
        <f>"Rho GTPase activating protein 33"</f>
        <v>Rho GTPase activating protein 33</v>
      </c>
      <c r="J646" t="str">
        <f>"protein coding gene"</f>
        <v>protein coding gene</v>
      </c>
    </row>
    <row r="647" spans="1:10">
      <c r="A647">
        <v>10515326</v>
      </c>
      <c r="B647">
        <v>1.97918932749981</v>
      </c>
      <c r="C647">
        <v>0.47155886653532297</v>
      </c>
      <c r="E647" t="str">
        <f>"10515326"</f>
        <v>10515326</v>
      </c>
      <c r="F647" t="str">
        <f>"Affy 1.0 ST"</f>
        <v>Affy 1.0 ST</v>
      </c>
      <c r="G647" t="str">
        <f>"MGI:3045357"</f>
        <v>MGI:3045357</v>
      </c>
      <c r="H647" t="str">
        <f>"Tmem69"</f>
        <v>Tmem69</v>
      </c>
      <c r="I647" t="str">
        <f>"transmembrane protein 69"</f>
        <v>transmembrane protein 69</v>
      </c>
      <c r="J647" t="str">
        <f>"protein coding gene"</f>
        <v>protein coding gene</v>
      </c>
    </row>
    <row r="648" spans="1:10">
      <c r="A648">
        <v>10420097</v>
      </c>
      <c r="B648">
        <v>1.97733857045961</v>
      </c>
      <c r="C648">
        <v>0.38130184680784501</v>
      </c>
      <c r="E648" t="str">
        <f>"10420097"</f>
        <v>10420097</v>
      </c>
      <c r="F648" t="str">
        <f>"Affy 1.0 ST"</f>
        <v>Affy 1.0 ST</v>
      </c>
      <c r="G648" t="str">
        <f>"MGI:107246"</f>
        <v>MGI:107246</v>
      </c>
      <c r="H648" t="str">
        <f>"Tinf2"</f>
        <v>Tinf2</v>
      </c>
      <c r="I648" t="str">
        <f>"Terf1 (TRF1)-interacting nuclear factor 2"</f>
        <v>Terf1 (TRF1)-interacting nuclear factor 2</v>
      </c>
      <c r="J648" t="str">
        <f>"protein coding gene"</f>
        <v>protein coding gene</v>
      </c>
    </row>
    <row r="649" spans="1:10">
      <c r="A649">
        <v>10444656</v>
      </c>
      <c r="B649">
        <v>1.9744277566627</v>
      </c>
      <c r="C649">
        <v>0.111502038105766</v>
      </c>
      <c r="E649" t="str">
        <f>"10444656"</f>
        <v>10444656</v>
      </c>
      <c r="F649" t="str">
        <f>""</f>
        <v/>
      </c>
      <c r="G649" t="str">
        <f>"No associated gene"</f>
        <v>No associated gene</v>
      </c>
    </row>
    <row r="650" spans="1:10">
      <c r="A650">
        <v>10590892</v>
      </c>
      <c r="B650">
        <v>1.9730875436690301</v>
      </c>
      <c r="C650">
        <v>0.26127117034029201</v>
      </c>
      <c r="E650" t="str">
        <f>"10590892"</f>
        <v>10590892</v>
      </c>
      <c r="F650" t="str">
        <f>"Affy 1.0 ST"</f>
        <v>Affy 1.0 ST</v>
      </c>
      <c r="G650" t="str">
        <f>"MGI:1915551"</f>
        <v>MGI:1915551</v>
      </c>
      <c r="H650" t="str">
        <f>"Cep57"</f>
        <v>Cep57</v>
      </c>
      <c r="I650" t="str">
        <f>"centrosomal protein 57"</f>
        <v>centrosomal protein 57</v>
      </c>
      <c r="J650" t="str">
        <f>"protein coding gene"</f>
        <v>protein coding gene</v>
      </c>
    </row>
    <row r="651" spans="1:10">
      <c r="A651">
        <v>10561356</v>
      </c>
      <c r="B651">
        <v>1.97231352875274</v>
      </c>
      <c r="C651">
        <v>4.6574086828980503E-2</v>
      </c>
      <c r="E651" t="str">
        <f>"10561356"</f>
        <v>10561356</v>
      </c>
      <c r="F651" t="str">
        <f>"Affy 1.0 ST"</f>
        <v>Affy 1.0 ST</v>
      </c>
      <c r="G651" t="str">
        <f>"MGI:1346093"</f>
        <v>MGI:1346093</v>
      </c>
      <c r="H651" t="str">
        <f>"Psmc4"</f>
        <v>Psmc4</v>
      </c>
      <c r="I651" t="s">
        <v>60</v>
      </c>
      <c r="J651" t="s">
        <v>155</v>
      </c>
    </row>
    <row r="652" spans="1:10">
      <c r="A652">
        <v>10343299</v>
      </c>
      <c r="B652">
        <v>1.9722186872904</v>
      </c>
      <c r="C652">
        <v>0.20811117965995299</v>
      </c>
      <c r="E652" t="str">
        <f>"10343299"</f>
        <v>10343299</v>
      </c>
      <c r="F652" t="str">
        <f>""</f>
        <v/>
      </c>
      <c r="G652" t="str">
        <f>"No associated gene"</f>
        <v>No associated gene</v>
      </c>
    </row>
    <row r="653" spans="1:10">
      <c r="A653">
        <v>10399430</v>
      </c>
      <c r="B653">
        <v>1.97058185215534</v>
      </c>
      <c r="C653">
        <v>0.35182781949782999</v>
      </c>
      <c r="E653" t="str">
        <f>"10399430"</f>
        <v>10399430</v>
      </c>
      <c r="F653" t="str">
        <f t="shared" ref="F653:F660" si="45">"Affy 1.0 ST"</f>
        <v>Affy 1.0 ST</v>
      </c>
      <c r="G653" t="str">
        <f>"MGI:2144727"</f>
        <v>MGI:2144727</v>
      </c>
      <c r="H653" t="str">
        <f>"Ddx1"</f>
        <v>Ddx1</v>
      </c>
      <c r="I653" t="str">
        <f>"DEAD (Asp-Glu-Ala-Asp) box polypeptide 1"</f>
        <v>DEAD (Asp-Glu-Ala-Asp) box polypeptide 1</v>
      </c>
      <c r="J653" t="str">
        <f>"protein coding gene"</f>
        <v>protein coding gene</v>
      </c>
    </row>
    <row r="654" spans="1:10">
      <c r="A654">
        <v>10387295</v>
      </c>
      <c r="B654">
        <v>1.96739074537992</v>
      </c>
      <c r="C654">
        <v>0.43244899080702798</v>
      </c>
      <c r="E654" t="str">
        <f>"10387295"</f>
        <v>10387295</v>
      </c>
      <c r="F654" t="str">
        <f t="shared" si="45"/>
        <v>Affy 1.0 ST</v>
      </c>
      <c r="G654" t="str">
        <f>"MGI:2443290"</f>
        <v>MGI:2443290</v>
      </c>
      <c r="H654" t="str">
        <f>"Cntrob"</f>
        <v>Cntrob</v>
      </c>
      <c r="I654" t="s">
        <v>61</v>
      </c>
      <c r="J654" t="s">
        <v>155</v>
      </c>
    </row>
    <row r="655" spans="1:10">
      <c r="A655">
        <v>10497325</v>
      </c>
      <c r="B655">
        <v>1.9653259386578299</v>
      </c>
      <c r="C655">
        <v>0.32543398282269698</v>
      </c>
      <c r="E655" t="str">
        <f>"10497325"</f>
        <v>10497325</v>
      </c>
      <c r="F655" t="str">
        <f t="shared" si="45"/>
        <v>Affy 1.0 ST</v>
      </c>
      <c r="G655" t="str">
        <f>"MGI:3648307"</f>
        <v>MGI:3648307</v>
      </c>
      <c r="H655" t="str">
        <f>"Gm5473"</f>
        <v>Gm5473</v>
      </c>
      <c r="I655" t="str">
        <f>"predicted pseudogene 5473"</f>
        <v>predicted pseudogene 5473</v>
      </c>
      <c r="J655" t="str">
        <f>"pseudogene"</f>
        <v>pseudogene</v>
      </c>
    </row>
    <row r="656" spans="1:10">
      <c r="A656">
        <v>10386442</v>
      </c>
      <c r="B656">
        <v>1.96522392778901</v>
      </c>
      <c r="C656">
        <v>0.39108195112335298</v>
      </c>
      <c r="E656" t="str">
        <f>"10386442"</f>
        <v>10386442</v>
      </c>
      <c r="F656" t="str">
        <f t="shared" si="45"/>
        <v>Affy 1.0 ST</v>
      </c>
      <c r="G656" t="str">
        <f>"MGI:1349409"</f>
        <v>MGI:1349409</v>
      </c>
      <c r="H656" t="str">
        <f>"Cops3"</f>
        <v>Cops3</v>
      </c>
      <c r="I656" t="s">
        <v>62</v>
      </c>
      <c r="J656" t="s">
        <v>155</v>
      </c>
    </row>
    <row r="657" spans="1:10">
      <c r="A657">
        <v>10354868</v>
      </c>
      <c r="B657">
        <v>1.9645818092490399</v>
      </c>
      <c r="C657">
        <v>0.144160296384472</v>
      </c>
      <c r="E657" t="str">
        <f>"10354868"</f>
        <v>10354868</v>
      </c>
      <c r="F657" t="str">
        <f t="shared" si="45"/>
        <v>Affy 1.0 ST</v>
      </c>
      <c r="G657" t="str">
        <f>"MGI:1098784"</f>
        <v>MGI:1098784</v>
      </c>
      <c r="H657" t="str">
        <f>"Fam126b"</f>
        <v>Fam126b</v>
      </c>
      <c r="I657" t="s">
        <v>63</v>
      </c>
      <c r="J657" t="s">
        <v>155</v>
      </c>
    </row>
    <row r="658" spans="1:10">
      <c r="A658">
        <v>10465638</v>
      </c>
      <c r="B658">
        <v>1.964004901304</v>
      </c>
      <c r="C658">
        <v>0.25355498623165101</v>
      </c>
      <c r="E658" t="str">
        <f>"10465638"</f>
        <v>10465638</v>
      </c>
      <c r="F658" t="str">
        <f t="shared" si="45"/>
        <v>Affy 1.0 ST</v>
      </c>
      <c r="G658" t="str">
        <f>"MGI:1918249"</f>
        <v>MGI:1918249</v>
      </c>
      <c r="H658" t="str">
        <f>"Naa40"</f>
        <v>Naa40</v>
      </c>
      <c r="I658" t="s">
        <v>64</v>
      </c>
      <c r="J658" t="s">
        <v>155</v>
      </c>
    </row>
    <row r="659" spans="1:10">
      <c r="A659">
        <v>10396778</v>
      </c>
      <c r="B659">
        <v>1.96388066587593</v>
      </c>
      <c r="C659">
        <v>0.17079977547031899</v>
      </c>
      <c r="E659" t="str">
        <f>"10396778"</f>
        <v>10396778</v>
      </c>
      <c r="F659" t="str">
        <f t="shared" si="45"/>
        <v>Affy 1.0 ST</v>
      </c>
      <c r="G659" t="str">
        <f>"MGI:1927339"</f>
        <v>MGI:1927339</v>
      </c>
      <c r="H659" t="str">
        <f>"Mpp5"</f>
        <v>Mpp5</v>
      </c>
      <c r="I659" t="s">
        <v>65</v>
      </c>
      <c r="J659" t="s">
        <v>155</v>
      </c>
    </row>
    <row r="660" spans="1:10">
      <c r="A660">
        <v>10506989</v>
      </c>
      <c r="B660">
        <v>1.9636251553040101</v>
      </c>
      <c r="C660">
        <v>0.319692603168931</v>
      </c>
      <c r="E660" t="str">
        <f>"10506989"</f>
        <v>10506989</v>
      </c>
      <c r="F660" t="str">
        <f t="shared" si="45"/>
        <v>Affy 1.0 ST</v>
      </c>
      <c r="G660" t="str">
        <f>"MGI:109419"</f>
        <v>MGI:109419</v>
      </c>
      <c r="H660" t="str">
        <f>"Faf1"</f>
        <v>Faf1</v>
      </c>
      <c r="I660" t="str">
        <f>"Fas-associated factor 1"</f>
        <v>Fas-associated factor 1</v>
      </c>
      <c r="J660" t="str">
        <f>"protein coding gene"</f>
        <v>protein coding gene</v>
      </c>
    </row>
    <row r="661" spans="1:10">
      <c r="A661">
        <v>10608720</v>
      </c>
      <c r="B661">
        <v>1.96296700052777</v>
      </c>
      <c r="C661">
        <v>0.32105232685806001</v>
      </c>
      <c r="E661" t="str">
        <f>"10608720"</f>
        <v>10608720</v>
      </c>
      <c r="F661" t="str">
        <f>""</f>
        <v/>
      </c>
      <c r="G661" t="str">
        <f>"No associated gene"</f>
        <v>No associated gene</v>
      </c>
    </row>
    <row r="662" spans="1:10">
      <c r="A662">
        <v>10342813</v>
      </c>
      <c r="B662">
        <v>1.9618852700524001</v>
      </c>
      <c r="C662">
        <v>0.16556768859080001</v>
      </c>
      <c r="E662" t="str">
        <f>"10342813"</f>
        <v>10342813</v>
      </c>
      <c r="F662" t="str">
        <f>""</f>
        <v/>
      </c>
      <c r="G662" t="str">
        <f>"No associated gene"</f>
        <v>No associated gene</v>
      </c>
    </row>
    <row r="663" spans="1:10">
      <c r="A663">
        <v>10521261</v>
      </c>
      <c r="B663">
        <v>1.95888722177331</v>
      </c>
      <c r="C663">
        <v>0.26107326244225498</v>
      </c>
      <c r="E663" t="str">
        <f>"10521261"</f>
        <v>10521261</v>
      </c>
      <c r="F663" t="str">
        <f>"Affy 1.0 ST"</f>
        <v>Affy 1.0 ST</v>
      </c>
      <c r="G663" t="str">
        <f>"MGI:96067"</f>
        <v>MGI:96067</v>
      </c>
      <c r="H663" t="str">
        <f>"Htt"</f>
        <v>Htt</v>
      </c>
      <c r="I663" t="str">
        <f>"huntingtin"</f>
        <v>huntingtin</v>
      </c>
      <c r="J663" t="str">
        <f>"protein coding gene"</f>
        <v>protein coding gene</v>
      </c>
    </row>
    <row r="664" spans="1:10">
      <c r="A664">
        <v>10603598</v>
      </c>
      <c r="B664">
        <v>1.9579660751253201</v>
      </c>
      <c r="C664">
        <v>0.24105699766768701</v>
      </c>
      <c r="E664" t="str">
        <f>"10603598"</f>
        <v>10603598</v>
      </c>
      <c r="F664" t="str">
        <f>"Affy 1.0 ST"</f>
        <v>Affy 1.0 ST</v>
      </c>
      <c r="G664" t="str">
        <f>"MGI:1344037"</f>
        <v>MGI:1344037</v>
      </c>
      <c r="H664" t="str">
        <f>"Rpgr"</f>
        <v>Rpgr</v>
      </c>
      <c r="I664" t="str">
        <f>"retinitis pigmentosa GTPase regulator"</f>
        <v>retinitis pigmentosa GTPase regulator</v>
      </c>
      <c r="J664" t="str">
        <f>"protein coding gene"</f>
        <v>protein coding gene</v>
      </c>
    </row>
    <row r="665" spans="1:10">
      <c r="A665">
        <v>10440564</v>
      </c>
      <c r="B665">
        <v>1.95796072986462</v>
      </c>
      <c r="C665">
        <v>0.250921631095609</v>
      </c>
      <c r="E665" t="str">
        <f>"10440564"</f>
        <v>10440564</v>
      </c>
      <c r="F665" t="str">
        <f>"Affy 1.0 ST"</f>
        <v>Affy 1.0 ST</v>
      </c>
      <c r="G665" t="str">
        <f>"MGI:1926163"</f>
        <v>MGI:1926163</v>
      </c>
      <c r="H665" t="str">
        <f>"Ltn1"</f>
        <v>Ltn1</v>
      </c>
      <c r="I665" t="str">
        <f>"listerin E3 ubiquitin protein ligase 1"</f>
        <v>listerin E3 ubiquitin protein ligase 1</v>
      </c>
      <c r="J665" t="str">
        <f>"protein coding gene"</f>
        <v>protein coding gene</v>
      </c>
    </row>
    <row r="666" spans="1:10">
      <c r="A666">
        <v>10371907</v>
      </c>
      <c r="B666">
        <v>1.9566897737148501</v>
      </c>
      <c r="C666">
        <v>0.347110771847218</v>
      </c>
      <c r="E666" t="str">
        <f>"10371907"</f>
        <v>10371907</v>
      </c>
      <c r="F666" t="str">
        <f>"Affy 1.0 ST"</f>
        <v>Affy 1.0 ST</v>
      </c>
      <c r="G666" t="str">
        <f>"MGI:97293"</f>
        <v>MGI:97293</v>
      </c>
      <c r="H666" t="str">
        <f>"Nedd1"</f>
        <v>Nedd1</v>
      </c>
      <c r="I666" t="s">
        <v>66</v>
      </c>
      <c r="J666" t="s">
        <v>155</v>
      </c>
    </row>
    <row r="667" spans="1:10">
      <c r="A667">
        <v>10530225</v>
      </c>
      <c r="B667">
        <v>1.9552333195157101</v>
      </c>
      <c r="C667">
        <v>0.41828214513904799</v>
      </c>
      <c r="E667" t="str">
        <f>"10530225"</f>
        <v>10530225</v>
      </c>
      <c r="F667" t="str">
        <f>"Affy 1.0 ST"</f>
        <v>Affy 1.0 ST</v>
      </c>
      <c r="G667" t="str">
        <f>"MGI:1918771"</f>
        <v>MGI:1918771</v>
      </c>
      <c r="H667" t="str">
        <f>"Pds5a"</f>
        <v>Pds5a</v>
      </c>
      <c r="I667" t="s">
        <v>67</v>
      </c>
      <c r="J667" t="s">
        <v>155</v>
      </c>
    </row>
    <row r="668" spans="1:10">
      <c r="A668">
        <v>10338354</v>
      </c>
      <c r="B668">
        <v>1.9541895813443899</v>
      </c>
      <c r="C668">
        <v>0.38618588239277701</v>
      </c>
      <c r="E668" t="str">
        <f>"10338354"</f>
        <v>10338354</v>
      </c>
      <c r="F668" t="str">
        <f>""</f>
        <v/>
      </c>
      <c r="G668" t="str">
        <f>"No associated gene"</f>
        <v>No associated gene</v>
      </c>
    </row>
    <row r="669" spans="1:10">
      <c r="A669">
        <v>10341269</v>
      </c>
      <c r="B669">
        <v>1.9541846693878899</v>
      </c>
      <c r="C669">
        <v>0.21176414736788601</v>
      </c>
      <c r="E669" t="str">
        <f>"10341269"</f>
        <v>10341269</v>
      </c>
      <c r="F669" t="str">
        <f>""</f>
        <v/>
      </c>
      <c r="G669" t="str">
        <f>"No associated gene"</f>
        <v>No associated gene</v>
      </c>
    </row>
    <row r="670" spans="1:10">
      <c r="A670">
        <v>10343788</v>
      </c>
      <c r="B670">
        <v>1.9506395727811601</v>
      </c>
      <c r="C670">
        <v>0.35725779255889301</v>
      </c>
      <c r="E670" t="str">
        <f>"10343788"</f>
        <v>10343788</v>
      </c>
      <c r="F670" t="str">
        <f>""</f>
        <v/>
      </c>
      <c r="G670" t="str">
        <f>"No associated gene"</f>
        <v>No associated gene</v>
      </c>
    </row>
    <row r="671" spans="1:10">
      <c r="A671">
        <v>10366026</v>
      </c>
      <c r="B671">
        <v>1.9499147071655301</v>
      </c>
      <c r="C671">
        <v>0.14027111152237601</v>
      </c>
      <c r="E671" t="str">
        <f>"10366026"</f>
        <v>10366026</v>
      </c>
      <c r="F671" t="str">
        <f t="shared" ref="F671:F679" si="46">"Affy 1.0 ST"</f>
        <v>Affy 1.0 ST</v>
      </c>
      <c r="G671" t="str">
        <f>"MGI:1918511"</f>
        <v>MGI:1918511</v>
      </c>
      <c r="H671" t="str">
        <f>"Poc1b"</f>
        <v>Poc1b</v>
      </c>
      <c r="I671" t="str">
        <f>"POC1 centriolar protein homolog B (Chlamydomonas)"</f>
        <v>POC1 centriolar protein homolog B (Chlamydomonas)</v>
      </c>
      <c r="J671" t="str">
        <f>"protein coding gene"</f>
        <v>protein coding gene</v>
      </c>
    </row>
    <row r="672" spans="1:10">
      <c r="A672">
        <v>10605711</v>
      </c>
      <c r="B672">
        <v>1.9474062683237601</v>
      </c>
      <c r="C672">
        <v>0.40130657409408399</v>
      </c>
      <c r="E672" t="str">
        <f>"10605711"</f>
        <v>10605711</v>
      </c>
      <c r="F672" t="str">
        <f t="shared" si="46"/>
        <v>Affy 1.0 ST</v>
      </c>
      <c r="G672" t="str">
        <f>"MGI:2384308"</f>
        <v>MGI:2384308</v>
      </c>
      <c r="H672" t="str">
        <f>"Pdk3"</f>
        <v>Pdk3</v>
      </c>
      <c r="I672" t="s">
        <v>68</v>
      </c>
      <c r="J672" t="s">
        <v>155</v>
      </c>
    </row>
    <row r="673" spans="1:10">
      <c r="A673">
        <v>10599855</v>
      </c>
      <c r="B673">
        <v>1.94667397262664</v>
      </c>
      <c r="C673">
        <v>0.19238503219684699</v>
      </c>
      <c r="E673" t="str">
        <f>"10599855"</f>
        <v>10599855</v>
      </c>
      <c r="F673" t="str">
        <f t="shared" si="46"/>
        <v>Affy 1.0 ST</v>
      </c>
      <c r="G673" t="str">
        <f>"MGI:95305"</f>
        <v>MGI:95305</v>
      </c>
      <c r="H673" t="str">
        <f>"Eif4e"</f>
        <v>Eif4e</v>
      </c>
      <c r="I673" t="str">
        <f>"eukaryotic translation initiation factor 4E"</f>
        <v>eukaryotic translation initiation factor 4E</v>
      </c>
      <c r="J673" t="str">
        <f>"protein coding gene"</f>
        <v>protein coding gene</v>
      </c>
    </row>
    <row r="674" spans="1:10">
      <c r="A674">
        <v>10414288</v>
      </c>
      <c r="B674">
        <v>1.9465399352405499</v>
      </c>
      <c r="C674">
        <v>0.21938814500805701</v>
      </c>
      <c r="E674" t="str">
        <f>"10414288"</f>
        <v>10414288</v>
      </c>
      <c r="F674" t="str">
        <f t="shared" si="46"/>
        <v>Affy 1.0 ST</v>
      </c>
      <c r="G674" t="str">
        <f>"MGI:1914339"</f>
        <v>MGI:1914339</v>
      </c>
      <c r="H674" t="str">
        <f>"Psmc6"</f>
        <v>Psmc6</v>
      </c>
      <c r="I674" t="s">
        <v>69</v>
      </c>
      <c r="J674" t="s">
        <v>155</v>
      </c>
    </row>
    <row r="675" spans="1:10">
      <c r="A675">
        <v>10405868</v>
      </c>
      <c r="B675">
        <v>1.9410526619239199</v>
      </c>
      <c r="C675">
        <v>0.29966175881832002</v>
      </c>
      <c r="E675" t="str">
        <f>"10405868"</f>
        <v>10405868</v>
      </c>
      <c r="F675" t="str">
        <f t="shared" si="46"/>
        <v>Affy 1.0 ST</v>
      </c>
      <c r="G675" t="str">
        <f>"MGI:108515"</f>
        <v>MGI:108515</v>
      </c>
      <c r="H675" t="str">
        <f>"Cbx3"</f>
        <v>Cbx3</v>
      </c>
      <c r="I675" t="str">
        <f>"chromobox homolog 3 (Drosophila HP1 gamma)"</f>
        <v>chromobox homolog 3 (Drosophila HP1 gamma)</v>
      </c>
      <c r="J675" t="str">
        <f>"protein coding gene"</f>
        <v>protein coding gene</v>
      </c>
    </row>
    <row r="676" spans="1:10">
      <c r="A676">
        <v>10471337</v>
      </c>
      <c r="B676">
        <v>1.9392757213135901</v>
      </c>
      <c r="C676">
        <v>0.36337623843558498</v>
      </c>
      <c r="E676" t="str">
        <f>"10471337"</f>
        <v>10471337</v>
      </c>
      <c r="F676" t="str">
        <f t="shared" si="46"/>
        <v>Affy 1.0 ST</v>
      </c>
      <c r="G676" t="str">
        <f>"MGI:2138994"</f>
        <v>MGI:2138994</v>
      </c>
      <c r="H676" t="str">
        <f>"Pomt1"</f>
        <v>Pomt1</v>
      </c>
      <c r="I676" t="str">
        <f>"protein-O-mannosyltransferase 1"</f>
        <v>protein-O-mannosyltransferase 1</v>
      </c>
      <c r="J676" t="str">
        <f>"protein coding gene"</f>
        <v>protein coding gene</v>
      </c>
    </row>
    <row r="677" spans="1:10">
      <c r="A677">
        <v>10444911</v>
      </c>
      <c r="B677">
        <v>1.93896313032652</v>
      </c>
      <c r="C677">
        <v>0.17329682053345499</v>
      </c>
      <c r="E677" t="str">
        <f>"10444911"</f>
        <v>10444911</v>
      </c>
      <c r="F677" t="str">
        <f t="shared" si="46"/>
        <v>Affy 1.0 ST</v>
      </c>
      <c r="G677" t="str">
        <f>"MGI:3525201"</f>
        <v>MGI:3525201</v>
      </c>
      <c r="H677" t="str">
        <f>"Mdc1"</f>
        <v>Mdc1</v>
      </c>
      <c r="I677" t="str">
        <f>"mediator of DNA damage checkpoint 1"</f>
        <v>mediator of DNA damage checkpoint 1</v>
      </c>
      <c r="J677" t="str">
        <f>"protein coding gene"</f>
        <v>protein coding gene</v>
      </c>
    </row>
    <row r="678" spans="1:10">
      <c r="A678">
        <v>10444658</v>
      </c>
      <c r="B678">
        <v>1.93800523712624</v>
      </c>
      <c r="C678">
        <v>0.360757679343921</v>
      </c>
      <c r="E678" t="str">
        <f>"10444658"</f>
        <v>10444658</v>
      </c>
      <c r="F678" t="str">
        <f t="shared" si="46"/>
        <v>Affy 1.0 ST</v>
      </c>
      <c r="G678" t="str">
        <f>"MGI:2148924"</f>
        <v>MGI:2148924</v>
      </c>
      <c r="H678" t="str">
        <f>"Clic1"</f>
        <v>Clic1</v>
      </c>
      <c r="I678" t="str">
        <f>"chloride intracellular channel 1"</f>
        <v>chloride intracellular channel 1</v>
      </c>
      <c r="J678" t="str">
        <f>"protein coding gene"</f>
        <v>protein coding gene</v>
      </c>
    </row>
    <row r="679" spans="1:10">
      <c r="A679">
        <v>10573703</v>
      </c>
      <c r="B679">
        <v>1.93582681152711</v>
      </c>
      <c r="C679">
        <v>0.20419578998729099</v>
      </c>
      <c r="E679" t="str">
        <f>"10573703"</f>
        <v>10573703</v>
      </c>
      <c r="F679" t="str">
        <f t="shared" si="46"/>
        <v>Affy 1.0 ST</v>
      </c>
      <c r="G679" t="str">
        <f>"MGI:1921981"</f>
        <v>MGI:1921981</v>
      </c>
      <c r="H679" t="str">
        <f>"Tmem188"</f>
        <v>Tmem188</v>
      </c>
      <c r="I679" t="str">
        <f>"transmembrane protein 188"</f>
        <v>transmembrane protein 188</v>
      </c>
      <c r="J679" t="str">
        <f>"protein coding gene"</f>
        <v>protein coding gene</v>
      </c>
    </row>
    <row r="680" spans="1:10">
      <c r="A680">
        <v>10341112</v>
      </c>
      <c r="B680">
        <v>1.9326638341595299</v>
      </c>
      <c r="C680">
        <v>0.24812783668713401</v>
      </c>
      <c r="E680" t="str">
        <f>"10341112"</f>
        <v>10341112</v>
      </c>
      <c r="F680" t="str">
        <f>""</f>
        <v/>
      </c>
      <c r="G680" t="str">
        <f>"No associated gene"</f>
        <v>No associated gene</v>
      </c>
    </row>
    <row r="681" spans="1:10">
      <c r="A681">
        <v>10352735</v>
      </c>
      <c r="B681">
        <v>1.9323573191846399</v>
      </c>
      <c r="C681">
        <v>0.20581712796948501</v>
      </c>
      <c r="E681" t="str">
        <f>"10352735"</f>
        <v>10352735</v>
      </c>
      <c r="F681" t="str">
        <f>"Affy 1.0 ST"</f>
        <v>Affy 1.0 ST</v>
      </c>
      <c r="G681" t="str">
        <f>"MGI:1924315"</f>
        <v>MGI:1924315</v>
      </c>
      <c r="H681" t="str">
        <f>"Ints7"</f>
        <v>Ints7</v>
      </c>
      <c r="I681" t="str">
        <f>"integrator complex subunit 7"</f>
        <v>integrator complex subunit 7</v>
      </c>
      <c r="J681" t="str">
        <f>"protein coding gene"</f>
        <v>protein coding gene</v>
      </c>
    </row>
    <row r="682" spans="1:10">
      <c r="A682">
        <v>10534990</v>
      </c>
      <c r="B682">
        <v>1.9310516014856001</v>
      </c>
      <c r="C682">
        <v>0.15024210258673701</v>
      </c>
      <c r="E682" t="str">
        <f>"10534990"</f>
        <v>10534990</v>
      </c>
      <c r="F682" t="str">
        <f>"Affy 1.0 ST"</f>
        <v>Affy 1.0 ST</v>
      </c>
      <c r="G682" t="str">
        <f>"MGI:109129"</f>
        <v>MGI:109129</v>
      </c>
      <c r="H682" t="str">
        <f>"Taf6"</f>
        <v>Taf6</v>
      </c>
      <c r="I682" t="s">
        <v>70</v>
      </c>
      <c r="J682" t="s">
        <v>155</v>
      </c>
    </row>
    <row r="683" spans="1:10">
      <c r="A683">
        <v>10585358</v>
      </c>
      <c r="B683">
        <v>1.930971653189</v>
      </c>
      <c r="C683">
        <v>0.35805319878081698</v>
      </c>
      <c r="E683" t="str">
        <f>"10585358"</f>
        <v>10585358</v>
      </c>
      <c r="F683" t="str">
        <f>"Affy 1.0 ST"</f>
        <v>Affy 1.0 ST</v>
      </c>
      <c r="G683" t="str">
        <f>"MGI:107605"</f>
        <v>MGI:107605</v>
      </c>
      <c r="H683" t="str">
        <f>"Npat"</f>
        <v>Npat</v>
      </c>
      <c r="I683" t="str">
        <f>"nuclear protein in the AT region"</f>
        <v>nuclear protein in the AT region</v>
      </c>
      <c r="J683" t="str">
        <f>"protein coding gene"</f>
        <v>protein coding gene</v>
      </c>
    </row>
    <row r="684" spans="1:10">
      <c r="A684">
        <v>10605831</v>
      </c>
      <c r="B684">
        <v>1.9297939345428201</v>
      </c>
      <c r="C684">
        <v>0.30708595325621901</v>
      </c>
      <c r="E684" t="str">
        <f>"10605831"</f>
        <v>10605831</v>
      </c>
      <c r="F684" t="str">
        <f>"Affy 1.0 ST"</f>
        <v>Affy 1.0 ST</v>
      </c>
      <c r="G684" t="str">
        <f>"MGI:1923380"</f>
        <v>MGI:1923380</v>
      </c>
      <c r="H684" t="str">
        <f>"Las1l"</f>
        <v>Las1l</v>
      </c>
      <c r="I684" t="str">
        <f>"LAS1-like (S. cerevisiae)"</f>
        <v>LAS1-like (S. cerevisiae)</v>
      </c>
      <c r="J684" t="str">
        <f>"protein coding gene"</f>
        <v>protein coding gene</v>
      </c>
    </row>
    <row r="685" spans="1:10">
      <c r="A685">
        <v>10347232</v>
      </c>
      <c r="B685">
        <v>1.92456019248354</v>
      </c>
      <c r="C685">
        <v>0.36725007567061801</v>
      </c>
      <c r="E685" t="str">
        <f>"10347232"</f>
        <v>10347232</v>
      </c>
      <c r="F685" t="str">
        <f>"Affy 1.0 ST"</f>
        <v>Affy 1.0 ST</v>
      </c>
      <c r="G685" t="str">
        <f>"MGI:104517"</f>
        <v>MGI:104517</v>
      </c>
      <c r="H685" t="str">
        <f>"Xrcc5"</f>
        <v>Xrcc5</v>
      </c>
      <c r="I685" t="str">
        <f>"X-ray repair complementing defective repair in Chinese hamster cells 5"</f>
        <v>X-ray repair complementing defective repair in Chinese hamster cells 5</v>
      </c>
      <c r="J685" t="str">
        <f>"protein coding gene"</f>
        <v>protein coding gene</v>
      </c>
    </row>
    <row r="686" spans="1:10">
      <c r="A686">
        <v>10344111</v>
      </c>
      <c r="B686">
        <v>1.9234677368470601</v>
      </c>
      <c r="C686">
        <v>0.16396423453012901</v>
      </c>
      <c r="E686" t="str">
        <f>"10344111"</f>
        <v>10344111</v>
      </c>
      <c r="F686" t="str">
        <f>""</f>
        <v/>
      </c>
      <c r="G686" t="str">
        <f>"No associated gene"</f>
        <v>No associated gene</v>
      </c>
    </row>
    <row r="687" spans="1:10">
      <c r="A687">
        <v>10482229</v>
      </c>
      <c r="B687">
        <v>1.9226626950389201</v>
      </c>
      <c r="C687">
        <v>0.28578517276349003</v>
      </c>
      <c r="E687" t="str">
        <f>"10482229"</f>
        <v>10482229</v>
      </c>
      <c r="F687" t="str">
        <f>"Affy 1.0 ST"</f>
        <v>Affy 1.0 ST</v>
      </c>
      <c r="G687" t="str">
        <f>"MGI:107637"</f>
        <v>MGI:107637</v>
      </c>
      <c r="H687" t="str">
        <f>"Psmb7"</f>
        <v>Psmb7</v>
      </c>
      <c r="I687" t="s">
        <v>71</v>
      </c>
      <c r="J687" t="s">
        <v>155</v>
      </c>
    </row>
    <row r="688" spans="1:10">
      <c r="A688">
        <v>10341083</v>
      </c>
      <c r="B688">
        <v>1.92202626465796</v>
      </c>
      <c r="C688">
        <v>0.148721050927971</v>
      </c>
      <c r="E688" t="str">
        <f>"10341083"</f>
        <v>10341083</v>
      </c>
      <c r="F688" t="str">
        <f>""</f>
        <v/>
      </c>
      <c r="G688" t="str">
        <f>"No associated gene"</f>
        <v>No associated gene</v>
      </c>
    </row>
    <row r="689" spans="1:10">
      <c r="A689">
        <v>10453575</v>
      </c>
      <c r="B689">
        <v>1.9207257351515099</v>
      </c>
      <c r="C689">
        <v>0.29430486692131602</v>
      </c>
      <c r="E689" t="str">
        <f>"10453575"</f>
        <v>10453575</v>
      </c>
      <c r="F689" t="str">
        <f t="shared" ref="F689:F697" si="47">"Affy 1.0 ST"</f>
        <v>Affy 1.0 ST</v>
      </c>
      <c r="G689" t="str">
        <f>"MGI:1918995"</f>
        <v>MGI:1918995</v>
      </c>
      <c r="H689" t="str">
        <f>"Cul2"</f>
        <v>Cul2</v>
      </c>
      <c r="I689" t="str">
        <f>"cullin 2"</f>
        <v>cullin 2</v>
      </c>
      <c r="J689" t="str">
        <f>"protein coding gene"</f>
        <v>protein coding gene</v>
      </c>
    </row>
    <row r="690" spans="1:10">
      <c r="A690">
        <v>10550632</v>
      </c>
      <c r="B690">
        <v>1.9206914340207299</v>
      </c>
      <c r="C690">
        <v>6.3262164030980006E-2</v>
      </c>
      <c r="E690" t="str">
        <f>"10550632"</f>
        <v>10550632</v>
      </c>
      <c r="F690" t="str">
        <f t="shared" si="47"/>
        <v>Affy 1.0 ST</v>
      </c>
      <c r="G690" t="str">
        <f>"MGI:2686271"</f>
        <v>MGI:2686271</v>
      </c>
      <c r="H690" t="str">
        <f>"Opa3"</f>
        <v>Opa3</v>
      </c>
      <c r="I690" t="str">
        <f>"optic atrophy 3 (human)"</f>
        <v>optic atrophy 3 (human)</v>
      </c>
      <c r="J690" t="str">
        <f>"protein coding gene"</f>
        <v>protein coding gene</v>
      </c>
    </row>
    <row r="691" spans="1:10">
      <c r="A691">
        <v>10487175</v>
      </c>
      <c r="B691">
        <v>1.91841810638036</v>
      </c>
      <c r="C691">
        <v>0.43819055555917102</v>
      </c>
      <c r="E691" t="str">
        <f>"10487175"</f>
        <v>10487175</v>
      </c>
      <c r="F691" t="str">
        <f t="shared" si="47"/>
        <v>Affy 1.0 ST</v>
      </c>
      <c r="G691" t="str">
        <f>"MGI:1330276"</f>
        <v>MGI:1330276</v>
      </c>
      <c r="H691" t="str">
        <f>"Cops2"</f>
        <v>Cops2</v>
      </c>
      <c r="I691" t="s">
        <v>72</v>
      </c>
      <c r="J691" t="s">
        <v>155</v>
      </c>
    </row>
    <row r="692" spans="1:10">
      <c r="A692">
        <v>10375975</v>
      </c>
      <c r="B692">
        <v>1.9124443593734</v>
      </c>
      <c r="C692">
        <v>0.33882073855566203</v>
      </c>
      <c r="E692" t="str">
        <f>"10375975"</f>
        <v>10375975</v>
      </c>
      <c r="F692" t="str">
        <f t="shared" si="47"/>
        <v>Affy 1.0 ST</v>
      </c>
      <c r="G692" t="str">
        <f>"MGI:1196228"</f>
        <v>MGI:1196228</v>
      </c>
      <c r="H692" t="str">
        <f>"Zcchc10"</f>
        <v>Zcchc10</v>
      </c>
      <c r="I692" t="s">
        <v>73</v>
      </c>
      <c r="J692" t="s">
        <v>155</v>
      </c>
    </row>
    <row r="693" spans="1:10">
      <c r="A693">
        <v>10405033</v>
      </c>
      <c r="B693">
        <v>1.9085545476850601</v>
      </c>
      <c r="C693">
        <v>0.30283365444488902</v>
      </c>
      <c r="E693" t="str">
        <f>"10405033"</f>
        <v>10405033</v>
      </c>
      <c r="F693" t="str">
        <f t="shared" si="47"/>
        <v>Affy 1.0 ST</v>
      </c>
      <c r="G693" t="str">
        <f>"MGI:3039578"</f>
        <v>MGI:3039578</v>
      </c>
      <c r="H693" t="str">
        <f>"Ecm2"</f>
        <v>Ecm2</v>
      </c>
      <c r="I693" t="s">
        <v>5</v>
      </c>
      <c r="J693" t="s">
        <v>155</v>
      </c>
    </row>
    <row r="694" spans="1:10">
      <c r="A694">
        <v>10344819</v>
      </c>
      <c r="B694">
        <v>1.9074603296068999</v>
      </c>
      <c r="C694">
        <v>0.148333873959867</v>
      </c>
      <c r="E694" t="str">
        <f>"10344819"</f>
        <v>10344819</v>
      </c>
      <c r="F694" t="str">
        <f t="shared" si="47"/>
        <v>Affy 1.0 ST</v>
      </c>
      <c r="G694" t="str">
        <f>"MGI:2681832"</f>
        <v>MGI:2681832</v>
      </c>
      <c r="H694" t="str">
        <f>"Cspp1"</f>
        <v>Cspp1</v>
      </c>
      <c r="I694" t="str">
        <f>"centrosome and spindle pole associated protein 1"</f>
        <v>centrosome and spindle pole associated protein 1</v>
      </c>
      <c r="J694" t="str">
        <f>"protein coding gene"</f>
        <v>protein coding gene</v>
      </c>
    </row>
    <row r="695" spans="1:10">
      <c r="A695">
        <v>10493770</v>
      </c>
      <c r="B695">
        <v>1.9069475758960599</v>
      </c>
      <c r="C695">
        <v>0.31740097554052199</v>
      </c>
      <c r="E695" t="str">
        <f>"10493770"</f>
        <v>10493770</v>
      </c>
      <c r="F695" t="str">
        <f t="shared" si="47"/>
        <v>Affy 1.0 ST</v>
      </c>
      <c r="G695" t="str">
        <f>"MGI:1915031"</f>
        <v>MGI:1915031</v>
      </c>
      <c r="H695" t="str">
        <f>"Ilf2"</f>
        <v>Ilf2</v>
      </c>
      <c r="I695" t="str">
        <f>"interleukin enhancer binding factor 2"</f>
        <v>interleukin enhancer binding factor 2</v>
      </c>
      <c r="J695" t="str">
        <f>"protein coding gene"</f>
        <v>protein coding gene</v>
      </c>
    </row>
    <row r="696" spans="1:10">
      <c r="A696">
        <v>10406742</v>
      </c>
      <c r="B696">
        <v>1.90624312479721</v>
      </c>
      <c r="C696">
        <v>0.267682861099451</v>
      </c>
      <c r="E696" t="str">
        <f>"10406742"</f>
        <v>10406742</v>
      </c>
      <c r="F696" t="str">
        <f t="shared" si="47"/>
        <v>Affy 1.0 ST</v>
      </c>
      <c r="G696" t="str">
        <f>"MGI:1914713"</f>
        <v>MGI:1914713</v>
      </c>
      <c r="H696" t="str">
        <f>"Poc5"</f>
        <v>Poc5</v>
      </c>
      <c r="I696" t="str">
        <f>"POC5 centriolar protein homolog (Chlamydomonas)"</f>
        <v>POC5 centriolar protein homolog (Chlamydomonas)</v>
      </c>
      <c r="J696" t="str">
        <f>"protein coding gene"</f>
        <v>protein coding gene</v>
      </c>
    </row>
    <row r="697" spans="1:10">
      <c r="A697">
        <v>10550935</v>
      </c>
      <c r="B697">
        <v>1.90529033057937</v>
      </c>
      <c r="C697">
        <v>8.3708714866424602E-2</v>
      </c>
      <c r="E697" t="str">
        <f>"10550935"</f>
        <v>10550935</v>
      </c>
      <c r="F697" t="str">
        <f t="shared" si="47"/>
        <v>Affy 1.0 ST</v>
      </c>
      <c r="G697" t="str">
        <f>"MGI:99137"</f>
        <v>MGI:99137</v>
      </c>
      <c r="H697" t="str">
        <f>"Xrcc1"</f>
        <v>Xrcc1</v>
      </c>
      <c r="I697" t="str">
        <f>"X-ray repair complementing defective repair in Chinese hamster cells 1"</f>
        <v>X-ray repair complementing defective repair in Chinese hamster cells 1</v>
      </c>
      <c r="J697" t="str">
        <f>"protein coding gene"</f>
        <v>protein coding gene</v>
      </c>
    </row>
    <row r="698" spans="1:10">
      <c r="A698">
        <v>10342460</v>
      </c>
      <c r="B698">
        <v>1.9051452707588601</v>
      </c>
      <c r="C698">
        <v>7.3634435116064198E-2</v>
      </c>
      <c r="E698" t="str">
        <f>"10342460"</f>
        <v>10342460</v>
      </c>
      <c r="F698" t="str">
        <f>""</f>
        <v/>
      </c>
      <c r="G698" t="str">
        <f>"No associated gene"</f>
        <v>No associated gene</v>
      </c>
    </row>
    <row r="699" spans="1:10">
      <c r="A699">
        <v>10598771</v>
      </c>
      <c r="B699">
        <v>1.9038114407223401</v>
      </c>
      <c r="C699">
        <v>0.15228093766020401</v>
      </c>
      <c r="E699" t="str">
        <f>"10598771"</f>
        <v>10598771</v>
      </c>
      <c r="F699" t="str">
        <f t="shared" ref="F699:F708" si="48">"Affy 1.0 ST"</f>
        <v>Affy 1.0 ST</v>
      </c>
      <c r="G699" t="str">
        <f>"MGI:96915"</f>
        <v>MGI:96915</v>
      </c>
      <c r="H699" t="str">
        <f>"Maoa"</f>
        <v>Maoa</v>
      </c>
      <c r="I699" t="str">
        <f>"monoamine oxidase A"</f>
        <v>monoamine oxidase A</v>
      </c>
      <c r="J699" t="str">
        <f>"protein coding gene"</f>
        <v>protein coding gene</v>
      </c>
    </row>
    <row r="700" spans="1:10">
      <c r="A700">
        <v>10484351</v>
      </c>
      <c r="B700">
        <v>1.90223106510225</v>
      </c>
      <c r="C700">
        <v>0.237894889620936</v>
      </c>
      <c r="E700" t="str">
        <f>"10484351"</f>
        <v>10484351</v>
      </c>
      <c r="F700" t="str">
        <f t="shared" si="48"/>
        <v>Affy 1.0 ST</v>
      </c>
      <c r="G700" t="str">
        <f>"MGI:2158813"</f>
        <v>MGI:2158813</v>
      </c>
      <c r="H700" t="str">
        <f>"Sumo2"</f>
        <v>Sumo2</v>
      </c>
      <c r="I700" t="str">
        <f>"SMT3 suppressor of mif two 3 homolog 2 (yeast)"</f>
        <v>SMT3 suppressor of mif two 3 homolog 2 (yeast)</v>
      </c>
      <c r="J700" t="str">
        <f>"protein coding gene"</f>
        <v>protein coding gene</v>
      </c>
    </row>
    <row r="701" spans="1:10">
      <c r="A701">
        <v>10608422</v>
      </c>
      <c r="B701">
        <v>1.89672549981896</v>
      </c>
      <c r="C701">
        <v>0.29633133030952202</v>
      </c>
      <c r="E701" t="str">
        <f>"10608422"</f>
        <v>10608422</v>
      </c>
      <c r="F701" t="str">
        <f t="shared" si="48"/>
        <v>Affy 1.0 ST</v>
      </c>
      <c r="G701" t="str">
        <f>"MGI:1921636"</f>
        <v>MGI:1921636</v>
      </c>
      <c r="H701" t="str">
        <f>"Rmi1"</f>
        <v>Rmi1</v>
      </c>
      <c r="I701" t="s">
        <v>6</v>
      </c>
      <c r="J701" t="s">
        <v>155</v>
      </c>
    </row>
    <row r="702" spans="1:10">
      <c r="A702">
        <v>10422980</v>
      </c>
      <c r="B702">
        <v>1.89435298025237</v>
      </c>
      <c r="C702">
        <v>0.227659280246991</v>
      </c>
      <c r="E702" t="str">
        <f>"10422980"</f>
        <v>10422980</v>
      </c>
      <c r="F702" t="str">
        <f t="shared" si="48"/>
        <v>Affy 1.0 ST</v>
      </c>
      <c r="G702" t="str">
        <f>"MGI:2444173"</f>
        <v>MGI:2444173</v>
      </c>
      <c r="H702" t="str">
        <f>"Lmbrd2"</f>
        <v>Lmbrd2</v>
      </c>
      <c r="I702" t="str">
        <f>"LMBR1 domain containing 2"</f>
        <v>LMBR1 domain containing 2</v>
      </c>
      <c r="J702" t="str">
        <f>"protein coding gene"</f>
        <v>protein coding gene</v>
      </c>
    </row>
    <row r="703" spans="1:10">
      <c r="A703">
        <v>10373873</v>
      </c>
      <c r="B703">
        <v>1.8940943431099799</v>
      </c>
      <c r="C703">
        <v>7.3427115641250401E-2</v>
      </c>
      <c r="E703" t="str">
        <f>"10373873"</f>
        <v>10373873</v>
      </c>
      <c r="F703" t="str">
        <f t="shared" si="48"/>
        <v>Affy 1.0 ST</v>
      </c>
      <c r="G703" t="str">
        <f>"MGI:1914715"</f>
        <v>MGI:1914715</v>
      </c>
      <c r="H703" t="str">
        <f>"Sf3a1"</f>
        <v>Sf3a1</v>
      </c>
      <c r="I703" t="s">
        <v>7</v>
      </c>
      <c r="J703" t="s">
        <v>155</v>
      </c>
    </row>
    <row r="704" spans="1:10">
      <c r="A704">
        <v>10562461</v>
      </c>
      <c r="B704">
        <v>1.8935286566009799</v>
      </c>
      <c r="C704">
        <v>0.17374671715899301</v>
      </c>
      <c r="E704" t="str">
        <f>"10562461"</f>
        <v>10562461</v>
      </c>
      <c r="F704" t="str">
        <f t="shared" si="48"/>
        <v>Affy 1.0 ST</v>
      </c>
      <c r="G704" t="str">
        <f>"MGI:2142208"</f>
        <v>MGI:2142208</v>
      </c>
      <c r="H704" t="str">
        <f>"C230052I12Rik"</f>
        <v>C230052I12Rik</v>
      </c>
      <c r="I704" t="str">
        <f>"RIKEN cDNA C230052I12 gene"</f>
        <v>RIKEN cDNA C230052I12 gene</v>
      </c>
      <c r="J704" t="str">
        <f>"protein coding gene"</f>
        <v>protein coding gene</v>
      </c>
    </row>
    <row r="705" spans="1:10">
      <c r="A705">
        <v>10504564</v>
      </c>
      <c r="B705">
        <v>1.8924997301837401</v>
      </c>
      <c r="C705">
        <v>0.226173585881107</v>
      </c>
      <c r="E705" t="str">
        <f>"10504564"</f>
        <v>10504564</v>
      </c>
      <c r="F705" t="str">
        <f t="shared" si="48"/>
        <v>Affy 1.0 ST</v>
      </c>
      <c r="G705" t="str">
        <f>"MGI:2140179"</f>
        <v>MGI:2140179</v>
      </c>
      <c r="H705" t="str">
        <f>"Dcaf10"</f>
        <v>Dcaf10</v>
      </c>
      <c r="I705" t="str">
        <f>"DDB1 and CUL4 associated factor 10"</f>
        <v>DDB1 and CUL4 associated factor 10</v>
      </c>
      <c r="J705" t="str">
        <f>"protein coding gene"</f>
        <v>protein coding gene</v>
      </c>
    </row>
    <row r="706" spans="1:10">
      <c r="A706">
        <v>10527832</v>
      </c>
      <c r="B706">
        <v>1.89202474934942</v>
      </c>
      <c r="C706">
        <v>0.18232024897532101</v>
      </c>
      <c r="E706" t="str">
        <f>"10527832"</f>
        <v>10527832</v>
      </c>
      <c r="F706" t="str">
        <f t="shared" si="48"/>
        <v>Affy 1.0 ST</v>
      </c>
      <c r="G706" t="str">
        <f>"MGI:2140945"</f>
        <v>MGI:2140945</v>
      </c>
      <c r="H706" t="str">
        <f>"Pds5b"</f>
        <v>Pds5b</v>
      </c>
      <c r="I706" t="s">
        <v>8</v>
      </c>
      <c r="J706" t="s">
        <v>155</v>
      </c>
    </row>
    <row r="707" spans="1:10">
      <c r="A707">
        <v>10481291</v>
      </c>
      <c r="B707">
        <v>1.8899744510422101</v>
      </c>
      <c r="C707">
        <v>0.25352893201992599</v>
      </c>
      <c r="E707" t="str">
        <f>"10481291"</f>
        <v>10481291</v>
      </c>
      <c r="F707" t="str">
        <f t="shared" si="48"/>
        <v>Affy 1.0 ST</v>
      </c>
      <c r="G707" t="str">
        <f>"MGI:1917489"</f>
        <v>MGI:1917489</v>
      </c>
      <c r="H707" t="str">
        <f>"Gtf3c5"</f>
        <v>Gtf3c5</v>
      </c>
      <c r="I707" t="s">
        <v>9</v>
      </c>
      <c r="J707" t="s">
        <v>155</v>
      </c>
    </row>
    <row r="708" spans="1:10">
      <c r="A708">
        <v>10424700</v>
      </c>
      <c r="B708">
        <v>1.8895776034848899</v>
      </c>
      <c r="C708">
        <v>0.31833616767811601</v>
      </c>
      <c r="E708" t="str">
        <f>"10424700"</f>
        <v>10424700</v>
      </c>
      <c r="F708" t="str">
        <f t="shared" si="48"/>
        <v>Affy 1.0 ST</v>
      </c>
      <c r="G708" t="str">
        <f>"MGI:99186"</f>
        <v>MGI:99186</v>
      </c>
      <c r="H708" t="str">
        <f>"Zfp41"</f>
        <v>Zfp41</v>
      </c>
      <c r="I708" t="str">
        <f>"zinc finger protein 41"</f>
        <v>zinc finger protein 41</v>
      </c>
      <c r="J708" t="str">
        <f>"protein coding gene"</f>
        <v>protein coding gene</v>
      </c>
    </row>
    <row r="709" spans="1:10">
      <c r="A709">
        <v>10341395</v>
      </c>
      <c r="B709">
        <v>1.8864791517265</v>
      </c>
      <c r="C709">
        <v>0.30877162802618902</v>
      </c>
      <c r="E709" t="str">
        <f>"10341395"</f>
        <v>10341395</v>
      </c>
      <c r="F709" t="str">
        <f>""</f>
        <v/>
      </c>
      <c r="G709" t="str">
        <f>"No associated gene"</f>
        <v>No associated gene</v>
      </c>
    </row>
    <row r="710" spans="1:10">
      <c r="A710">
        <v>10516576</v>
      </c>
      <c r="B710">
        <v>1.8814854324447701</v>
      </c>
      <c r="C710">
        <v>0.33041648100504001</v>
      </c>
      <c r="E710" t="str">
        <f>"10516576"</f>
        <v>10516576</v>
      </c>
      <c r="F710" t="str">
        <f>"Affy 1.0 ST"</f>
        <v>Affy 1.0 ST</v>
      </c>
      <c r="G710" t="str">
        <f>"MGI:1194912"</f>
        <v>MGI:1194912</v>
      </c>
      <c r="H710" t="str">
        <f>"Rbbp4"</f>
        <v>Rbbp4</v>
      </c>
      <c r="I710" t="str">
        <f>"retinoblastoma binding protein 4"</f>
        <v>retinoblastoma binding protein 4</v>
      </c>
      <c r="J710" t="str">
        <f>"protein coding gene"</f>
        <v>protein coding gene</v>
      </c>
    </row>
    <row r="711" spans="1:10">
      <c r="A711">
        <v>10514219</v>
      </c>
      <c r="B711">
        <v>1.8812199230462401</v>
      </c>
      <c r="C711">
        <v>0.26592441857779298</v>
      </c>
      <c r="E711" t="str">
        <f>"10514219"</f>
        <v>10514219</v>
      </c>
      <c r="F711" t="str">
        <f>""</f>
        <v/>
      </c>
      <c r="G711" t="str">
        <f>"No associated gene"</f>
        <v>No associated gene</v>
      </c>
    </row>
    <row r="712" spans="1:10">
      <c r="A712">
        <v>10479560</v>
      </c>
      <c r="B712">
        <v>1.8779972389716899</v>
      </c>
      <c r="C712">
        <v>0.26489577754673399</v>
      </c>
      <c r="E712" t="str">
        <f>"10479560"</f>
        <v>10479560</v>
      </c>
      <c r="F712" t="str">
        <f>"Affy 1.0 ST"</f>
        <v>Affy 1.0 ST</v>
      </c>
      <c r="G712" t="str">
        <f>"MGI:2139369"</f>
        <v>MGI:2139369</v>
      </c>
      <c r="H712" t="str">
        <f>"Rtel1"</f>
        <v>Rtel1</v>
      </c>
      <c r="I712" t="str">
        <f>"regulator of telomere elongation helicase 1"</f>
        <v>regulator of telomere elongation helicase 1</v>
      </c>
      <c r="J712" t="str">
        <f>"protein coding gene"</f>
        <v>protein coding gene</v>
      </c>
    </row>
    <row r="713" spans="1:10">
      <c r="A713">
        <v>10391768</v>
      </c>
      <c r="B713">
        <v>1.8779392835734099</v>
      </c>
      <c r="C713">
        <v>0.22606699160774199</v>
      </c>
      <c r="E713" t="str">
        <f>"10391768"</f>
        <v>10391768</v>
      </c>
      <c r="F713" t="str">
        <f>"Affy 1.0 ST"</f>
        <v>Affy 1.0 ST</v>
      </c>
      <c r="G713" t="str">
        <f>"MGI:1336880"</f>
        <v>MGI:1336880</v>
      </c>
      <c r="H713" t="str">
        <f>"Eftud2"</f>
        <v>Eftud2</v>
      </c>
      <c r="I713" t="str">
        <f>"elongation factor Tu GTP binding domain containing 2"</f>
        <v>elongation factor Tu GTP binding domain containing 2</v>
      </c>
      <c r="J713" t="str">
        <f>"protein coding gene"</f>
        <v>protein coding gene</v>
      </c>
    </row>
    <row r="714" spans="1:10">
      <c r="A714">
        <v>10340752</v>
      </c>
      <c r="B714">
        <v>1.87552188963093</v>
      </c>
      <c r="C714">
        <v>0.151219493143918</v>
      </c>
      <c r="E714" t="str">
        <f>"10340752"</f>
        <v>10340752</v>
      </c>
      <c r="F714" t="str">
        <f>""</f>
        <v/>
      </c>
      <c r="G714" t="str">
        <f>"No associated gene"</f>
        <v>No associated gene</v>
      </c>
    </row>
    <row r="715" spans="1:10">
      <c r="A715">
        <v>10393642</v>
      </c>
      <c r="B715">
        <v>1.87321179978408</v>
      </c>
      <c r="C715">
        <v>0.139425216378955</v>
      </c>
      <c r="E715" t="str">
        <f>"10393642"</f>
        <v>10393642</v>
      </c>
      <c r="F715" t="str">
        <f>"Affy 1.0 ST"</f>
        <v>Affy 1.0 ST</v>
      </c>
      <c r="G715" t="str">
        <f>"MGI:1923731"</f>
        <v>MGI:1923731</v>
      </c>
      <c r="H715" t="str">
        <f>"Eif4a3"</f>
        <v>Eif4a3</v>
      </c>
      <c r="I715" t="str">
        <f>"eukaryotic translation initiation factor 4A3"</f>
        <v>eukaryotic translation initiation factor 4A3</v>
      </c>
      <c r="J715" t="str">
        <f>"protein coding gene"</f>
        <v>protein coding gene</v>
      </c>
    </row>
    <row r="716" spans="1:10">
      <c r="A716">
        <v>10599612</v>
      </c>
      <c r="B716">
        <v>1.87217252495069</v>
      </c>
      <c r="C716">
        <v>0.13767009578043399</v>
      </c>
      <c r="E716" t="str">
        <f>"10599612"</f>
        <v>10599612</v>
      </c>
      <c r="F716" t="str">
        <f>"Affy 1.0 ST"</f>
        <v>Affy 1.0 ST</v>
      </c>
      <c r="G716" t="str">
        <f>"MGI:1918248"</f>
        <v>MGI:1918248</v>
      </c>
      <c r="H716" t="str">
        <f>"Phf6"</f>
        <v>Phf6</v>
      </c>
      <c r="I716" t="str">
        <f>"PHD finger protein 6"</f>
        <v>PHD finger protein 6</v>
      </c>
      <c r="J716" t="str">
        <f>"protein coding gene"</f>
        <v>protein coding gene</v>
      </c>
    </row>
    <row r="717" spans="1:10">
      <c r="A717">
        <v>10606376</v>
      </c>
      <c r="B717">
        <v>1.86982230181658</v>
      </c>
      <c r="C717">
        <v>7.5804794019101507E-2</v>
      </c>
      <c r="E717" t="str">
        <f>"10606376"</f>
        <v>10606376</v>
      </c>
      <c r="F717" t="str">
        <f>"Affy 1.0 ST"</f>
        <v>Affy 1.0 ST</v>
      </c>
      <c r="G717" t="str">
        <f>"MGI:1914278"</f>
        <v>MGI:1914278</v>
      </c>
      <c r="H717" t="str">
        <f>"2610002M06Rik"</f>
        <v>2610002M06Rik</v>
      </c>
      <c r="I717" t="str">
        <f>"RIKEN cDNA 2610002M06 gene"</f>
        <v>RIKEN cDNA 2610002M06 gene</v>
      </c>
      <c r="J717" t="str">
        <f>"protein coding gene"</f>
        <v>protein coding gene</v>
      </c>
    </row>
    <row r="718" spans="1:10">
      <c r="A718">
        <v>10561983</v>
      </c>
      <c r="B718">
        <v>1.8685848012787201</v>
      </c>
      <c r="C718">
        <v>8.3860090858003E-2</v>
      </c>
      <c r="E718" t="str">
        <f>"10561983"</f>
        <v>10561983</v>
      </c>
      <c r="F718" t="str">
        <f>"Affy 1.0 ST"</f>
        <v>Affy 1.0 ST</v>
      </c>
      <c r="G718" t="str">
        <f>"MGI:2681861"</f>
        <v>MGI:2681861</v>
      </c>
      <c r="H718" t="str">
        <f>"BC053749"</f>
        <v>BC053749</v>
      </c>
      <c r="I718" t="str">
        <f>"cDNA sequence BC053749"</f>
        <v>cDNA sequence BC053749</v>
      </c>
      <c r="J718" t="str">
        <f>"protein coding gene"</f>
        <v>protein coding gene</v>
      </c>
    </row>
    <row r="719" spans="1:10">
      <c r="A719">
        <v>10406536</v>
      </c>
      <c r="B719">
        <v>1.86700536300015</v>
      </c>
      <c r="C719">
        <v>0.10031524770884701</v>
      </c>
      <c r="E719" t="str">
        <f>"10406536"</f>
        <v>10406536</v>
      </c>
      <c r="F719" t="str">
        <f>""</f>
        <v/>
      </c>
      <c r="G719" t="str">
        <f>"No associated gene"</f>
        <v>No associated gene</v>
      </c>
    </row>
    <row r="720" spans="1:10">
      <c r="A720">
        <v>10572109</v>
      </c>
      <c r="B720">
        <v>1.8666648775319299</v>
      </c>
      <c r="C720">
        <v>0.103540176376342</v>
      </c>
      <c r="E720" t="str">
        <f>"10572109"</f>
        <v>10572109</v>
      </c>
      <c r="F720" t="str">
        <f>"Affy 1.0 ST"</f>
        <v>Affy 1.0 ST</v>
      </c>
      <c r="G720" t="str">
        <f>"MGI:1918135"</f>
        <v>MGI:1918135</v>
      </c>
      <c r="H720" t="str">
        <f>"Ints10"</f>
        <v>Ints10</v>
      </c>
      <c r="I720" t="str">
        <f>"integrator complex subunit 10"</f>
        <v>integrator complex subunit 10</v>
      </c>
      <c r="J720" t="str">
        <f>"protein coding gene"</f>
        <v>protein coding gene</v>
      </c>
    </row>
    <row r="721" spans="1:10">
      <c r="A721">
        <v>10533549</v>
      </c>
      <c r="B721">
        <v>1.8664290206690199</v>
      </c>
      <c r="C721">
        <v>0.17018946733285201</v>
      </c>
      <c r="E721" t="str">
        <f>"10533549"</f>
        <v>10533549</v>
      </c>
      <c r="F721" t="str">
        <f>"Affy 1.0 ST"</f>
        <v>Affy 1.0 ST</v>
      </c>
      <c r="G721" t="str">
        <f>"MGI:1929722"</f>
        <v>MGI:1929722</v>
      </c>
      <c r="H721" t="str">
        <f>"Anapc5"</f>
        <v>Anapc5</v>
      </c>
      <c r="I721" t="str">
        <f>"anaphase-promoting complex subunit 5"</f>
        <v>anaphase-promoting complex subunit 5</v>
      </c>
      <c r="J721" t="str">
        <f>"protein coding gene"</f>
        <v>protein coding gene</v>
      </c>
    </row>
    <row r="722" spans="1:10">
      <c r="A722">
        <v>10605943</v>
      </c>
      <c r="B722">
        <v>1.8654652005218799</v>
      </c>
      <c r="C722">
        <v>0.15066307213821101</v>
      </c>
      <c r="E722" t="str">
        <f>"10605943"</f>
        <v>10605943</v>
      </c>
      <c r="F722" t="str">
        <f>"Affy 1.0 ST"</f>
        <v>Affy 1.0 ST</v>
      </c>
      <c r="G722" t="str">
        <f>"MGI:1919871"</f>
        <v>MGI:1919871</v>
      </c>
      <c r="H722" t="str">
        <f>"Pdzd11"</f>
        <v>Pdzd11</v>
      </c>
      <c r="I722" t="str">
        <f>"PDZ domain containing 11"</f>
        <v>PDZ domain containing 11</v>
      </c>
      <c r="J722" t="str">
        <f>"protein coding gene"</f>
        <v>protein coding gene</v>
      </c>
    </row>
    <row r="723" spans="1:10">
      <c r="A723">
        <v>10338830</v>
      </c>
      <c r="B723">
        <v>1.8636977604956</v>
      </c>
      <c r="C723">
        <v>0.13283681070078501</v>
      </c>
      <c r="E723" t="str">
        <f>"10338830"</f>
        <v>10338830</v>
      </c>
      <c r="F723" t="str">
        <f>""</f>
        <v/>
      </c>
      <c r="G723" t="str">
        <f>"No associated gene"</f>
        <v>No associated gene</v>
      </c>
    </row>
    <row r="724" spans="1:10">
      <c r="A724">
        <v>10604199</v>
      </c>
      <c r="B724">
        <v>1.8629056442027301</v>
      </c>
      <c r="C724">
        <v>9.9673470024503996E-2</v>
      </c>
      <c r="E724" t="str">
        <f>"10604199"</f>
        <v>10604199</v>
      </c>
      <c r="F724" t="str">
        <f>"Affy 1.0 ST"</f>
        <v>Affy 1.0 ST</v>
      </c>
      <c r="G724" t="str">
        <f>"MGI:1919834"</f>
        <v>MGI:1919834</v>
      </c>
      <c r="H724" t="str">
        <f>"Cul4b"</f>
        <v>Cul4b</v>
      </c>
      <c r="I724" t="str">
        <f>"cullin 4B"</f>
        <v>cullin 4B</v>
      </c>
      <c r="J724" t="str">
        <f>"protein coding gene"</f>
        <v>protein coding gene</v>
      </c>
    </row>
    <row r="725" spans="1:10">
      <c r="A725">
        <v>10589800</v>
      </c>
      <c r="B725">
        <v>1.8621860273759401</v>
      </c>
      <c r="C725">
        <v>0.181843347015753</v>
      </c>
      <c r="E725" t="str">
        <f>"10589800"</f>
        <v>10589800</v>
      </c>
      <c r="F725" t="str">
        <f>"Affy 1.0 ST"</f>
        <v>Affy 1.0 ST</v>
      </c>
      <c r="G725" t="str">
        <f>"MGI:1923749"</f>
        <v>MGI:1923749</v>
      </c>
      <c r="H725" t="str">
        <f>"Clasp2"</f>
        <v>Clasp2</v>
      </c>
      <c r="I725" t="str">
        <f>"CLIP associating protein 2"</f>
        <v>CLIP associating protein 2</v>
      </c>
      <c r="J725" t="str">
        <f>"protein coding gene"</f>
        <v>protein coding gene</v>
      </c>
    </row>
    <row r="726" spans="1:10">
      <c r="A726">
        <v>10340693</v>
      </c>
      <c r="B726">
        <v>1.8615937529142199</v>
      </c>
      <c r="C726">
        <v>0.13508743201300299</v>
      </c>
      <c r="E726" t="str">
        <f>"10340693"</f>
        <v>10340693</v>
      </c>
      <c r="F726" t="str">
        <f>""</f>
        <v/>
      </c>
      <c r="G726" t="str">
        <f>"No associated gene"</f>
        <v>No associated gene</v>
      </c>
    </row>
    <row r="727" spans="1:10">
      <c r="A727">
        <v>10420390</v>
      </c>
      <c r="B727">
        <v>1.8556700125204999</v>
      </c>
      <c r="C727">
        <v>2.82994956989817E-2</v>
      </c>
      <c r="E727" t="str">
        <f>"10420390"</f>
        <v>10420390</v>
      </c>
      <c r="F727" t="str">
        <f>"Affy 1.0 ST"</f>
        <v>Affy 1.0 ST</v>
      </c>
      <c r="G727" t="str">
        <f>"MGI:1888526"</f>
        <v>MGI:1888526</v>
      </c>
      <c r="H727" t="str">
        <f>"Xpo4"</f>
        <v>Xpo4</v>
      </c>
      <c r="I727" t="str">
        <f>"exportin 4"</f>
        <v>exportin 4</v>
      </c>
      <c r="J727" t="str">
        <f>"protein coding gene"</f>
        <v>protein coding gene</v>
      </c>
    </row>
    <row r="728" spans="1:10">
      <c r="A728">
        <v>10605421</v>
      </c>
      <c r="B728">
        <v>1.8549382423060099</v>
      </c>
      <c r="C728">
        <v>0.14764230295002201</v>
      </c>
      <c r="E728" t="str">
        <f>"10605421"</f>
        <v>10605421</v>
      </c>
      <c r="F728" t="str">
        <f>"Affy 1.0 ST"</f>
        <v>Affy 1.0 ST</v>
      </c>
      <c r="G728" t="str">
        <f>"MGI:102699"</f>
        <v>MGI:102699</v>
      </c>
      <c r="H728" t="str">
        <f>"Mtcp1"</f>
        <v>Mtcp1</v>
      </c>
      <c r="I728" t="str">
        <f>"mature T-cell proliferation 1"</f>
        <v>mature T-cell proliferation 1</v>
      </c>
      <c r="J728" t="str">
        <f>"protein coding gene"</f>
        <v>protein coding gene</v>
      </c>
    </row>
    <row r="729" spans="1:10">
      <c r="A729">
        <v>10496417</v>
      </c>
      <c r="B729">
        <v>1.8523123090912199</v>
      </c>
      <c r="C729">
        <v>0.25917518539137702</v>
      </c>
      <c r="E729" t="str">
        <f>"10496417"</f>
        <v>10496417</v>
      </c>
      <c r="F729" t="str">
        <f>"Affy 1.0 ST"</f>
        <v>Affy 1.0 ST</v>
      </c>
      <c r="G729" t="str">
        <f>"MGI:1920421"</f>
        <v>MGI:1920421</v>
      </c>
      <c r="H729" t="str">
        <f>"Rg9mtd2"</f>
        <v>Rg9mtd2</v>
      </c>
      <c r="I729" t="str">
        <f>"RNA (guanine-9-) methyltransferase domain containing 2"</f>
        <v>RNA (guanine-9-) methyltransferase domain containing 2</v>
      </c>
      <c r="J729" t="str">
        <f>"protein coding gene"</f>
        <v>protein coding gene</v>
      </c>
    </row>
    <row r="730" spans="1:10">
      <c r="A730">
        <v>10339510</v>
      </c>
      <c r="B730">
        <v>1.8485814273591801</v>
      </c>
      <c r="C730">
        <v>0.102051647106754</v>
      </c>
      <c r="E730" t="str">
        <f>"10339510"</f>
        <v>10339510</v>
      </c>
      <c r="F730" t="str">
        <f>""</f>
        <v/>
      </c>
      <c r="G730" t="str">
        <f>"No associated gene"</f>
        <v>No associated gene</v>
      </c>
    </row>
    <row r="731" spans="1:10">
      <c r="A731">
        <v>10534316</v>
      </c>
      <c r="B731">
        <v>1.84497494423846</v>
      </c>
      <c r="C731">
        <v>0.117581812254062</v>
      </c>
      <c r="E731" t="str">
        <f>"10534316"</f>
        <v>10534316</v>
      </c>
      <c r="F731" t="str">
        <f>"Affy 1.0 ST"</f>
        <v>Affy 1.0 ST</v>
      </c>
      <c r="G731" t="str">
        <f>"MGI:1341822"</f>
        <v>MGI:1341822</v>
      </c>
      <c r="H731" t="str">
        <f>"Eif4h"</f>
        <v>Eif4h</v>
      </c>
      <c r="I731" t="str">
        <f>"eukaryotic translation initiation factor 4H"</f>
        <v>eukaryotic translation initiation factor 4H</v>
      </c>
      <c r="J731" t="str">
        <f>"protein coding gene"</f>
        <v>protein coding gene</v>
      </c>
    </row>
    <row r="732" spans="1:10">
      <c r="A732">
        <v>10476702</v>
      </c>
      <c r="B732">
        <v>1.8432385310563</v>
      </c>
      <c r="C732">
        <v>0.15324550647309301</v>
      </c>
      <c r="E732" t="str">
        <f>"10476702"</f>
        <v>10476702</v>
      </c>
      <c r="F732" t="str">
        <f>"Affy 1.0 ST"</f>
        <v>Affy 1.0 ST</v>
      </c>
      <c r="G732" t="str">
        <f>"MGI:1350925"</f>
        <v>MGI:1350925</v>
      </c>
      <c r="H732" t="str">
        <f>"Sec23b"</f>
        <v>Sec23b</v>
      </c>
      <c r="I732" t="str">
        <f>"SEC23B (S. cerevisiae)"</f>
        <v>SEC23B (S. cerevisiae)</v>
      </c>
      <c r="J732" t="str">
        <f>"protein coding gene"</f>
        <v>protein coding gene</v>
      </c>
    </row>
    <row r="733" spans="1:10">
      <c r="A733">
        <v>10343611</v>
      </c>
      <c r="B733">
        <v>1.84291138426889</v>
      </c>
      <c r="C733">
        <v>0.238201722003785</v>
      </c>
      <c r="E733" t="str">
        <f>"10343611"</f>
        <v>10343611</v>
      </c>
      <c r="F733" t="str">
        <f>""</f>
        <v/>
      </c>
      <c r="G733" t="str">
        <f>"No associated gene"</f>
        <v>No associated gene</v>
      </c>
    </row>
    <row r="734" spans="1:10">
      <c r="A734">
        <v>10430071</v>
      </c>
      <c r="B734">
        <v>1.84172330860495</v>
      </c>
      <c r="C734">
        <v>0.22347907068197001</v>
      </c>
      <c r="E734" t="str">
        <f>"10430071"</f>
        <v>10430071</v>
      </c>
      <c r="F734" t="str">
        <f t="shared" ref="F734:F744" si="49">"Affy 1.0 ST"</f>
        <v>Affy 1.0 ST</v>
      </c>
      <c r="G734" t="str">
        <f>"MGI:1931028"</f>
        <v>MGI:1931028</v>
      </c>
      <c r="H734" t="str">
        <f>"Recql4"</f>
        <v>Recql4</v>
      </c>
      <c r="I734" t="str">
        <f>"RecQ protein-like 4"</f>
        <v>RecQ protein-like 4</v>
      </c>
      <c r="J734" t="str">
        <f>"protein coding gene"</f>
        <v>protein coding gene</v>
      </c>
    </row>
    <row r="735" spans="1:10">
      <c r="A735">
        <v>10599781</v>
      </c>
      <c r="B735">
        <v>1.8378062615305899</v>
      </c>
      <c r="C735">
        <v>0.124240092536557</v>
      </c>
      <c r="E735" t="str">
        <f>"10599781"</f>
        <v>10599781</v>
      </c>
      <c r="F735" t="str">
        <f t="shared" si="49"/>
        <v>Affy 1.0 ST</v>
      </c>
      <c r="G735" t="str">
        <f>"MGI:1919709"</f>
        <v>MGI:1919709</v>
      </c>
      <c r="H735" t="str">
        <f>"Htatsf1"</f>
        <v>Htatsf1</v>
      </c>
      <c r="I735" t="str">
        <f>"HIV TAT specific factor 1"</f>
        <v>HIV TAT specific factor 1</v>
      </c>
      <c r="J735" t="str">
        <f>"protein coding gene"</f>
        <v>protein coding gene</v>
      </c>
    </row>
    <row r="736" spans="1:10">
      <c r="A736">
        <v>10456988</v>
      </c>
      <c r="B736">
        <v>1.8346447804136301</v>
      </c>
      <c r="C736">
        <v>0.20128758202855701</v>
      </c>
      <c r="E736" t="str">
        <f>"10456988"</f>
        <v>10456988</v>
      </c>
      <c r="F736" t="str">
        <f t="shared" si="49"/>
        <v>Affy 1.0 ST</v>
      </c>
      <c r="G736" t="str">
        <f>"MGI:2135606"</f>
        <v>MGI:2135606</v>
      </c>
      <c r="H736" t="str">
        <f>"Pard6g"</f>
        <v>Pard6g</v>
      </c>
      <c r="I736" t="str">
        <f>"par-6 partitioning defective 6 homolog gamma (C. elegans)"</f>
        <v>par-6 partitioning defective 6 homolog gamma (C. elegans)</v>
      </c>
      <c r="J736" t="str">
        <f>"protein coding gene"</f>
        <v>protein coding gene</v>
      </c>
    </row>
    <row r="737" spans="1:10">
      <c r="A737">
        <v>10432281</v>
      </c>
      <c r="B737">
        <v>1.8326149773673299</v>
      </c>
      <c r="C737">
        <v>0.12433974008472599</v>
      </c>
      <c r="E737" t="str">
        <f>"10432281"</f>
        <v>10432281</v>
      </c>
      <c r="F737" t="str">
        <f t="shared" si="49"/>
        <v>Affy 1.0 ST</v>
      </c>
      <c r="G737" t="str">
        <f>"MGI:108411"</f>
        <v>MGI:108411</v>
      </c>
      <c r="H737" t="str">
        <f>"Prkag1"</f>
        <v>Prkag1</v>
      </c>
      <c r="I737" t="s">
        <v>10</v>
      </c>
      <c r="J737" t="s">
        <v>155</v>
      </c>
    </row>
    <row r="738" spans="1:10">
      <c r="A738">
        <v>10424363</v>
      </c>
      <c r="B738">
        <v>1.83062199920208</v>
      </c>
      <c r="C738">
        <v>0.121842644099085</v>
      </c>
      <c r="E738" t="str">
        <f>"10424363"</f>
        <v>10424363</v>
      </c>
      <c r="F738" t="str">
        <f t="shared" si="49"/>
        <v>Affy 1.0 ST</v>
      </c>
      <c r="G738" t="str">
        <f>"MGI:1915751"</f>
        <v>MGI:1915751</v>
      </c>
      <c r="H738" t="str">
        <f>"Nsmce2"</f>
        <v>Nsmce2</v>
      </c>
      <c r="I738" t="s">
        <v>11</v>
      </c>
      <c r="J738" t="s">
        <v>155</v>
      </c>
    </row>
    <row r="739" spans="1:10">
      <c r="A739">
        <v>10516778</v>
      </c>
      <c r="B739">
        <v>1.8279870588038101</v>
      </c>
      <c r="C739">
        <v>0.14833443161975099</v>
      </c>
      <c r="E739" t="str">
        <f>"10516778"</f>
        <v>10516778</v>
      </c>
      <c r="F739" t="str">
        <f t="shared" si="49"/>
        <v>Affy 1.0 ST</v>
      </c>
      <c r="G739" t="str">
        <f>"MGI:1919955"</f>
        <v>MGI:1919955</v>
      </c>
      <c r="H739" t="str">
        <f>"Zcchc17"</f>
        <v>Zcchc17</v>
      </c>
      <c r="I739" t="s">
        <v>12</v>
      </c>
      <c r="J739" t="s">
        <v>155</v>
      </c>
    </row>
    <row r="740" spans="1:10">
      <c r="A740">
        <v>10491877</v>
      </c>
      <c r="B740">
        <v>1.82471401987954</v>
      </c>
      <c r="C740">
        <v>0.102195524870621</v>
      </c>
      <c r="E740" t="str">
        <f>"10491877"</f>
        <v>10491877</v>
      </c>
      <c r="F740" t="str">
        <f t="shared" si="49"/>
        <v>Affy 1.0 ST</v>
      </c>
      <c r="G740" t="str">
        <f>"MGI:1289213"</f>
        <v>MGI:1289213</v>
      </c>
      <c r="H740" t="str">
        <f>"D3Ertd751e"</f>
        <v>D3Ertd751e</v>
      </c>
      <c r="I740" t="s">
        <v>13</v>
      </c>
      <c r="J740" t="s">
        <v>155</v>
      </c>
    </row>
    <row r="741" spans="1:10">
      <c r="A741">
        <v>10369738</v>
      </c>
      <c r="B741">
        <v>1.82405254618955</v>
      </c>
      <c r="C741">
        <v>0.27974285082809303</v>
      </c>
      <c r="E741" t="str">
        <f>"10369738"</f>
        <v>10369738</v>
      </c>
      <c r="F741" t="str">
        <f t="shared" si="49"/>
        <v>Affy 1.0 ST</v>
      </c>
      <c r="G741" t="str">
        <f>"MGI:2135607"</f>
        <v>MGI:2135607</v>
      </c>
      <c r="H741" t="str">
        <f>"Sirt1"</f>
        <v>Sirt1</v>
      </c>
      <c r="I741" t="s">
        <v>14</v>
      </c>
      <c r="J741" t="s">
        <v>155</v>
      </c>
    </row>
    <row r="742" spans="1:10">
      <c r="A742">
        <v>10456423</v>
      </c>
      <c r="B742">
        <v>1.81595175197734</v>
      </c>
      <c r="C742">
        <v>2.50454179756299E-2</v>
      </c>
      <c r="E742" t="str">
        <f>"10456423"</f>
        <v>10456423</v>
      </c>
      <c r="F742" t="str">
        <f t="shared" si="49"/>
        <v>Affy 1.0 ST</v>
      </c>
      <c r="G742" t="str">
        <f>"MGI:1919374"</f>
        <v>MGI:1919374</v>
      </c>
      <c r="H742" t="str">
        <f>"Seh1l"</f>
        <v>Seh1l</v>
      </c>
      <c r="I742" t="str">
        <f>"SEH1-like (S. cerevisiae"</f>
        <v>SEH1-like (S. cerevisiae</v>
      </c>
      <c r="J742" t="str">
        <f>"protein coding gene"</f>
        <v>protein coding gene</v>
      </c>
    </row>
    <row r="743" spans="1:10">
      <c r="A743">
        <v>10350377</v>
      </c>
      <c r="B743">
        <v>1.8135778110242899</v>
      </c>
      <c r="C743">
        <v>0.18794004382884799</v>
      </c>
      <c r="E743" t="str">
        <f>"10350377"</f>
        <v>10350377</v>
      </c>
      <c r="F743" t="str">
        <f t="shared" si="49"/>
        <v>Affy 1.0 ST</v>
      </c>
      <c r="G743" t="str">
        <f>"MGI:2444487"</f>
        <v>MGI:2444487</v>
      </c>
      <c r="H743" t="str">
        <f>"Zbtb41"</f>
        <v>Zbtb41</v>
      </c>
      <c r="I743" t="str">
        <f>"zinc finger and BTB domain containing 41 homolog"</f>
        <v>zinc finger and BTB domain containing 41 homolog</v>
      </c>
      <c r="J743" t="str">
        <f>"protein coding gene"</f>
        <v>protein coding gene</v>
      </c>
    </row>
    <row r="744" spans="1:10">
      <c r="A744">
        <v>10411432</v>
      </c>
      <c r="B744">
        <v>1.8118673205106099</v>
      </c>
      <c r="C744">
        <v>0.26141946617865203</v>
      </c>
      <c r="E744" t="str">
        <f>"10411432"</f>
        <v>10411432</v>
      </c>
      <c r="F744" t="str">
        <f t="shared" si="49"/>
        <v>Affy 1.0 ST</v>
      </c>
      <c r="G744" t="str">
        <f>"MGI:2145443"</f>
        <v>MGI:2145443</v>
      </c>
      <c r="H744" t="str">
        <f>"Utp15"</f>
        <v>Utp15</v>
      </c>
      <c r="I744" t="s">
        <v>15</v>
      </c>
      <c r="J744" t="s">
        <v>155</v>
      </c>
    </row>
    <row r="745" spans="1:10">
      <c r="A745">
        <v>10342416</v>
      </c>
      <c r="B745">
        <v>1.8115256465892899</v>
      </c>
      <c r="C745">
        <v>7.62699196593076E-2</v>
      </c>
      <c r="E745" t="str">
        <f>"10342416"</f>
        <v>10342416</v>
      </c>
      <c r="F745" t="str">
        <f>""</f>
        <v/>
      </c>
      <c r="G745" t="str">
        <f>"No associated gene"</f>
        <v>No associated gene</v>
      </c>
    </row>
    <row r="746" spans="1:10">
      <c r="A746">
        <v>10487513</v>
      </c>
      <c r="B746">
        <v>1.80780913741534</v>
      </c>
      <c r="C746">
        <v>8.1807979406943399E-2</v>
      </c>
      <c r="E746" t="str">
        <f>"10487513"</f>
        <v>10487513</v>
      </c>
      <c r="F746" t="str">
        <f>"Affy 1.0 ST"</f>
        <v>Affy 1.0 ST</v>
      </c>
      <c r="G746" t="str">
        <f>"MGI:103097"</f>
        <v>MGI:103097</v>
      </c>
      <c r="H746" t="str">
        <f>"Anapc1"</f>
        <v>Anapc1</v>
      </c>
      <c r="I746" t="str">
        <f>"anaphase promoting complex subunit 1"</f>
        <v>anaphase promoting complex subunit 1</v>
      </c>
      <c r="J746" t="str">
        <f>"protein coding gene"</f>
        <v>protein coding gene</v>
      </c>
    </row>
    <row r="747" spans="1:10">
      <c r="A747">
        <v>10339354</v>
      </c>
      <c r="B747">
        <v>1.80424594111531</v>
      </c>
      <c r="C747">
        <v>6.1754814790711099E-2</v>
      </c>
      <c r="E747" t="str">
        <f>"10339354"</f>
        <v>10339354</v>
      </c>
      <c r="F747" t="str">
        <f>""</f>
        <v/>
      </c>
      <c r="G747" t="str">
        <f>"No associated gene"</f>
        <v>No associated gene</v>
      </c>
    </row>
    <row r="748" spans="1:10">
      <c r="A748">
        <v>10441620</v>
      </c>
      <c r="B748">
        <v>1.80421103586235</v>
      </c>
      <c r="C748">
        <v>0.12530772178501701</v>
      </c>
      <c r="E748" t="str">
        <f>"10441620"</f>
        <v>10441620</v>
      </c>
      <c r="F748" t="str">
        <f>"Affy 1.0 ST"</f>
        <v>Affy 1.0 ST</v>
      </c>
      <c r="G748" t="str">
        <f>"MGI:1922546"</f>
        <v>MGI:1922546</v>
      </c>
      <c r="H748" t="str">
        <f>"Fgfr1op"</f>
        <v>Fgfr1op</v>
      </c>
      <c r="I748" t="str">
        <f>"Fgfr1 oncogene partner"</f>
        <v>Fgfr1 oncogene partner</v>
      </c>
      <c r="J748" t="str">
        <f>"protein coding gene"</f>
        <v>protein coding gene</v>
      </c>
    </row>
    <row r="749" spans="1:10">
      <c r="A749">
        <v>10416169</v>
      </c>
      <c r="B749">
        <v>1.80023781507953</v>
      </c>
      <c r="C749">
        <v>0.151880681809686</v>
      </c>
      <c r="E749" t="str">
        <f>"10416169"</f>
        <v>10416169</v>
      </c>
      <c r="F749" t="str">
        <f>"Affy 1.0 ST"</f>
        <v>Affy 1.0 ST</v>
      </c>
      <c r="G749" t="str">
        <f>"MGI:95789"</f>
        <v>MGI:95789</v>
      </c>
      <c r="H749" t="str">
        <f>"Gnrh1"</f>
        <v>Gnrh1</v>
      </c>
      <c r="I749" t="str">
        <f>"gonadotropin releasing hormone 1"</f>
        <v>gonadotropin releasing hormone 1</v>
      </c>
      <c r="J749" t="str">
        <f>"protein coding gene"</f>
        <v>protein coding gene</v>
      </c>
    </row>
    <row r="750" spans="1:10">
      <c r="A750">
        <v>10504743</v>
      </c>
      <c r="B750">
        <v>1.7985958046497801</v>
      </c>
      <c r="C750">
        <v>0.115151851334316</v>
      </c>
      <c r="E750" t="str">
        <f>"10504743"</f>
        <v>10504743</v>
      </c>
      <c r="F750" t="str">
        <f>"Affy 1.0 ST"</f>
        <v>Affy 1.0 ST</v>
      </c>
      <c r="G750" t="str">
        <f>"MGI:2149820"</f>
        <v>MGI:2149820</v>
      </c>
      <c r="H750" t="str">
        <f>"Nans"</f>
        <v>Nans</v>
      </c>
      <c r="I750" t="str">
        <f>"N-acetylneuraminic acid synthase (sialic acid synthase)"</f>
        <v>N-acetylneuraminic acid synthase (sialic acid synthase)</v>
      </c>
      <c r="J750" t="str">
        <f>"protein coding gene"</f>
        <v>protein coding gene</v>
      </c>
    </row>
    <row r="751" spans="1:10">
      <c r="A751">
        <v>10344821</v>
      </c>
      <c r="B751">
        <v>1.79680128750409</v>
      </c>
      <c r="C751">
        <v>5.5192215269101397E-2</v>
      </c>
      <c r="E751" t="str">
        <f>"10344821"</f>
        <v>10344821</v>
      </c>
      <c r="F751" t="str">
        <f>"Affy 1.0 ST"</f>
        <v>Affy 1.0 ST</v>
      </c>
      <c r="G751" t="str">
        <f>"MGI:2681832"</f>
        <v>MGI:2681832</v>
      </c>
      <c r="H751" t="str">
        <f>"Cspp1"</f>
        <v>Cspp1</v>
      </c>
      <c r="I751" t="str">
        <f>"centrosome and spindle pole associated protein 1"</f>
        <v>centrosome and spindle pole associated protein 1</v>
      </c>
      <c r="J751" t="str">
        <f>"protein coding gene"</f>
        <v>protein coding gene</v>
      </c>
    </row>
    <row r="752" spans="1:10">
      <c r="A752">
        <v>10342366</v>
      </c>
      <c r="B752">
        <v>1.7967220861584401</v>
      </c>
      <c r="C752">
        <v>4.8159227355538098E-2</v>
      </c>
      <c r="E752" t="str">
        <f>"10342366"</f>
        <v>10342366</v>
      </c>
      <c r="F752" t="str">
        <f>""</f>
        <v/>
      </c>
      <c r="G752" t="str">
        <f>"No associated gene"</f>
        <v>No associated gene</v>
      </c>
    </row>
    <row r="753" spans="1:10">
      <c r="A753">
        <v>10522024</v>
      </c>
      <c r="B753">
        <v>1.7951010413216999</v>
      </c>
      <c r="C753">
        <v>0.25074679951269602</v>
      </c>
      <c r="E753" t="str">
        <f>"10522024"</f>
        <v>10522024</v>
      </c>
      <c r="F753" t="str">
        <f>"Affy 1.0 ST"</f>
        <v>Affy 1.0 ST</v>
      </c>
      <c r="G753" t="str">
        <f>"MGI:1889508"</f>
        <v>MGI:1889508</v>
      </c>
      <c r="H753" t="str">
        <f>"Tbc1d1"</f>
        <v>Tbc1d1</v>
      </c>
      <c r="I753" t="s">
        <v>16</v>
      </c>
      <c r="J753" t="s">
        <v>155</v>
      </c>
    </row>
    <row r="754" spans="1:10">
      <c r="A754">
        <v>10394627</v>
      </c>
      <c r="B754">
        <v>1.7925985525329</v>
      </c>
      <c r="C754">
        <v>0.129271286425377</v>
      </c>
      <c r="E754" t="str">
        <f>"10394627"</f>
        <v>10394627</v>
      </c>
      <c r="F754" t="str">
        <f>"Affy 1.0 ST"</f>
        <v>Affy 1.0 ST</v>
      </c>
      <c r="G754" t="str">
        <f>"MGI:1918419"</f>
        <v>MGI:1918419</v>
      </c>
      <c r="H754" t="str">
        <f>"Nbas"</f>
        <v>Nbas</v>
      </c>
      <c r="I754" t="str">
        <f>"neuroblastoma amplified sequence"</f>
        <v>neuroblastoma amplified sequence</v>
      </c>
      <c r="J754" t="str">
        <f>"protein coding gene"</f>
        <v>protein coding gene</v>
      </c>
    </row>
    <row r="755" spans="1:10">
      <c r="A755">
        <v>10342098</v>
      </c>
      <c r="B755">
        <v>1.79082082112477</v>
      </c>
      <c r="C755">
        <v>0.11991565364063</v>
      </c>
      <c r="E755" t="str">
        <f>"10342098"</f>
        <v>10342098</v>
      </c>
      <c r="F755" t="str">
        <f>""</f>
        <v/>
      </c>
      <c r="G755" t="str">
        <f>"No associated gene"</f>
        <v>No associated gene</v>
      </c>
    </row>
    <row r="756" spans="1:10">
      <c r="A756">
        <v>10444858</v>
      </c>
      <c r="B756">
        <v>1.7903348321872601</v>
      </c>
      <c r="C756">
        <v>0.20013641983071001</v>
      </c>
      <c r="E756" t="str">
        <f>"10444858"</f>
        <v>10444858</v>
      </c>
      <c r="F756" t="str">
        <f t="shared" ref="F756:F765" si="50">"Affy 1.0 ST"</f>
        <v>Affy 1.0 ST</v>
      </c>
      <c r="G756" t="str">
        <f>"MGI:2385321"</f>
        <v>MGI:2385321</v>
      </c>
      <c r="H756" t="str">
        <f>"Cchcr1"</f>
        <v>Cchcr1</v>
      </c>
      <c r="I756" t="str">
        <f>"coiled-coil alpha-helical rod protein 1"</f>
        <v>coiled-coil alpha-helical rod protein 1</v>
      </c>
      <c r="J756" t="str">
        <f>"protein coding gene"</f>
        <v>protein coding gene</v>
      </c>
    </row>
    <row r="757" spans="1:10">
      <c r="A757">
        <v>10583905</v>
      </c>
      <c r="B757">
        <v>1.78960947011091</v>
      </c>
      <c r="C757">
        <v>0.21189195475810799</v>
      </c>
      <c r="E757" t="str">
        <f>"10583905"</f>
        <v>10583905</v>
      </c>
      <c r="F757" t="str">
        <f t="shared" si="50"/>
        <v>Affy 1.0 ST</v>
      </c>
      <c r="G757" t="str">
        <f>"MGI:1335094"</f>
        <v>MGI:1335094</v>
      </c>
      <c r="H757" t="str">
        <f>"Sept7"</f>
        <v>Sept7</v>
      </c>
      <c r="I757" t="str">
        <f>"septin 7"</f>
        <v>septin 7</v>
      </c>
      <c r="J757" t="str">
        <f>"protein coding gene"</f>
        <v>protein coding gene</v>
      </c>
    </row>
    <row r="758" spans="1:10">
      <c r="A758">
        <v>10420320</v>
      </c>
      <c r="B758">
        <v>1.7879456202537101</v>
      </c>
      <c r="C758">
        <v>0.176136508215953</v>
      </c>
      <c r="E758" t="str">
        <f>"10420320"</f>
        <v>10420320</v>
      </c>
      <c r="F758" t="str">
        <f t="shared" si="50"/>
        <v>Affy 1.0 ST</v>
      </c>
      <c r="G758" t="str">
        <f>"MGI:2684927"</f>
        <v>MGI:2684927</v>
      </c>
      <c r="H758" t="str">
        <f>"Cenpj"</f>
        <v>Cenpj</v>
      </c>
      <c r="I758" t="str">
        <f>"centromere protein J"</f>
        <v>centromere protein J</v>
      </c>
      <c r="J758" t="str">
        <f>"protein coding gene"</f>
        <v>protein coding gene</v>
      </c>
    </row>
    <row r="759" spans="1:10">
      <c r="A759">
        <v>10434467</v>
      </c>
      <c r="B759">
        <v>1.78713377471418</v>
      </c>
      <c r="C759">
        <v>0.26671644556040203</v>
      </c>
      <c r="E759" t="str">
        <f>"10434467"</f>
        <v>10434467</v>
      </c>
      <c r="F759" t="str">
        <f t="shared" si="50"/>
        <v>Affy 1.0 ST</v>
      </c>
      <c r="G759" t="str">
        <f>"MGI:1096584"</f>
        <v>MGI:1096584</v>
      </c>
      <c r="H759" t="str">
        <f>"Psmd2"</f>
        <v>Psmd2</v>
      </c>
      <c r="I759" t="s">
        <v>17</v>
      </c>
      <c r="J759" t="s">
        <v>155</v>
      </c>
    </row>
    <row r="760" spans="1:10">
      <c r="A760">
        <v>10478967</v>
      </c>
      <c r="B760">
        <v>1.7835611990295199</v>
      </c>
      <c r="C760">
        <v>0.22071061563494901</v>
      </c>
      <c r="E760" t="str">
        <f>"10478967"</f>
        <v>10478967</v>
      </c>
      <c r="F760" t="str">
        <f t="shared" si="50"/>
        <v>Affy 1.0 ST</v>
      </c>
      <c r="G760" t="str">
        <f>"MGI:1914587"</f>
        <v>MGI:1914587</v>
      </c>
      <c r="H760" t="str">
        <f>"Cstf1"</f>
        <v>Cstf1</v>
      </c>
      <c r="I760" t="s">
        <v>18</v>
      </c>
      <c r="J760" t="s">
        <v>155</v>
      </c>
    </row>
    <row r="761" spans="1:10">
      <c r="A761">
        <v>10458757</v>
      </c>
      <c r="B761">
        <v>1.7798322871815699</v>
      </c>
      <c r="C761">
        <v>8.7872839995305499E-2</v>
      </c>
      <c r="E761" t="str">
        <f>"10458757"</f>
        <v>10458757</v>
      </c>
      <c r="F761" t="str">
        <f t="shared" si="50"/>
        <v>Affy 1.0 ST</v>
      </c>
      <c r="G761" t="str">
        <f>"MGI:1096551"</f>
        <v>MGI:1096551</v>
      </c>
      <c r="H761" t="str">
        <f>"Morf4l1"</f>
        <v>Morf4l1</v>
      </c>
      <c r="I761" t="str">
        <f>"mortality factor 4 like 1"</f>
        <v>mortality factor 4 like 1</v>
      </c>
      <c r="J761" t="str">
        <f>"protein coding gene"</f>
        <v>protein coding gene</v>
      </c>
    </row>
    <row r="762" spans="1:10">
      <c r="A762">
        <v>10531752</v>
      </c>
      <c r="B762">
        <v>1.77962723805366</v>
      </c>
      <c r="C762">
        <v>0.131202911710396</v>
      </c>
      <c r="E762" t="str">
        <f>"10531752"</f>
        <v>10531752</v>
      </c>
      <c r="F762" t="str">
        <f t="shared" si="50"/>
        <v>Affy 1.0 ST</v>
      </c>
      <c r="G762" t="str">
        <f>"MGI:2176740"</f>
        <v>MGI:2176740</v>
      </c>
      <c r="H762" t="str">
        <f>"Helq"</f>
        <v>Helq</v>
      </c>
      <c r="I762" t="s">
        <v>19</v>
      </c>
      <c r="J762" t="s">
        <v>155</v>
      </c>
    </row>
    <row r="763" spans="1:10">
      <c r="A763">
        <v>10503711</v>
      </c>
      <c r="B763">
        <v>1.77953991836064</v>
      </c>
      <c r="C763">
        <v>0.28087801358360198</v>
      </c>
      <c r="E763" t="str">
        <f>"10503711"</f>
        <v>10503711</v>
      </c>
      <c r="F763" t="str">
        <f t="shared" si="50"/>
        <v>Affy 1.0 ST</v>
      </c>
      <c r="G763" t="str">
        <f>"MGI:1349399"</f>
        <v>MGI:1349399</v>
      </c>
      <c r="H763" t="str">
        <f>"Casp8ap2"</f>
        <v>Casp8ap2</v>
      </c>
      <c r="I763" t="str">
        <f>"caspase 8 associated protein 2"</f>
        <v>caspase 8 associated protein 2</v>
      </c>
      <c r="J763" t="str">
        <f>"protein coding gene"</f>
        <v>protein coding gene</v>
      </c>
    </row>
    <row r="764" spans="1:10">
      <c r="A764">
        <v>10494662</v>
      </c>
      <c r="B764">
        <v>1.7779319594935401</v>
      </c>
      <c r="C764">
        <v>6.2891263515903503E-2</v>
      </c>
      <c r="E764" t="str">
        <f>"10494662"</f>
        <v>10494662</v>
      </c>
      <c r="F764" t="str">
        <f t="shared" si="50"/>
        <v>Affy 1.0 ST</v>
      </c>
      <c r="G764" t="str">
        <f>"MGI:109194"</f>
        <v>MGI:109194</v>
      </c>
      <c r="H764" t="str">
        <f>"Ywhah"</f>
        <v>Ywhah</v>
      </c>
      <c r="I764" t="s">
        <v>20</v>
      </c>
      <c r="J764" t="s">
        <v>155</v>
      </c>
    </row>
    <row r="765" spans="1:10">
      <c r="A765">
        <v>10387992</v>
      </c>
      <c r="B765">
        <v>1.77741691229148</v>
      </c>
      <c r="C765">
        <v>8.7592361911982095E-2</v>
      </c>
      <c r="E765" t="str">
        <f>"10387992"</f>
        <v>10387992</v>
      </c>
      <c r="F765" t="str">
        <f t="shared" si="50"/>
        <v>Affy 1.0 ST</v>
      </c>
      <c r="G765" t="str">
        <f>"MGI:104900"</f>
        <v>MGI:104900</v>
      </c>
      <c r="H765" t="str">
        <f>"Nup88"</f>
        <v>Nup88</v>
      </c>
      <c r="I765" t="str">
        <f>"nucleoporin 88"</f>
        <v>nucleoporin 88</v>
      </c>
      <c r="J765" t="str">
        <f>"protein coding gene"</f>
        <v>protein coding gene</v>
      </c>
    </row>
    <row r="766" spans="1:10">
      <c r="A766">
        <v>10339225</v>
      </c>
      <c r="B766">
        <v>1.77540248325184</v>
      </c>
      <c r="C766">
        <v>0.13283088730519599</v>
      </c>
      <c r="E766" t="str">
        <f>"10339225"</f>
        <v>10339225</v>
      </c>
      <c r="F766" t="str">
        <f>""</f>
        <v/>
      </c>
      <c r="G766" t="str">
        <f>"No associated gene"</f>
        <v>No associated gene</v>
      </c>
    </row>
    <row r="767" spans="1:10">
      <c r="A767">
        <v>10516926</v>
      </c>
      <c r="B767">
        <v>1.77505890088439</v>
      </c>
      <c r="C767">
        <v>0.21621115991971701</v>
      </c>
      <c r="E767" t="str">
        <f>"10516926"</f>
        <v>10516926</v>
      </c>
      <c r="F767" t="str">
        <f>"Affy 1.0 ST"</f>
        <v>Affy 1.0 ST</v>
      </c>
      <c r="G767" t="str">
        <f>"MGI:1914469"</f>
        <v>MGI:1914469</v>
      </c>
      <c r="H767" t="str">
        <f>"Med18"</f>
        <v>Med18</v>
      </c>
      <c r="I767" t="s">
        <v>21</v>
      </c>
      <c r="J767" t="s">
        <v>155</v>
      </c>
    </row>
    <row r="768" spans="1:10">
      <c r="A768">
        <v>10579468</v>
      </c>
      <c r="B768">
        <v>1.7738051349921899</v>
      </c>
      <c r="C768">
        <v>0.23243473998200401</v>
      </c>
      <c r="E768" t="str">
        <f>"10579468"</f>
        <v>10579468</v>
      </c>
      <c r="F768" t="str">
        <f>"Affy 1.0 ST"</f>
        <v>Affy 1.0 ST</v>
      </c>
      <c r="G768" t="str">
        <f>"MGI:1923728"</f>
        <v>MGI:1923728</v>
      </c>
      <c r="H768" t="str">
        <f>"Haus8"</f>
        <v>Haus8</v>
      </c>
      <c r="I768" t="s">
        <v>22</v>
      </c>
      <c r="J768" t="s">
        <v>155</v>
      </c>
    </row>
    <row r="769" spans="1:10">
      <c r="A769">
        <v>10572596</v>
      </c>
      <c r="B769">
        <v>1.7710413757605199</v>
      </c>
      <c r="C769">
        <v>0.14455362287854001</v>
      </c>
      <c r="E769" t="str">
        <f>"10572596"</f>
        <v>10572596</v>
      </c>
      <c r="F769" t="str">
        <f>"Affy 1.0 ST"</f>
        <v>Affy 1.0 ST</v>
      </c>
      <c r="G769" t="str">
        <f>"MGI:1915501"</f>
        <v>MGI:1915501</v>
      </c>
      <c r="H769" t="str">
        <f>"5430437P03Rik"</f>
        <v>5430437P03Rik</v>
      </c>
      <c r="I769" t="str">
        <f>"RIKEN cDNA 5430437P03 gene"</f>
        <v>RIKEN cDNA 5430437P03 gene</v>
      </c>
      <c r="J769" t="str">
        <f>"protein coding gene"</f>
        <v>protein coding gene</v>
      </c>
    </row>
    <row r="770" spans="1:10">
      <c r="A770">
        <v>10608671</v>
      </c>
      <c r="B770">
        <v>1.7677633277259099</v>
      </c>
      <c r="C770">
        <v>0.19065522378375899</v>
      </c>
      <c r="E770" t="str">
        <f>"10608671"</f>
        <v>10608671</v>
      </c>
      <c r="F770" t="str">
        <f>""</f>
        <v/>
      </c>
      <c r="G770" t="str">
        <f>"No associated gene"</f>
        <v>No associated gene</v>
      </c>
    </row>
    <row r="771" spans="1:10">
      <c r="A771">
        <v>10470973</v>
      </c>
      <c r="B771">
        <v>1.76775159500365</v>
      </c>
      <c r="C771">
        <v>7.19504464534549E-2</v>
      </c>
      <c r="E771" t="str">
        <f>"10470973"</f>
        <v>10470973</v>
      </c>
      <c r="F771" t="str">
        <f t="shared" ref="F771:F778" si="51">"Affy 1.0 ST"</f>
        <v>Affy 1.0 ST</v>
      </c>
      <c r="G771" t="str">
        <f>"MGI:2446190"</f>
        <v>MGI:2446190</v>
      </c>
      <c r="H771" t="str">
        <f>"Nup188"</f>
        <v>Nup188</v>
      </c>
      <c r="I771" t="str">
        <f>"nucleoporin 188"</f>
        <v>nucleoporin 188</v>
      </c>
      <c r="J771" t="str">
        <f t="shared" ref="J771:J776" si="52">"protein coding gene"</f>
        <v>protein coding gene</v>
      </c>
    </row>
    <row r="772" spans="1:10">
      <c r="A772">
        <v>10381744</v>
      </c>
      <c r="B772">
        <v>1.76564961450752</v>
      </c>
      <c r="C772">
        <v>0.16311807073290699</v>
      </c>
      <c r="E772" t="str">
        <f>"10381744"</f>
        <v>10381744</v>
      </c>
      <c r="F772" t="str">
        <f t="shared" si="51"/>
        <v>Affy 1.0 ST</v>
      </c>
      <c r="G772" t="str">
        <f>"MGI:99595"</f>
        <v>MGI:99595</v>
      </c>
      <c r="H772" t="str">
        <f>"Arf2"</f>
        <v>Arf2</v>
      </c>
      <c r="I772" t="str">
        <f>"ADP-ribosylation factor 2"</f>
        <v>ADP-ribosylation factor 2</v>
      </c>
      <c r="J772" t="str">
        <f t="shared" si="52"/>
        <v>protein coding gene</v>
      </c>
    </row>
    <row r="773" spans="1:10">
      <c r="A773">
        <v>10426875</v>
      </c>
      <c r="B773">
        <v>1.7642885615533599</v>
      </c>
      <c r="C773">
        <v>4.9267440385483301E-2</v>
      </c>
      <c r="E773" t="str">
        <f>"10426875"</f>
        <v>10426875</v>
      </c>
      <c r="F773" t="str">
        <f t="shared" si="51"/>
        <v>Affy 1.0 ST</v>
      </c>
      <c r="G773" t="str">
        <f>"MGI:1298366"</f>
        <v>MGI:1298366</v>
      </c>
      <c r="H773" t="str">
        <f>"Atf1"</f>
        <v>Atf1</v>
      </c>
      <c r="I773" t="str">
        <f>"activating transcription factor 1"</f>
        <v>activating transcription factor 1</v>
      </c>
      <c r="J773" t="str">
        <f t="shared" si="52"/>
        <v>protein coding gene</v>
      </c>
    </row>
    <row r="774" spans="1:10">
      <c r="A774">
        <v>10570771</v>
      </c>
      <c r="B774">
        <v>1.7637913683347199</v>
      </c>
      <c r="C774">
        <v>0.149925204917539</v>
      </c>
      <c r="E774" t="str">
        <f>"10570771"</f>
        <v>10570771</v>
      </c>
      <c r="F774" t="str">
        <f t="shared" si="51"/>
        <v>Affy 1.0 ST</v>
      </c>
      <c r="G774" t="str">
        <f>"MGI:1917410"</f>
        <v>MGI:1917410</v>
      </c>
      <c r="H774" t="str">
        <f>"Vps36"</f>
        <v>Vps36</v>
      </c>
      <c r="I774" t="str">
        <f>"vacuolar protein sorting 36 (yeast)"</f>
        <v>vacuolar protein sorting 36 (yeast)</v>
      </c>
      <c r="J774" t="str">
        <f t="shared" si="52"/>
        <v>protein coding gene</v>
      </c>
    </row>
    <row r="775" spans="1:10">
      <c r="A775">
        <v>10380689</v>
      </c>
      <c r="B775">
        <v>1.7630713383093499</v>
      </c>
      <c r="C775">
        <v>0.128799856662381</v>
      </c>
      <c r="E775" t="str">
        <f>"10380689"</f>
        <v>10380689</v>
      </c>
      <c r="F775" t="str">
        <f t="shared" si="51"/>
        <v>Affy 1.0 ST</v>
      </c>
      <c r="G775" t="str">
        <f>"MGI:105369"</f>
        <v>MGI:105369</v>
      </c>
      <c r="H775" t="str">
        <f>"Cbx1"</f>
        <v>Cbx1</v>
      </c>
      <c r="I775" t="str">
        <f>"chromobox homolog 1 (Drosophila HP1 beta)"</f>
        <v>chromobox homolog 1 (Drosophila HP1 beta)</v>
      </c>
      <c r="J775" t="str">
        <f t="shared" si="52"/>
        <v>protein coding gene</v>
      </c>
    </row>
    <row r="776" spans="1:10">
      <c r="A776">
        <v>10425905</v>
      </c>
      <c r="B776">
        <v>1.76262536555578</v>
      </c>
      <c r="C776">
        <v>0.24371693479400899</v>
      </c>
      <c r="E776" t="str">
        <f>"10425905"</f>
        <v>10425905</v>
      </c>
      <c r="F776" t="str">
        <f t="shared" si="51"/>
        <v>Affy 1.0 ST</v>
      </c>
      <c r="G776" t="str">
        <f>"MGI:1351502"</f>
        <v>MGI:1351502</v>
      </c>
      <c r="H776" t="str">
        <f>"Nup50"</f>
        <v>Nup50</v>
      </c>
      <c r="I776" t="str">
        <f>"nucleoporin 50"</f>
        <v>nucleoporin 50</v>
      </c>
      <c r="J776" t="str">
        <f t="shared" si="52"/>
        <v>protein coding gene</v>
      </c>
    </row>
    <row r="777" spans="1:10">
      <c r="A777">
        <v>10587488</v>
      </c>
      <c r="B777">
        <v>1.7614193747762701</v>
      </c>
      <c r="C777">
        <v>0.22527643864319999</v>
      </c>
      <c r="E777" t="str">
        <f>"10587488"</f>
        <v>10587488</v>
      </c>
      <c r="F777" t="str">
        <f t="shared" si="51"/>
        <v>Affy 1.0 ST</v>
      </c>
      <c r="G777" t="str">
        <f>"MGI:1922283"</f>
        <v>MGI:1922283</v>
      </c>
      <c r="H777" t="str">
        <f>"Mei4"</f>
        <v>Mei4</v>
      </c>
      <c r="I777" t="s">
        <v>23</v>
      </c>
      <c r="J777" t="s">
        <v>155</v>
      </c>
    </row>
    <row r="778" spans="1:10">
      <c r="A778">
        <v>10477583</v>
      </c>
      <c r="B778">
        <v>1.7613707087218</v>
      </c>
      <c r="C778">
        <v>0.16160643697885099</v>
      </c>
      <c r="E778" t="str">
        <f>"10477583"</f>
        <v>10477583</v>
      </c>
      <c r="F778" t="str">
        <f t="shared" si="51"/>
        <v>Affy 1.0 ST</v>
      </c>
      <c r="G778" t="str">
        <f>"MGI:97850"</f>
        <v>MGI:97850</v>
      </c>
      <c r="H778" t="str">
        <f>"Raly"</f>
        <v>Raly</v>
      </c>
      <c r="I778" t="str">
        <f>"hnRNP-associated with lethal yellow"</f>
        <v>hnRNP-associated with lethal yellow</v>
      </c>
      <c r="J778" t="str">
        <f>"protein coding gene"</f>
        <v>protein coding gene</v>
      </c>
    </row>
    <row r="779" spans="1:10">
      <c r="A779">
        <v>10341530</v>
      </c>
      <c r="B779">
        <v>1.7612391260628399</v>
      </c>
      <c r="C779">
        <v>0.236655902471752</v>
      </c>
      <c r="E779" t="str">
        <f>"10341530"</f>
        <v>10341530</v>
      </c>
      <c r="F779" t="str">
        <f>""</f>
        <v/>
      </c>
      <c r="G779" t="str">
        <f>"No associated gene"</f>
        <v>No associated gene</v>
      </c>
    </row>
    <row r="780" spans="1:10">
      <c r="A780">
        <v>10522976</v>
      </c>
      <c r="B780">
        <v>1.7611668062699</v>
      </c>
      <c r="C780">
        <v>0.122131124425432</v>
      </c>
      <c r="E780" t="str">
        <f>"10522976"</f>
        <v>10522976</v>
      </c>
      <c r="F780" t="str">
        <f>"Affy 1.0 ST"</f>
        <v>Affy 1.0 ST</v>
      </c>
      <c r="G780" t="str">
        <f>"MGI:106484"</f>
        <v>MGI:106484</v>
      </c>
      <c r="H780" t="str">
        <f>"Rufy3"</f>
        <v>Rufy3</v>
      </c>
      <c r="I780" t="str">
        <f>"RUN and FYVE domain containing 3"</f>
        <v>RUN and FYVE domain containing 3</v>
      </c>
      <c r="J780" t="str">
        <f>"protein coding gene"</f>
        <v>protein coding gene</v>
      </c>
    </row>
    <row r="781" spans="1:10">
      <c r="A781">
        <v>10339849</v>
      </c>
      <c r="B781">
        <v>1.75886803113896</v>
      </c>
      <c r="C781">
        <v>9.9840401652079094E-2</v>
      </c>
      <c r="E781" t="str">
        <f>"10339849"</f>
        <v>10339849</v>
      </c>
      <c r="F781" t="str">
        <f>""</f>
        <v/>
      </c>
      <c r="G781" t="str">
        <f>"No associated gene"</f>
        <v>No associated gene</v>
      </c>
    </row>
    <row r="782" spans="1:10">
      <c r="A782">
        <v>10372497</v>
      </c>
      <c r="B782">
        <v>1.75788501009397</v>
      </c>
      <c r="C782">
        <v>0.12014021793615599</v>
      </c>
      <c r="E782" t="str">
        <f>"10372497"</f>
        <v>10372497</v>
      </c>
      <c r="F782" t="str">
        <f>"Affy 1.0 ST"</f>
        <v>Affy 1.0 ST</v>
      </c>
      <c r="G782" t="str">
        <f>"MGI:1914066"</f>
        <v>MGI:1914066</v>
      </c>
      <c r="H782" t="str">
        <f>"Thap2"</f>
        <v>Thap2</v>
      </c>
      <c r="I782" t="s">
        <v>24</v>
      </c>
      <c r="J782" t="s">
        <v>155</v>
      </c>
    </row>
    <row r="783" spans="1:10">
      <c r="A783">
        <v>10445796</v>
      </c>
      <c r="B783">
        <v>1.75758589962553</v>
      </c>
      <c r="C783">
        <v>0.20089032683841801</v>
      </c>
      <c r="E783" t="str">
        <f>"10445796"</f>
        <v>10445796</v>
      </c>
      <c r="F783" t="str">
        <f>"Affy 1.0 ST"</f>
        <v>Affy 1.0 ST</v>
      </c>
      <c r="G783" t="str">
        <f>"MGI:2146818"</f>
        <v>MGI:2146818</v>
      </c>
      <c r="H783" t="str">
        <f>"AI314976"</f>
        <v>AI314976</v>
      </c>
      <c r="I783" t="str">
        <f>"expressed sequence AI314976"</f>
        <v>expressed sequence AI314976</v>
      </c>
      <c r="J783" t="str">
        <f>"protein coding gene"</f>
        <v>protein coding gene</v>
      </c>
    </row>
    <row r="784" spans="1:10">
      <c r="A784">
        <v>10419803</v>
      </c>
      <c r="B784">
        <v>1.75496450131656</v>
      </c>
      <c r="C784">
        <v>9.4454585677907502E-2</v>
      </c>
      <c r="E784" t="str">
        <f>"10419803"</f>
        <v>10419803</v>
      </c>
      <c r="F784" t="str">
        <f>"Affy 1.0 ST"</f>
        <v>Affy 1.0 ST</v>
      </c>
      <c r="G784" t="str">
        <f>"MGI:1921609"</f>
        <v>MGI:1921609</v>
      </c>
      <c r="H784" t="str">
        <f>"4931414P19Rik"</f>
        <v>4931414P19Rik</v>
      </c>
      <c r="I784" t="str">
        <f>"RIKEN cDNA 4931414P19 gene"</f>
        <v>RIKEN cDNA 4931414P19 gene</v>
      </c>
      <c r="J784" t="str">
        <f>"protein coding gene"</f>
        <v>protein coding gene</v>
      </c>
    </row>
    <row r="785" spans="1:10">
      <c r="A785">
        <v>10499777</v>
      </c>
      <c r="B785">
        <v>1.7549577529823699</v>
      </c>
      <c r="C785">
        <v>9.6733621651606205E-2</v>
      </c>
      <c r="E785" t="str">
        <f>"10499777"</f>
        <v>10499777</v>
      </c>
      <c r="F785" t="str">
        <f>"Affy 1.0 ST"</f>
        <v>Affy 1.0 ST</v>
      </c>
      <c r="G785" t="str">
        <f>"MGI:2140050"</f>
        <v>MGI:2140050</v>
      </c>
      <c r="H785" t="str">
        <f>"Ints3"</f>
        <v>Ints3</v>
      </c>
      <c r="I785" t="str">
        <f>"integrator complex subunit 3"</f>
        <v>integrator complex subunit 3</v>
      </c>
      <c r="J785" t="str">
        <f>"protein coding gene"</f>
        <v>protein coding gene</v>
      </c>
    </row>
    <row r="786" spans="1:10">
      <c r="A786">
        <v>10582845</v>
      </c>
      <c r="B786">
        <v>1.7543626552905001</v>
      </c>
      <c r="C786">
        <v>7.3541644626565705E-2</v>
      </c>
      <c r="E786" t="str">
        <f>"10582845"</f>
        <v>10582845</v>
      </c>
      <c r="F786" t="str">
        <f>""</f>
        <v/>
      </c>
      <c r="G786" t="str">
        <f>"No associated gene"</f>
        <v>No associated gene</v>
      </c>
    </row>
    <row r="787" spans="1:10">
      <c r="A787">
        <v>10528922</v>
      </c>
      <c r="B787">
        <v>1.75144287251195</v>
      </c>
      <c r="C787">
        <v>0.23826834507105199</v>
      </c>
      <c r="E787" t="str">
        <f>"10528922"</f>
        <v>10528922</v>
      </c>
      <c r="F787" t="str">
        <f t="shared" ref="F787:F794" si="53">"Affy 1.0 ST"</f>
        <v>Affy 1.0 ST</v>
      </c>
      <c r="G787" t="str">
        <f>"MGI:3645260"</f>
        <v>MGI:3645260</v>
      </c>
      <c r="H787" t="str">
        <f>"Gm4961"</f>
        <v>Gm4961</v>
      </c>
      <c r="I787" t="str">
        <f>"predicted pseudogene 4961"</f>
        <v>predicted pseudogene 4961</v>
      </c>
      <c r="J787" t="str">
        <f>"pseudogene"</f>
        <v>pseudogene</v>
      </c>
    </row>
    <row r="788" spans="1:10">
      <c r="A788">
        <v>10404187</v>
      </c>
      <c r="B788">
        <v>1.75139282851589</v>
      </c>
      <c r="C788">
        <v>0.15182029859986501</v>
      </c>
      <c r="E788" t="str">
        <f>"10404187"</f>
        <v>10404187</v>
      </c>
      <c r="F788" t="str">
        <f t="shared" si="53"/>
        <v>Affy 1.0 ST</v>
      </c>
      <c r="G788" t="str">
        <f>"MGI:1860486"</f>
        <v>MGI:1860486</v>
      </c>
      <c r="H788" t="str">
        <f>"Tdp2"</f>
        <v>Tdp2</v>
      </c>
      <c r="I788" t="str">
        <f>"tyrosyl-DNA phosphodiesterase 2"</f>
        <v>tyrosyl-DNA phosphodiesterase 2</v>
      </c>
      <c r="J788" t="str">
        <f>"protein coding gene"</f>
        <v>protein coding gene</v>
      </c>
    </row>
    <row r="789" spans="1:10">
      <c r="A789">
        <v>10381668</v>
      </c>
      <c r="B789">
        <v>1.75085944120339</v>
      </c>
      <c r="C789">
        <v>0.19824517173346101</v>
      </c>
      <c r="E789" t="str">
        <f>"10381668"</f>
        <v>10381668</v>
      </c>
      <c r="F789" t="str">
        <f t="shared" si="53"/>
        <v>Affy 1.0 ST</v>
      </c>
      <c r="G789" t="str">
        <f>"MGI:102579"</f>
        <v>MGI:102579</v>
      </c>
      <c r="H789" t="str">
        <f>"Nmt1"</f>
        <v>Nmt1</v>
      </c>
      <c r="I789" t="str">
        <f>"N-myristoyltransferase 1"</f>
        <v>N-myristoyltransferase 1</v>
      </c>
      <c r="J789" t="str">
        <f>"protein coding gene"</f>
        <v>protein coding gene</v>
      </c>
    </row>
    <row r="790" spans="1:10">
      <c r="A790">
        <v>10448292</v>
      </c>
      <c r="B790">
        <v>1.74836108238329</v>
      </c>
      <c r="C790">
        <v>0.16003641557963599</v>
      </c>
      <c r="E790" t="str">
        <f>"10448292"</f>
        <v>10448292</v>
      </c>
      <c r="F790" t="str">
        <f t="shared" si="53"/>
        <v>Affy 1.0 ST</v>
      </c>
      <c r="G790" t="str">
        <f>"MGI:2677480"</f>
        <v>MGI:2677480</v>
      </c>
      <c r="H790" t="str">
        <f>"Thoc6"</f>
        <v>Thoc6</v>
      </c>
      <c r="I790" t="str">
        <f>"THO complex 6 homolog (Drosophila)"</f>
        <v>THO complex 6 homolog (Drosophila)</v>
      </c>
      <c r="J790" t="str">
        <f>"protein coding gene"</f>
        <v>protein coding gene</v>
      </c>
    </row>
    <row r="791" spans="1:10">
      <c r="A791">
        <v>10550076</v>
      </c>
      <c r="B791">
        <v>1.74808810458202</v>
      </c>
      <c r="C791">
        <v>0.20031365361020301</v>
      </c>
      <c r="E791" t="str">
        <f>"10550076"</f>
        <v>10550076</v>
      </c>
      <c r="F791" t="str">
        <f t="shared" si="53"/>
        <v>Affy 1.0 ST</v>
      </c>
      <c r="G791" t="str">
        <f>"MGI:109274"</f>
        <v>MGI:109274</v>
      </c>
      <c r="H791" t="str">
        <f>"Trim28"</f>
        <v>Trim28</v>
      </c>
      <c r="I791" t="str">
        <f>"tripartite motif-containing 28"</f>
        <v>tripartite motif-containing 28</v>
      </c>
      <c r="J791" t="str">
        <f>"protein coding gene"</f>
        <v>protein coding gene</v>
      </c>
    </row>
    <row r="792" spans="1:10">
      <c r="A792">
        <v>10465812</v>
      </c>
      <c r="B792">
        <v>1.7439094443425001</v>
      </c>
      <c r="C792">
        <v>0.105621377048475</v>
      </c>
      <c r="E792" t="str">
        <f>"10465812"</f>
        <v>10465812</v>
      </c>
      <c r="F792" t="str">
        <f t="shared" si="53"/>
        <v>Affy 1.0 ST</v>
      </c>
      <c r="G792" t="str">
        <f>"MGI:1917637"</f>
        <v>MGI:1917637</v>
      </c>
      <c r="H792" t="str">
        <f>"Ttc9c"</f>
        <v>Ttc9c</v>
      </c>
      <c r="I792" t="str">
        <f>"tetratricopeptide repeat domain 9C"</f>
        <v>tetratricopeptide repeat domain 9C</v>
      </c>
      <c r="J792" t="str">
        <f>"protein coding gene"</f>
        <v>protein coding gene</v>
      </c>
    </row>
    <row r="793" spans="1:10">
      <c r="A793">
        <v>10603109</v>
      </c>
      <c r="B793">
        <v>1.73933847655968</v>
      </c>
      <c r="C793">
        <v>8.3244084813079003E-2</v>
      </c>
      <c r="E793" t="str">
        <f>"10603109"</f>
        <v>10603109</v>
      </c>
      <c r="F793" t="str">
        <f t="shared" si="53"/>
        <v>Affy 1.0 ST</v>
      </c>
      <c r="G793" t="str">
        <f>"MGI:99461"</f>
        <v>MGI:99461</v>
      </c>
      <c r="H793" t="str">
        <f>"Piga"</f>
        <v>Piga</v>
      </c>
      <c r="I793" t="s">
        <v>25</v>
      </c>
      <c r="J793" t="s">
        <v>155</v>
      </c>
    </row>
    <row r="794" spans="1:10">
      <c r="A794">
        <v>10493660</v>
      </c>
      <c r="B794">
        <v>1.7390825115946</v>
      </c>
      <c r="C794">
        <v>0.168626359655217</v>
      </c>
      <c r="E794" t="str">
        <f>"10493660"</f>
        <v>10493660</v>
      </c>
      <c r="F794" t="str">
        <f t="shared" si="53"/>
        <v>Affy 1.0 ST</v>
      </c>
      <c r="G794" t="str">
        <f>"MGI:1924845"</f>
        <v>MGI:1924845</v>
      </c>
      <c r="H794" t="str">
        <f>"Nup210l"</f>
        <v>Nup210l</v>
      </c>
      <c r="I794" t="str">
        <f>"nucleoporin 210-like"</f>
        <v>nucleoporin 210-like</v>
      </c>
      <c r="J794" t="str">
        <f>"protein coding gene"</f>
        <v>protein coding gene</v>
      </c>
    </row>
    <row r="795" spans="1:10">
      <c r="A795">
        <v>10343635</v>
      </c>
      <c r="B795">
        <v>1.73815221547829</v>
      </c>
      <c r="C795">
        <v>0.171974518097358</v>
      </c>
      <c r="E795" t="str">
        <f>"10343635"</f>
        <v>10343635</v>
      </c>
      <c r="F795" t="str">
        <f>""</f>
        <v/>
      </c>
      <c r="G795" t="str">
        <f>"No associated gene"</f>
        <v>No associated gene</v>
      </c>
    </row>
    <row r="796" spans="1:10">
      <c r="A796">
        <v>10606532</v>
      </c>
      <c r="B796">
        <v>1.73586920019975</v>
      </c>
      <c r="C796">
        <v>0.118871020206703</v>
      </c>
      <c r="E796" t="str">
        <f>"10606532"</f>
        <v>10606532</v>
      </c>
      <c r="F796" t="str">
        <f>"Affy 1.0 ST"</f>
        <v>Affy 1.0 ST</v>
      </c>
      <c r="G796" t="str">
        <f>"MGI:87881"</f>
        <v>MGI:87881</v>
      </c>
      <c r="H796" t="str">
        <f>"Acp1"</f>
        <v>Acp1</v>
      </c>
      <c r="I796" t="s">
        <v>26</v>
      </c>
      <c r="J796" t="s">
        <v>155</v>
      </c>
    </row>
    <row r="797" spans="1:10">
      <c r="A797">
        <v>10522627</v>
      </c>
      <c r="B797">
        <v>1.7332156321585901</v>
      </c>
      <c r="C797">
        <v>8.8616917201983503E-2</v>
      </c>
      <c r="E797" t="str">
        <f>"10522627"</f>
        <v>10522627</v>
      </c>
      <c r="F797" t="str">
        <f>"Affy 1.0 ST"</f>
        <v>Affy 1.0 ST</v>
      </c>
      <c r="G797" t="str">
        <f>"MGI:2681869"</f>
        <v>MGI:2681869</v>
      </c>
      <c r="H797" t="str">
        <f>"Cep135"</f>
        <v>Cep135</v>
      </c>
      <c r="I797" t="str">
        <f>"centrosomal protein 135"</f>
        <v>centrosomal protein 135</v>
      </c>
      <c r="J797" t="str">
        <f>"protein coding gene"</f>
        <v>protein coding gene</v>
      </c>
    </row>
    <row r="798" spans="1:10">
      <c r="A798">
        <v>10584309</v>
      </c>
      <c r="B798">
        <v>1.7302627034161799</v>
      </c>
      <c r="C798">
        <v>0.12111227032547101</v>
      </c>
      <c r="E798" t="str">
        <f>"10584309"</f>
        <v>10584309</v>
      </c>
      <c r="F798" t="str">
        <f>"Affy 1.0 ST"</f>
        <v>Affy 1.0 ST</v>
      </c>
      <c r="G798" t="str">
        <f>"MGI:2384579"</f>
        <v>MGI:2384579</v>
      </c>
      <c r="H798" t="str">
        <f>"BC024479"</f>
        <v>BC024479</v>
      </c>
      <c r="I798" t="str">
        <f>"cDNA sequence BC024479"</f>
        <v>cDNA sequence BC024479</v>
      </c>
      <c r="J798" t="str">
        <f>"protein coding gene"</f>
        <v>protein coding gene</v>
      </c>
    </row>
    <row r="799" spans="1:10">
      <c r="A799">
        <v>10541067</v>
      </c>
      <c r="B799">
        <v>1.72524284797079</v>
      </c>
      <c r="C799">
        <v>5.7979187480121201E-2</v>
      </c>
      <c r="E799" t="str">
        <f>"10541067"</f>
        <v>10541067</v>
      </c>
      <c r="F799" t="str">
        <f>"Affy 1.0 ST"</f>
        <v>Affy 1.0 ST</v>
      </c>
      <c r="G799" t="str">
        <f>"MGI:1923731"</f>
        <v>MGI:1923731</v>
      </c>
      <c r="H799" t="str">
        <f>"Eif4a3"</f>
        <v>Eif4a3</v>
      </c>
      <c r="I799" t="str">
        <f>"eukaryotic translation initiation factor 4A3"</f>
        <v>eukaryotic translation initiation factor 4A3</v>
      </c>
      <c r="J799" t="str">
        <f>"protein coding gene"</f>
        <v>protein coding gene</v>
      </c>
    </row>
    <row r="800" spans="1:10">
      <c r="A800">
        <v>10338760</v>
      </c>
      <c r="B800">
        <v>1.72500348316587</v>
      </c>
      <c r="C800">
        <v>0.14260301330328301</v>
      </c>
      <c r="E800" t="str">
        <f>"10338760"</f>
        <v>10338760</v>
      </c>
      <c r="F800" t="str">
        <f>""</f>
        <v/>
      </c>
      <c r="G800" t="str">
        <f>"No associated gene"</f>
        <v>No associated gene</v>
      </c>
    </row>
    <row r="801" spans="1:10">
      <c r="A801">
        <v>10593937</v>
      </c>
      <c r="B801">
        <v>1.72318571987193</v>
      </c>
      <c r="C801">
        <v>0.14990124965025201</v>
      </c>
      <c r="E801" t="str">
        <f>"10593937"</f>
        <v>10593937</v>
      </c>
      <c r="F801" t="str">
        <f>"Affy 1.0 ST"</f>
        <v>Affy 1.0 ST</v>
      </c>
      <c r="G801" t="str">
        <f>"MGI:97075"</f>
        <v>MGI:97075</v>
      </c>
      <c r="H801" t="str">
        <f>"Mpi"</f>
        <v>Mpi</v>
      </c>
      <c r="I801" t="str">
        <f>"mannose phosphate isomerase"</f>
        <v>mannose phosphate isomerase</v>
      </c>
      <c r="J801" t="str">
        <f>"protein coding gene"</f>
        <v>protein coding gene</v>
      </c>
    </row>
    <row r="802" spans="1:10">
      <c r="A802">
        <v>10503305</v>
      </c>
      <c r="B802">
        <v>1.7226639601651199</v>
      </c>
      <c r="C802">
        <v>0.16109170506289799</v>
      </c>
      <c r="E802" t="str">
        <f>"10503305"</f>
        <v>10503305</v>
      </c>
      <c r="F802" t="str">
        <f>"Affy 1.0 ST"</f>
        <v>Affy 1.0 ST</v>
      </c>
      <c r="G802" t="str">
        <f>"MGI:1913435"</f>
        <v>MGI:1913435</v>
      </c>
      <c r="H802" t="str">
        <f>"1110037F02Rik"</f>
        <v>1110037F02Rik</v>
      </c>
      <c r="I802" t="str">
        <f>"RIKEN cDNA 1110037F02 gene"</f>
        <v>RIKEN cDNA 1110037F02 gene</v>
      </c>
      <c r="J802" t="str">
        <f>"protein coding gene"</f>
        <v>protein coding gene</v>
      </c>
    </row>
    <row r="803" spans="1:10">
      <c r="A803">
        <v>10340490</v>
      </c>
      <c r="B803">
        <v>1.7220507088343</v>
      </c>
      <c r="C803">
        <v>8.1532309002498402E-2</v>
      </c>
      <c r="E803" t="str">
        <f>"10340490"</f>
        <v>10340490</v>
      </c>
      <c r="F803" t="str">
        <f>""</f>
        <v/>
      </c>
      <c r="G803" t="str">
        <f>"No associated gene"</f>
        <v>No associated gene</v>
      </c>
    </row>
    <row r="804" spans="1:10">
      <c r="A804">
        <v>10579437</v>
      </c>
      <c r="B804">
        <v>1.72204229570186</v>
      </c>
      <c r="C804">
        <v>0.15889757219167699</v>
      </c>
      <c r="E804" t="str">
        <f>"10579437"</f>
        <v>10579437</v>
      </c>
      <c r="F804" t="str">
        <f>"Affy 1.0 ST"</f>
        <v>Affy 1.0 ST</v>
      </c>
      <c r="G804" t="str">
        <f>"MGI:1916403"</f>
        <v>MGI:1916403</v>
      </c>
      <c r="H804" t="str">
        <f>"Ccdc124"</f>
        <v>Ccdc124</v>
      </c>
      <c r="I804" t="str">
        <f>"coiled-coil domain containing 124"</f>
        <v>coiled-coil domain containing 124</v>
      </c>
      <c r="J804" t="str">
        <f>"protein coding gene"</f>
        <v>protein coding gene</v>
      </c>
    </row>
    <row r="805" spans="1:10">
      <c r="A805">
        <v>10567591</v>
      </c>
      <c r="B805">
        <v>1.72109926237592</v>
      </c>
      <c r="C805">
        <v>7.0835003140218997E-2</v>
      </c>
      <c r="E805" t="str">
        <f>"10567591"</f>
        <v>10567591</v>
      </c>
      <c r="F805" t="str">
        <f>""</f>
        <v/>
      </c>
      <c r="G805" t="str">
        <f>"No associated gene"</f>
        <v>No associated gene</v>
      </c>
    </row>
    <row r="806" spans="1:10">
      <c r="A806">
        <v>10478196</v>
      </c>
      <c r="B806">
        <v>1.71900589731721</v>
      </c>
      <c r="C806">
        <v>0.20216520197094301</v>
      </c>
      <c r="E806" t="str">
        <f>"10478196"</f>
        <v>10478196</v>
      </c>
      <c r="F806" t="str">
        <f>"Affy 1.0 ST"</f>
        <v>Affy 1.0 ST</v>
      </c>
      <c r="G806" t="str">
        <f>"MGI:98788"</f>
        <v>MGI:98788</v>
      </c>
      <c r="H806" t="str">
        <f>"Top1"</f>
        <v>Top1</v>
      </c>
      <c r="I806" t="str">
        <f>"topoisomerase (DNA) I"</f>
        <v>topoisomerase (DNA) I</v>
      </c>
      <c r="J806" t="str">
        <f>"protein coding gene"</f>
        <v>protein coding gene</v>
      </c>
    </row>
    <row r="807" spans="1:10">
      <c r="A807">
        <v>10434313</v>
      </c>
      <c r="B807">
        <v>1.7179130062747701</v>
      </c>
      <c r="C807">
        <v>0.18612691726174899</v>
      </c>
      <c r="E807" t="str">
        <f>"10434313"</f>
        <v>10434313</v>
      </c>
      <c r="F807" t="str">
        <f>"Affy 1.0 ST"</f>
        <v>Affy 1.0 ST</v>
      </c>
      <c r="G807" t="str">
        <f>"MGI:2447762"</f>
        <v>MGI:2447762</v>
      </c>
      <c r="H807" t="str">
        <f>"Yeats2"</f>
        <v>Yeats2</v>
      </c>
      <c r="I807" t="str">
        <f>"YEATS domain containing 2"</f>
        <v>YEATS domain containing 2</v>
      </c>
      <c r="J807" t="str">
        <f>"protein coding gene"</f>
        <v>protein coding gene</v>
      </c>
    </row>
    <row r="808" spans="1:10">
      <c r="A808">
        <v>10339023</v>
      </c>
      <c r="B808">
        <v>1.7151734828104901</v>
      </c>
      <c r="C808">
        <v>4.1290479013787899E-2</v>
      </c>
      <c r="E808" t="str">
        <f>"10339023"</f>
        <v>10339023</v>
      </c>
      <c r="F808" t="str">
        <f>""</f>
        <v/>
      </c>
      <c r="G808" t="str">
        <f>"No associated gene"</f>
        <v>No associated gene</v>
      </c>
    </row>
    <row r="809" spans="1:10">
      <c r="A809">
        <v>10607933</v>
      </c>
      <c r="B809">
        <v>1.71479020920481</v>
      </c>
      <c r="C809">
        <v>0.124862243526075</v>
      </c>
      <c r="E809" t="str">
        <f>"10607933"</f>
        <v>10607933</v>
      </c>
      <c r="F809" t="str">
        <f>"Affy 1.0 ST"</f>
        <v>Affy 1.0 ST</v>
      </c>
      <c r="G809" t="str">
        <f>"MGI:106911"</f>
        <v>MGI:106911</v>
      </c>
      <c r="H809" t="str">
        <f>"Hccs"</f>
        <v>Hccs</v>
      </c>
      <c r="I809" t="str">
        <f>"holocytochrome c synthetase"</f>
        <v>holocytochrome c synthetase</v>
      </c>
      <c r="J809" t="str">
        <f>"protein coding gene"</f>
        <v>protein coding gene</v>
      </c>
    </row>
    <row r="810" spans="1:10">
      <c r="A810">
        <v>10510176</v>
      </c>
      <c r="B810">
        <v>1.71286712461813</v>
      </c>
      <c r="C810">
        <v>0.121916951024597</v>
      </c>
      <c r="E810" t="str">
        <f>"10510176"</f>
        <v>10510176</v>
      </c>
      <c r="F810" t="str">
        <f>"Affy 1.0 ST"</f>
        <v>Affy 1.0 ST</v>
      </c>
      <c r="G810" t="str">
        <f>"MGI:2443330"</f>
        <v>MGI:2443330</v>
      </c>
      <c r="H810" t="str">
        <f>"Vmn2r-ps14"</f>
        <v>Vmn2r-ps14</v>
      </c>
      <c r="I810" t="s">
        <v>103</v>
      </c>
      <c r="J810" t="s">
        <v>133</v>
      </c>
    </row>
    <row r="811" spans="1:10">
      <c r="A811">
        <v>10590563</v>
      </c>
      <c r="B811">
        <v>1.7112026744116799</v>
      </c>
      <c r="C811">
        <v>0.151704904124459</v>
      </c>
      <c r="E811" t="str">
        <f>"10590563"</f>
        <v>10590563</v>
      </c>
      <c r="F811" t="str">
        <f>"Affy 1.0 ST"</f>
        <v>Affy 1.0 ST</v>
      </c>
      <c r="G811" t="str">
        <f>"MGI:2142973"</f>
        <v>MGI:2142973</v>
      </c>
      <c r="H811" t="str">
        <f>"Lars2"</f>
        <v>Lars2</v>
      </c>
      <c r="I811" t="s">
        <v>27</v>
      </c>
      <c r="J811" t="s">
        <v>155</v>
      </c>
    </row>
    <row r="812" spans="1:10">
      <c r="A812">
        <v>10343746</v>
      </c>
      <c r="B812">
        <v>1.7083001358881</v>
      </c>
      <c r="C812">
        <v>0.20349760800298999</v>
      </c>
      <c r="E812" t="str">
        <f>"10343746"</f>
        <v>10343746</v>
      </c>
      <c r="F812" t="str">
        <f>""</f>
        <v/>
      </c>
      <c r="G812" t="str">
        <f>"No associated gene"</f>
        <v>No associated gene</v>
      </c>
    </row>
    <row r="813" spans="1:10">
      <c r="A813">
        <v>10343769</v>
      </c>
      <c r="B813">
        <v>1.7073225221636099</v>
      </c>
      <c r="C813">
        <v>0.16866139781485201</v>
      </c>
      <c r="E813" t="str">
        <f>"10343769"</f>
        <v>10343769</v>
      </c>
      <c r="F813" t="str">
        <f>""</f>
        <v/>
      </c>
      <c r="G813" t="str">
        <f>"No associated gene"</f>
        <v>No associated gene</v>
      </c>
    </row>
    <row r="814" spans="1:10">
      <c r="A814">
        <v>10369867</v>
      </c>
      <c r="B814">
        <v>1.70447604929823</v>
      </c>
      <c r="C814">
        <v>0.156990768172349</v>
      </c>
      <c r="E814" t="str">
        <f>"10369867"</f>
        <v>10369867</v>
      </c>
      <c r="F814" t="str">
        <f t="shared" ref="F814:F819" si="54">"Affy 1.0 ST"</f>
        <v>Affy 1.0 ST</v>
      </c>
      <c r="G814" t="str">
        <f>"MGI:107810"</f>
        <v>MGI:107810</v>
      </c>
      <c r="H814" t="str">
        <f>"Tfam"</f>
        <v>Tfam</v>
      </c>
      <c r="I814" t="s">
        <v>28</v>
      </c>
      <c r="J814" t="s">
        <v>155</v>
      </c>
    </row>
    <row r="815" spans="1:10">
      <c r="A815">
        <v>10490225</v>
      </c>
      <c r="B815">
        <v>1.7038184752879699</v>
      </c>
      <c r="C815">
        <v>8.8596444409505606E-2</v>
      </c>
      <c r="E815" t="str">
        <f>"10490225"</f>
        <v>10490225</v>
      </c>
      <c r="F815" t="str">
        <f t="shared" si="54"/>
        <v>Affy 1.0 ST</v>
      </c>
      <c r="G815" t="str">
        <f>"MGI:1913640"</f>
        <v>MGI:1913640</v>
      </c>
      <c r="H815" t="str">
        <f>"Slmo2"</f>
        <v>Slmo2</v>
      </c>
      <c r="I815" t="str">
        <f>"slowmo homolog 2 (Drosophila)"</f>
        <v>slowmo homolog 2 (Drosophila)</v>
      </c>
      <c r="J815" t="str">
        <f>"protein coding gene"</f>
        <v>protein coding gene</v>
      </c>
    </row>
    <row r="816" spans="1:10">
      <c r="A816">
        <v>10562578</v>
      </c>
      <c r="B816">
        <v>1.70287913789297</v>
      </c>
      <c r="C816">
        <v>7.5005189687419094E-2</v>
      </c>
      <c r="E816" t="str">
        <f>"10562578"</f>
        <v>10562578</v>
      </c>
      <c r="F816" t="str">
        <f t="shared" si="54"/>
        <v>Affy 1.0 ST</v>
      </c>
      <c r="G816" t="str">
        <f>"MGI:1913411"</f>
        <v>MGI:1913411</v>
      </c>
      <c r="H816" t="str">
        <f>"Pop4"</f>
        <v>Pop4</v>
      </c>
      <c r="I816" t="s">
        <v>29</v>
      </c>
      <c r="J816" t="s">
        <v>155</v>
      </c>
    </row>
    <row r="817" spans="1:10">
      <c r="A817">
        <v>10376603</v>
      </c>
      <c r="B817">
        <v>1.7027312680475299</v>
      </c>
      <c r="C817">
        <v>0.19154429151713401</v>
      </c>
      <c r="E817" t="str">
        <f>"10376603"</f>
        <v>10376603</v>
      </c>
      <c r="F817" t="str">
        <f t="shared" si="54"/>
        <v>Affy 1.0 ST</v>
      </c>
      <c r="G817" t="str">
        <f>"MGI:1342307"</f>
        <v>MGI:1342307</v>
      </c>
      <c r="H817" t="str">
        <f>"Drg2"</f>
        <v>Drg2</v>
      </c>
      <c r="I817" t="str">
        <f>"developmentally regulated GTP binding protein 2"</f>
        <v>developmentally regulated GTP binding protein 2</v>
      </c>
      <c r="J817" t="str">
        <f>"protein coding gene"</f>
        <v>protein coding gene</v>
      </c>
    </row>
    <row r="818" spans="1:10">
      <c r="A818">
        <v>10369661</v>
      </c>
      <c r="B818">
        <v>1.7005337510155001</v>
      </c>
      <c r="C818">
        <v>0.13876494717888399</v>
      </c>
      <c r="E818" t="str">
        <f>"10369661"</f>
        <v>10369661</v>
      </c>
      <c r="F818" t="str">
        <f t="shared" si="54"/>
        <v>Affy 1.0 ST</v>
      </c>
      <c r="G818" t="str">
        <f>"MGI:1914750"</f>
        <v>MGI:1914750</v>
      </c>
      <c r="H818" t="str">
        <f>"Ccar1"</f>
        <v>Ccar1</v>
      </c>
      <c r="I818" t="str">
        <f>"cell division cycle and apoptosis regulator 1"</f>
        <v>cell division cycle and apoptosis regulator 1</v>
      </c>
      <c r="J818" t="str">
        <f>"protein coding gene"</f>
        <v>protein coding gene</v>
      </c>
    </row>
    <row r="819" spans="1:10">
      <c r="A819">
        <v>10397717</v>
      </c>
      <c r="B819">
        <v>1.69949651704229</v>
      </c>
      <c r="C819">
        <v>9.9160581636075204E-2</v>
      </c>
      <c r="E819" t="str">
        <f>"10397717"</f>
        <v>10397717</v>
      </c>
      <c r="F819" t="str">
        <f t="shared" si="54"/>
        <v>Affy 1.0 ST</v>
      </c>
      <c r="G819" t="str">
        <f>"MGI:1920036"</f>
        <v>MGI:1920036</v>
      </c>
      <c r="H819" t="str">
        <f>"Tdp1"</f>
        <v>Tdp1</v>
      </c>
      <c r="I819" t="str">
        <f>"tyrosyl-DNA phosphodiesterase 1"</f>
        <v>tyrosyl-DNA phosphodiesterase 1</v>
      </c>
      <c r="J819" t="str">
        <f>"protein coding gene"</f>
        <v>protein coding gene</v>
      </c>
    </row>
    <row r="820" spans="1:10">
      <c r="A820">
        <v>10339153</v>
      </c>
      <c r="B820">
        <v>1.6991415449443701</v>
      </c>
      <c r="C820">
        <v>0.105807155715235</v>
      </c>
      <c r="E820" t="str">
        <f>"10339153"</f>
        <v>10339153</v>
      </c>
      <c r="F820" t="str">
        <f>""</f>
        <v/>
      </c>
      <c r="G820" t="str">
        <f>"No associated gene"</f>
        <v>No associated gene</v>
      </c>
    </row>
    <row r="821" spans="1:10">
      <c r="A821">
        <v>10538214</v>
      </c>
      <c r="B821">
        <v>1.696980667154</v>
      </c>
      <c r="C821">
        <v>0.13192845826890301</v>
      </c>
      <c r="E821" t="str">
        <f>"10538214"</f>
        <v>10538214</v>
      </c>
      <c r="F821" t="str">
        <f t="shared" ref="F821:F826" si="55">"Affy 1.0 ST"</f>
        <v>Affy 1.0 ST</v>
      </c>
      <c r="G821" t="str">
        <f>"MGI:2442161"</f>
        <v>MGI:2442161</v>
      </c>
      <c r="H821" t="str">
        <f>"D330028D13Rik"</f>
        <v>D330028D13Rik</v>
      </c>
      <c r="I821" t="str">
        <f>"RIKEN cDNA D330028D13 gene"</f>
        <v>RIKEN cDNA D330028D13 gene</v>
      </c>
      <c r="J821" t="str">
        <f>"protein coding gene"</f>
        <v>protein coding gene</v>
      </c>
    </row>
    <row r="822" spans="1:10">
      <c r="A822">
        <v>10573266</v>
      </c>
      <c r="B822">
        <v>1.6924405496563399</v>
      </c>
      <c r="C822">
        <v>9.0735676929701997E-2</v>
      </c>
      <c r="E822" t="str">
        <f>"10573266"</f>
        <v>10573266</v>
      </c>
      <c r="F822" t="str">
        <f t="shared" si="55"/>
        <v>Affy 1.0 ST</v>
      </c>
      <c r="G822" t="str">
        <f>"MGI:97592"</f>
        <v>MGI:97592</v>
      </c>
      <c r="H822" t="str">
        <f>"Prkaca"</f>
        <v>Prkaca</v>
      </c>
      <c r="I822" t="s">
        <v>30</v>
      </c>
      <c r="J822" t="s">
        <v>155</v>
      </c>
    </row>
    <row r="823" spans="1:10">
      <c r="A823">
        <v>10491279</v>
      </c>
      <c r="B823">
        <v>1.6920771386465501</v>
      </c>
      <c r="C823">
        <v>0.14083606197137299</v>
      </c>
      <c r="E823" t="str">
        <f>"10491279"</f>
        <v>10491279</v>
      </c>
      <c r="F823" t="str">
        <f t="shared" si="55"/>
        <v>Affy 1.0 ST</v>
      </c>
      <c r="G823" t="str">
        <f>"MGI:99260"</f>
        <v>MGI:99260</v>
      </c>
      <c r="H823" t="str">
        <f>"Prkci"</f>
        <v>Prkci</v>
      </c>
      <c r="I823" t="s">
        <v>31</v>
      </c>
      <c r="J823" t="s">
        <v>155</v>
      </c>
    </row>
    <row r="824" spans="1:10">
      <c r="A824">
        <v>10482323</v>
      </c>
      <c r="B824">
        <v>1.69131670482741</v>
      </c>
      <c r="C824">
        <v>0.122169130674031</v>
      </c>
      <c r="E824" t="str">
        <f>"10482323"</f>
        <v>10482323</v>
      </c>
      <c r="F824" t="str">
        <f t="shared" si="55"/>
        <v>Affy 1.0 ST</v>
      </c>
      <c r="G824" t="str">
        <f>"MGI:1915107"</f>
        <v>MGI:1915107</v>
      </c>
      <c r="H824" t="str">
        <f>"Ppp6c"</f>
        <v>Ppp6c</v>
      </c>
      <c r="I824" t="s">
        <v>32</v>
      </c>
      <c r="J824" t="s">
        <v>155</v>
      </c>
    </row>
    <row r="825" spans="1:10">
      <c r="A825">
        <v>10480605</v>
      </c>
      <c r="B825">
        <v>1.6868008495479501</v>
      </c>
      <c r="C825">
        <v>8.1073545853337203E-2</v>
      </c>
      <c r="E825" t="str">
        <f>"10480605"</f>
        <v>10480605</v>
      </c>
      <c r="F825" t="str">
        <f t="shared" si="55"/>
        <v>Affy 1.0 ST</v>
      </c>
      <c r="G825" t="str">
        <f>"MGI:1931035"</f>
        <v>MGI:1931035</v>
      </c>
      <c r="H825" t="str">
        <f>"Cobra1"</f>
        <v>Cobra1</v>
      </c>
      <c r="I825" t="str">
        <f>"cofactor of BRCA1"</f>
        <v>cofactor of BRCA1</v>
      </c>
      <c r="J825" t="str">
        <f>"protein coding gene"</f>
        <v>protein coding gene</v>
      </c>
    </row>
    <row r="826" spans="1:10">
      <c r="A826">
        <v>10505276</v>
      </c>
      <c r="B826">
        <v>1.68579431881775</v>
      </c>
      <c r="C826">
        <v>4.71870259493729E-2</v>
      </c>
      <c r="E826" t="str">
        <f>"10505276"</f>
        <v>10505276</v>
      </c>
      <c r="F826" t="str">
        <f t="shared" si="55"/>
        <v>Affy 1.0 ST</v>
      </c>
      <c r="G826" t="str">
        <f>"MGI:1333843"</f>
        <v>MGI:1333843</v>
      </c>
      <c r="H826" t="str">
        <f>"Slc31a1"</f>
        <v>Slc31a1</v>
      </c>
      <c r="I826" t="s">
        <v>33</v>
      </c>
      <c r="J826" t="s">
        <v>155</v>
      </c>
    </row>
    <row r="827" spans="1:10">
      <c r="A827">
        <v>10343227</v>
      </c>
      <c r="B827">
        <v>1.6841293303173099</v>
      </c>
      <c r="C827">
        <v>1.3609106643627199E-2</v>
      </c>
      <c r="E827" t="str">
        <f>"10343227"</f>
        <v>10343227</v>
      </c>
      <c r="F827" t="str">
        <f>""</f>
        <v/>
      </c>
      <c r="G827" t="str">
        <f>"No associated gene"</f>
        <v>No associated gene</v>
      </c>
    </row>
    <row r="828" spans="1:10">
      <c r="A828">
        <v>10340920</v>
      </c>
      <c r="B828">
        <v>1.6825464032111901</v>
      </c>
      <c r="C828">
        <v>3.2268132570648998E-2</v>
      </c>
      <c r="E828" t="str">
        <f>"10340920"</f>
        <v>10340920</v>
      </c>
      <c r="F828" t="str">
        <f>""</f>
        <v/>
      </c>
      <c r="G828" t="str">
        <f>"No associated gene"</f>
        <v>No associated gene</v>
      </c>
    </row>
    <row r="829" spans="1:10">
      <c r="A829">
        <v>10573578</v>
      </c>
      <c r="B829">
        <v>1.68161045676647</v>
      </c>
      <c r="C829">
        <v>0.124520724336664</v>
      </c>
      <c r="E829" t="str">
        <f>"10573578"</f>
        <v>10573578</v>
      </c>
      <c r="F829" t="str">
        <f>"Affy 1.0 ST"</f>
        <v>Affy 1.0 ST</v>
      </c>
      <c r="G829" t="str">
        <f>"MGI:3041257"</f>
        <v>MGI:3041257</v>
      </c>
      <c r="H829" t="str">
        <f>"BC056474"</f>
        <v>BC056474</v>
      </c>
      <c r="I829" t="str">
        <f>"cDNA sequence BC056474"</f>
        <v>cDNA sequence BC056474</v>
      </c>
      <c r="J829" t="str">
        <f>"protein coding gene"</f>
        <v>protein coding gene</v>
      </c>
    </row>
    <row r="830" spans="1:10">
      <c r="A830">
        <v>10344126</v>
      </c>
      <c r="B830">
        <v>1.68082916293207</v>
      </c>
      <c r="C830">
        <v>8.2112331450981305E-2</v>
      </c>
      <c r="E830" t="str">
        <f>"10344126"</f>
        <v>10344126</v>
      </c>
      <c r="F830" t="str">
        <f>""</f>
        <v/>
      </c>
      <c r="G830" t="str">
        <f>"No associated gene"</f>
        <v>No associated gene</v>
      </c>
    </row>
    <row r="831" spans="1:10">
      <c r="A831">
        <v>10480672</v>
      </c>
      <c r="B831">
        <v>1.6805470283700901</v>
      </c>
      <c r="C831">
        <v>9.3098489574579293E-2</v>
      </c>
      <c r="E831" t="str">
        <f>"10480672"</f>
        <v>10480672</v>
      </c>
      <c r="F831" t="str">
        <f t="shared" ref="F831:F844" si="56">"Affy 1.0 ST"</f>
        <v>Affy 1.0 ST</v>
      </c>
      <c r="G831" t="str">
        <f>"MGI:1915725"</f>
        <v>MGI:1915725</v>
      </c>
      <c r="H831" t="str">
        <f>"Ssna1"</f>
        <v>Ssna1</v>
      </c>
      <c r="I831" t="str">
        <f>"Sjogren's syndrome nuclear autoantigen 1"</f>
        <v>Sjogren's syndrome nuclear autoantigen 1</v>
      </c>
      <c r="J831" t="str">
        <f>"protein coding gene"</f>
        <v>protein coding gene</v>
      </c>
    </row>
    <row r="832" spans="1:10">
      <c r="A832">
        <v>10473793</v>
      </c>
      <c r="B832">
        <v>1.6791096256840099</v>
      </c>
      <c r="C832">
        <v>9.1647370049696197E-2</v>
      </c>
      <c r="E832" t="str">
        <f>"10473793"</f>
        <v>10473793</v>
      </c>
      <c r="F832" t="str">
        <f t="shared" si="56"/>
        <v>Affy 1.0 ST</v>
      </c>
      <c r="G832" t="str">
        <f>"MGI:1098754"</f>
        <v>MGI:1098754</v>
      </c>
      <c r="H832" t="str">
        <f>"Psmc3"</f>
        <v>Psmc3</v>
      </c>
      <c r="I832" t="s">
        <v>34</v>
      </c>
      <c r="J832" t="s">
        <v>155</v>
      </c>
    </row>
    <row r="833" spans="1:10">
      <c r="A833">
        <v>10418247</v>
      </c>
      <c r="B833">
        <v>1.6757268586591401</v>
      </c>
      <c r="C833">
        <v>0.12595078371466201</v>
      </c>
      <c r="E833" t="str">
        <f>"10418247"</f>
        <v>10418247</v>
      </c>
      <c r="F833" t="str">
        <f t="shared" si="56"/>
        <v>Affy 1.0 ST</v>
      </c>
      <c r="G833" t="str">
        <f>"MGI:2443226"</f>
        <v>MGI:2443226</v>
      </c>
      <c r="H833" t="str">
        <f>"Pde12"</f>
        <v>Pde12</v>
      </c>
      <c r="I833" t="str">
        <f>"phosphodiesterase 12"</f>
        <v>phosphodiesterase 12</v>
      </c>
      <c r="J833" t="str">
        <f>"protein coding gene"</f>
        <v>protein coding gene</v>
      </c>
    </row>
    <row r="834" spans="1:10">
      <c r="A834">
        <v>10448030</v>
      </c>
      <c r="B834">
        <v>1.67018937135333</v>
      </c>
      <c r="C834">
        <v>0.15282204637633701</v>
      </c>
      <c r="E834" t="str">
        <f>"10448030"</f>
        <v>10448030</v>
      </c>
      <c r="F834" t="str">
        <f t="shared" si="56"/>
        <v>Affy 1.0 ST</v>
      </c>
      <c r="G834" t="str">
        <f>"MGI:3644727"</f>
        <v>MGI:3644727</v>
      </c>
      <c r="H834" t="str">
        <f>"Gm7423"</f>
        <v>Gm7423</v>
      </c>
      <c r="I834" t="str">
        <f>"predicted gene 7423"</f>
        <v>predicted gene 7423</v>
      </c>
      <c r="J834" t="str">
        <f>"pseudogene"</f>
        <v>pseudogene</v>
      </c>
    </row>
    <row r="835" spans="1:10">
      <c r="A835">
        <v>10423185</v>
      </c>
      <c r="B835">
        <v>1.6701606702287399</v>
      </c>
      <c r="C835">
        <v>0.115175770585075</v>
      </c>
      <c r="E835" t="str">
        <f>"10423185"</f>
        <v>10423185</v>
      </c>
      <c r="F835" t="str">
        <f t="shared" si="56"/>
        <v>Affy 1.0 ST</v>
      </c>
      <c r="G835" t="str">
        <f>"MGI:1261425"</f>
        <v>MGI:1261425</v>
      </c>
      <c r="H835" t="str">
        <f>"Drosha"</f>
        <v>Drosha</v>
      </c>
      <c r="I835" t="s">
        <v>35</v>
      </c>
      <c r="J835" t="s">
        <v>155</v>
      </c>
    </row>
    <row r="836" spans="1:10">
      <c r="A836">
        <v>10375941</v>
      </c>
      <c r="B836">
        <v>1.6698961117075899</v>
      </c>
      <c r="C836">
        <v>0.111348461830865</v>
      </c>
      <c r="E836" t="str">
        <f>"10375941"</f>
        <v>10375941</v>
      </c>
      <c r="F836" t="str">
        <f t="shared" si="56"/>
        <v>Affy 1.0 ST</v>
      </c>
      <c r="G836" t="str">
        <f>"MGI:106919"</f>
        <v>MGI:106919</v>
      </c>
      <c r="H836" t="str">
        <f>"Vdac1"</f>
        <v>Vdac1</v>
      </c>
      <c r="I836" t="str">
        <f>"voltage-dependent anion channel 1"</f>
        <v>voltage-dependent anion channel 1</v>
      </c>
      <c r="J836" t="str">
        <f>"protein coding gene"</f>
        <v>protein coding gene</v>
      </c>
    </row>
    <row r="837" spans="1:10">
      <c r="A837">
        <v>10551841</v>
      </c>
      <c r="B837">
        <v>1.6675357919365199</v>
      </c>
      <c r="C837">
        <v>9.9593814621916493E-2</v>
      </c>
      <c r="E837" t="str">
        <f>"10551841"</f>
        <v>10551841</v>
      </c>
      <c r="F837" t="str">
        <f t="shared" si="56"/>
        <v>Affy 1.0 ST</v>
      </c>
      <c r="G837" t="str">
        <f>"MGI:1917170"</f>
        <v>MGI:1917170</v>
      </c>
      <c r="H837" t="str">
        <f>"Polr2i"</f>
        <v>Polr2i</v>
      </c>
      <c r="I837" t="str">
        <f>"polymerase (RNA) II (DNA directed) polypeptide I"</f>
        <v>polymerase (RNA) II (DNA directed) polypeptide I</v>
      </c>
      <c r="J837" t="str">
        <f>"protein coding gene"</f>
        <v>protein coding gene</v>
      </c>
    </row>
    <row r="838" spans="1:10">
      <c r="A838">
        <v>10552337</v>
      </c>
      <c r="B838">
        <v>1.66573948738024</v>
      </c>
      <c r="C838">
        <v>9.6817988495250099E-2</v>
      </c>
      <c r="E838" t="str">
        <f>"10552337"</f>
        <v>10552337</v>
      </c>
      <c r="F838" t="str">
        <f t="shared" si="56"/>
        <v>Affy 1.0 ST</v>
      </c>
      <c r="G838" t="str">
        <f>"MGI:3648695"</f>
        <v>MGI:3648695</v>
      </c>
      <c r="H838" t="str">
        <f>"Hmg1l1"</f>
        <v>Hmg1l1</v>
      </c>
      <c r="I838" t="str">
        <f>"high-mobility group (nonhistone chromosomal) protein 1-like 1"</f>
        <v>high-mobility group (nonhistone chromosomal) protein 1-like 1</v>
      </c>
      <c r="J838" t="str">
        <f>"protein coding gene"</f>
        <v>protein coding gene</v>
      </c>
    </row>
    <row r="839" spans="1:10">
      <c r="A839">
        <v>10585625</v>
      </c>
      <c r="B839">
        <v>1.66514850880576</v>
      </c>
      <c r="C839">
        <v>7.5366261057497594E-2</v>
      </c>
      <c r="E839" t="str">
        <f>"10585625"</f>
        <v>10585625</v>
      </c>
      <c r="F839" t="str">
        <f t="shared" si="56"/>
        <v>Affy 1.0 ST</v>
      </c>
      <c r="G839" t="str">
        <f>"MGI:107157"</f>
        <v>MGI:107157</v>
      </c>
      <c r="H839" t="str">
        <f>"Sin3a"</f>
        <v>Sin3a</v>
      </c>
      <c r="I839" t="s">
        <v>36</v>
      </c>
      <c r="J839" t="s">
        <v>155</v>
      </c>
    </row>
    <row r="840" spans="1:10">
      <c r="A840">
        <v>10545346</v>
      </c>
      <c r="B840">
        <v>1.6646681082036601</v>
      </c>
      <c r="C840">
        <v>0.16469150022376</v>
      </c>
      <c r="E840" t="str">
        <f>"10545346"</f>
        <v>10545346</v>
      </c>
      <c r="F840" t="str">
        <f t="shared" si="56"/>
        <v>Affy 1.0 ST</v>
      </c>
      <c r="G840" t="str">
        <f>"MGI:1917206"</f>
        <v>MGI:1917206</v>
      </c>
      <c r="H840" t="str">
        <f>"Ptcd3"</f>
        <v>Ptcd3</v>
      </c>
      <c r="I840" t="str">
        <f>"pentatricopeptide repeat domain 3"</f>
        <v>pentatricopeptide repeat domain 3</v>
      </c>
      <c r="J840" t="str">
        <f>"protein coding gene"</f>
        <v>protein coding gene</v>
      </c>
    </row>
    <row r="841" spans="1:10">
      <c r="A841">
        <v>10452228</v>
      </c>
      <c r="B841">
        <v>1.6642191078122099</v>
      </c>
      <c r="C841">
        <v>3.12725004811341E-2</v>
      </c>
      <c r="E841" t="str">
        <f>"10452228"</f>
        <v>10452228</v>
      </c>
      <c r="F841" t="str">
        <f t="shared" si="56"/>
        <v>Affy 1.0 ST</v>
      </c>
      <c r="G841" t="str">
        <f>"MGI:1336214"</f>
        <v>MGI:1336214</v>
      </c>
      <c r="H841" t="str">
        <f>"Khsrp"</f>
        <v>Khsrp</v>
      </c>
      <c r="I841" t="str">
        <f>"KH-type splicing regulatory protein"</f>
        <v>KH-type splicing regulatory protein</v>
      </c>
      <c r="J841" t="str">
        <f>"protein coding gene"</f>
        <v>protein coding gene</v>
      </c>
    </row>
    <row r="842" spans="1:10">
      <c r="A842">
        <v>10549057</v>
      </c>
      <c r="B842">
        <v>1.6638270996537601</v>
      </c>
      <c r="C842">
        <v>0.161302556749707</v>
      </c>
      <c r="E842" t="str">
        <f>"10549057"</f>
        <v>10549057</v>
      </c>
      <c r="F842" t="str">
        <f t="shared" si="56"/>
        <v>Affy 1.0 ST</v>
      </c>
      <c r="G842" t="str">
        <f>"MGI:103021"</f>
        <v>MGI:103021</v>
      </c>
      <c r="H842" t="str">
        <f>"Recql"</f>
        <v>Recql</v>
      </c>
      <c r="I842" t="str">
        <f>"RecQ protein-like"</f>
        <v>RecQ protein-like</v>
      </c>
      <c r="J842" t="str">
        <f>"protein coding gene"</f>
        <v>protein coding gene</v>
      </c>
    </row>
    <row r="843" spans="1:10">
      <c r="A843">
        <v>10606217</v>
      </c>
      <c r="B843">
        <v>1.66234815207237</v>
      </c>
      <c r="C843">
        <v>0.116966574283509</v>
      </c>
      <c r="E843" t="str">
        <f>"10606217"</f>
        <v>10606217</v>
      </c>
      <c r="F843" t="str">
        <f t="shared" si="56"/>
        <v>Affy 1.0 ST</v>
      </c>
      <c r="G843" t="str">
        <f>"MGI:109533"</f>
        <v>MGI:109533</v>
      </c>
      <c r="H843" t="str">
        <f>"Abcb7"</f>
        <v>Abcb7</v>
      </c>
      <c r="I843" t="s">
        <v>37</v>
      </c>
      <c r="J843" t="s">
        <v>155</v>
      </c>
    </row>
    <row r="844" spans="1:10">
      <c r="A844">
        <v>10534441</v>
      </c>
      <c r="B844">
        <v>1.6598576870186601</v>
      </c>
      <c r="C844">
        <v>8.9247540991808996E-2</v>
      </c>
      <c r="E844" t="str">
        <f>"10534441"</f>
        <v>10534441</v>
      </c>
      <c r="F844" t="str">
        <f t="shared" si="56"/>
        <v>Affy 1.0 ST</v>
      </c>
      <c r="G844" t="str">
        <f>"MGI:2137624"</f>
        <v>MGI:2137624</v>
      </c>
      <c r="H844" t="str">
        <f>"Pom121"</f>
        <v>Pom121</v>
      </c>
      <c r="I844" t="str">
        <f>"nuclear pore membrane protein 121"</f>
        <v>nuclear pore membrane protein 121</v>
      </c>
      <c r="J844" t="str">
        <f>"protein coding gene"</f>
        <v>protein coding gene</v>
      </c>
    </row>
    <row r="845" spans="1:10">
      <c r="A845">
        <v>10339754</v>
      </c>
      <c r="B845">
        <v>1.6590551586567499</v>
      </c>
      <c r="C845">
        <v>0.12547522047899401</v>
      </c>
      <c r="E845" t="str">
        <f>"10339754"</f>
        <v>10339754</v>
      </c>
      <c r="F845" t="str">
        <f>""</f>
        <v/>
      </c>
      <c r="G845" t="str">
        <f>"No associated gene"</f>
        <v>No associated gene</v>
      </c>
    </row>
    <row r="846" spans="1:10">
      <c r="A846">
        <v>10580550</v>
      </c>
      <c r="B846">
        <v>1.65876339806874</v>
      </c>
      <c r="C846">
        <v>0.134189674821727</v>
      </c>
      <c r="E846" t="str">
        <f>"10580550"</f>
        <v>10580550</v>
      </c>
      <c r="F846" t="str">
        <f t="shared" ref="F846:F858" si="57">"Affy 1.0 ST"</f>
        <v>Affy 1.0 ST</v>
      </c>
      <c r="G846" t="str">
        <f>"MGI:1920563"</f>
        <v>MGI:1920563</v>
      </c>
      <c r="H846" t="str">
        <f>"Rpgrip1l"</f>
        <v>Rpgrip1l</v>
      </c>
      <c r="I846" t="str">
        <f>"Rpgrip1-like"</f>
        <v>Rpgrip1-like</v>
      </c>
      <c r="J846" t="str">
        <f>"protein coding gene"</f>
        <v>protein coding gene</v>
      </c>
    </row>
    <row r="847" spans="1:10">
      <c r="A847">
        <v>10503534</v>
      </c>
      <c r="B847">
        <v>1.6572780171658501</v>
      </c>
      <c r="C847">
        <v>0.12888152646357501</v>
      </c>
      <c r="E847" t="str">
        <f>"10503534"</f>
        <v>10503534</v>
      </c>
      <c r="F847" t="str">
        <f t="shared" si="57"/>
        <v>Affy 1.0 ST</v>
      </c>
      <c r="G847" t="str">
        <f>"MGI:1858199"</f>
        <v>MGI:1858199</v>
      </c>
      <c r="H847" t="str">
        <f>"Ccnc"</f>
        <v>Ccnc</v>
      </c>
      <c r="I847" t="str">
        <f>"cyclin C"</f>
        <v>cyclin C</v>
      </c>
      <c r="J847" t="str">
        <f>"protein coding gene"</f>
        <v>protein coding gene</v>
      </c>
    </row>
    <row r="848" spans="1:10">
      <c r="A848">
        <v>10534694</v>
      </c>
      <c r="B848">
        <v>1.6547007053712599</v>
      </c>
      <c r="C848">
        <v>9.9806830210269495E-2</v>
      </c>
      <c r="E848" t="str">
        <f>"10534694"</f>
        <v>10534694</v>
      </c>
      <c r="F848" t="str">
        <f t="shared" si="57"/>
        <v>Affy 1.0 ST</v>
      </c>
      <c r="G848" t="str">
        <f>"MGI:1933527"</f>
        <v>MGI:1933527</v>
      </c>
      <c r="H848" t="str">
        <f>"Srrt"</f>
        <v>Srrt</v>
      </c>
      <c r="I848" t="str">
        <f>"serrate RNA effector molecule homolog (Arabidopsis)"</f>
        <v>serrate RNA effector molecule homolog (Arabidopsis)</v>
      </c>
      <c r="J848" t="str">
        <f>"protein coding gene"</f>
        <v>protein coding gene</v>
      </c>
    </row>
    <row r="849" spans="1:10">
      <c r="A849">
        <v>10539026</v>
      </c>
      <c r="B849">
        <v>1.6513245544948401</v>
      </c>
      <c r="C849">
        <v>0.13381791675749899</v>
      </c>
      <c r="E849" t="str">
        <f>"10539026"</f>
        <v>10539026</v>
      </c>
      <c r="F849" t="str">
        <f t="shared" si="57"/>
        <v>Affy 1.0 ST</v>
      </c>
      <c r="G849" t="str">
        <f>"MGI:1923864"</f>
        <v>MGI:1923864</v>
      </c>
      <c r="H849" t="str">
        <f>"Immt"</f>
        <v>Immt</v>
      </c>
      <c r="I849" t="s">
        <v>38</v>
      </c>
      <c r="J849" t="s">
        <v>155</v>
      </c>
    </row>
    <row r="850" spans="1:10">
      <c r="A850">
        <v>10485656</v>
      </c>
      <c r="B850">
        <v>1.6488108963144901</v>
      </c>
      <c r="C850">
        <v>4.7013276049508002E-2</v>
      </c>
      <c r="E850" t="str">
        <f>"10485656"</f>
        <v>10485656</v>
      </c>
      <c r="F850" t="str">
        <f t="shared" si="57"/>
        <v>Affy 1.0 ST</v>
      </c>
      <c r="G850" t="str">
        <f>"MGI:1925016"</f>
        <v>MGI:1925016</v>
      </c>
      <c r="H850" t="str">
        <f>"Elp4"</f>
        <v>Elp4</v>
      </c>
      <c r="I850" t="str">
        <f>"elongation protein 4 homolog (S. cerevisiae)"</f>
        <v>elongation protein 4 homolog (S. cerevisiae)</v>
      </c>
      <c r="J850" t="str">
        <f>"protein coding gene"</f>
        <v>protein coding gene</v>
      </c>
    </row>
    <row r="851" spans="1:10">
      <c r="A851">
        <v>10466317</v>
      </c>
      <c r="B851">
        <v>1.6432995893275399</v>
      </c>
      <c r="C851">
        <v>0.120114546966199</v>
      </c>
      <c r="E851" t="str">
        <f>"10466317"</f>
        <v>10466317</v>
      </c>
      <c r="F851" t="str">
        <f t="shared" si="57"/>
        <v>Affy 1.0 ST</v>
      </c>
      <c r="G851" t="str">
        <f>"MGI:104854"</f>
        <v>MGI:104854</v>
      </c>
      <c r="H851" t="str">
        <f>"Zfp91"</f>
        <v>Zfp91</v>
      </c>
      <c r="I851" t="str">
        <f>"zinc finger protein 91"</f>
        <v>zinc finger protein 91</v>
      </c>
      <c r="J851" t="str">
        <f>"protein coding gene"</f>
        <v>protein coding gene</v>
      </c>
    </row>
    <row r="852" spans="1:10">
      <c r="A852">
        <v>10490078</v>
      </c>
      <c r="B852">
        <v>1.6432620215679601</v>
      </c>
      <c r="C852">
        <v>7.8784815773358496E-2</v>
      </c>
      <c r="E852" t="str">
        <f>"10490078"</f>
        <v>10490078</v>
      </c>
      <c r="F852" t="str">
        <f t="shared" si="57"/>
        <v>Affy 1.0 ST</v>
      </c>
      <c r="G852" t="str">
        <f>"MGI:1197010"</f>
        <v>MGI:1197010</v>
      </c>
      <c r="H852" t="str">
        <f>"Sumo1"</f>
        <v>Sumo1</v>
      </c>
      <c r="I852" t="str">
        <f>"SMT3 suppressor of mif two 3 homolog 1 (yeast)"</f>
        <v>SMT3 suppressor of mif two 3 homolog 1 (yeast)</v>
      </c>
      <c r="J852" t="str">
        <f>"protein coding gene"</f>
        <v>protein coding gene</v>
      </c>
    </row>
    <row r="853" spans="1:10">
      <c r="A853">
        <v>10402795</v>
      </c>
      <c r="B853">
        <v>1.6410715697334</v>
      </c>
      <c r="C853">
        <v>0.14201469972604799</v>
      </c>
      <c r="E853" t="str">
        <f>"10402795"</f>
        <v>10402795</v>
      </c>
      <c r="F853" t="str">
        <f t="shared" si="57"/>
        <v>Affy 1.0 ST</v>
      </c>
      <c r="G853" t="str">
        <f>"MGI:1919213"</f>
        <v>MGI:1919213</v>
      </c>
      <c r="H853" t="str">
        <f>"Cdca4"</f>
        <v>Cdca4</v>
      </c>
      <c r="I853" t="str">
        <f>"cell division cycle associated 4"</f>
        <v>cell division cycle associated 4</v>
      </c>
      <c r="J853" t="str">
        <f>"protein coding gene"</f>
        <v>protein coding gene</v>
      </c>
    </row>
    <row r="854" spans="1:10">
      <c r="A854">
        <v>10379034</v>
      </c>
      <c r="B854">
        <v>1.64046643954247</v>
      </c>
      <c r="C854">
        <v>0.11308316985622099</v>
      </c>
      <c r="E854" t="str">
        <f>"10379034"</f>
        <v>10379034</v>
      </c>
      <c r="F854" t="str">
        <f t="shared" si="57"/>
        <v>Affy 1.0 ST</v>
      </c>
      <c r="G854" t="str">
        <f>"MGI:1915572"</f>
        <v>MGI:1915572</v>
      </c>
      <c r="H854" t="str">
        <f>"Tlcd1"</f>
        <v>Tlcd1</v>
      </c>
      <c r="I854" t="str">
        <f>"TLC domain containing 1"</f>
        <v>TLC domain containing 1</v>
      </c>
      <c r="J854" t="str">
        <f>"protein coding gene"</f>
        <v>protein coding gene</v>
      </c>
    </row>
    <row r="855" spans="1:10">
      <c r="A855">
        <v>10576873</v>
      </c>
      <c r="B855">
        <v>1.6323979014218699</v>
      </c>
      <c r="C855">
        <v>5.5627094048438998E-2</v>
      </c>
      <c r="E855" t="str">
        <f>"10576873"</f>
        <v>10576873</v>
      </c>
      <c r="F855" t="str">
        <f t="shared" si="57"/>
        <v>Affy 1.0 ST</v>
      </c>
      <c r="G855" t="str">
        <f>"MGI:1100851"</f>
        <v>MGI:1100851</v>
      </c>
      <c r="H855" t="str">
        <f>"Elavl1"</f>
        <v>Elavl1</v>
      </c>
      <c r="I855" t="s">
        <v>39</v>
      </c>
      <c r="J855" t="s">
        <v>155</v>
      </c>
    </row>
    <row r="856" spans="1:10">
      <c r="A856">
        <v>10444761</v>
      </c>
      <c r="B856">
        <v>1.6304253543790399</v>
      </c>
      <c r="C856">
        <v>0.111042223785377</v>
      </c>
      <c r="E856" t="str">
        <f>"10444761"</f>
        <v>10444761</v>
      </c>
      <c r="F856" t="str">
        <f t="shared" si="57"/>
        <v>Affy 1.0 ST</v>
      </c>
      <c r="G856" t="str">
        <f>"MGI:99240"</f>
        <v>MGI:99240</v>
      </c>
      <c r="H856" t="str">
        <f>"Bat1a"</f>
        <v>Bat1a</v>
      </c>
      <c r="I856" t="str">
        <f>"HLA-B-associated transcript 1A"</f>
        <v>HLA-B-associated transcript 1A</v>
      </c>
      <c r="J856" t="str">
        <f>"protein coding gene"</f>
        <v>protein coding gene</v>
      </c>
    </row>
    <row r="857" spans="1:10">
      <c r="A857">
        <v>10511298</v>
      </c>
      <c r="B857">
        <v>1.6297067137253201</v>
      </c>
      <c r="C857">
        <v>0.113417895857714</v>
      </c>
      <c r="E857" t="str">
        <f>"10511298"</f>
        <v>10511298</v>
      </c>
      <c r="F857" t="str">
        <f t="shared" si="57"/>
        <v>Affy 1.0 ST</v>
      </c>
      <c r="G857" t="str">
        <f>"MGI:2444364"</f>
        <v>MGI:2444364</v>
      </c>
      <c r="H857" t="str">
        <f>"9430015G10Rik"</f>
        <v>9430015G10Rik</v>
      </c>
      <c r="I857" t="str">
        <f>"RIKEN cDNA 9430015G10 gene"</f>
        <v>RIKEN cDNA 9430015G10 gene</v>
      </c>
      <c r="J857" t="str">
        <f>"protein coding gene"</f>
        <v>protein coding gene</v>
      </c>
    </row>
    <row r="858" spans="1:10">
      <c r="A858">
        <v>10351277</v>
      </c>
      <c r="B858">
        <v>1.62848174182384</v>
      </c>
      <c r="C858">
        <v>2.2745602029660101E-2</v>
      </c>
      <c r="E858" t="str">
        <f>"10351277"</f>
        <v>10351277</v>
      </c>
      <c r="F858" t="str">
        <f t="shared" si="57"/>
        <v>Affy 1.0 ST</v>
      </c>
      <c r="G858" t="str">
        <f>"MGI:2449121"</f>
        <v>MGI:2449121</v>
      </c>
      <c r="H858" t="str">
        <f>"Nme7"</f>
        <v>Nme7</v>
      </c>
      <c r="I858" t="s">
        <v>0</v>
      </c>
      <c r="J858" t="s">
        <v>155</v>
      </c>
    </row>
    <row r="859" spans="1:10">
      <c r="A859">
        <v>10342314</v>
      </c>
      <c r="B859">
        <v>1.6275740520677</v>
      </c>
      <c r="C859">
        <v>2.8052299673703901E-2</v>
      </c>
      <c r="E859" t="str">
        <f>"10342314"</f>
        <v>10342314</v>
      </c>
      <c r="F859" t="str">
        <f>""</f>
        <v/>
      </c>
      <c r="G859" t="str">
        <f>"No associated gene"</f>
        <v>No associated gene</v>
      </c>
    </row>
    <row r="860" spans="1:10">
      <c r="A860">
        <v>10401335</v>
      </c>
      <c r="B860">
        <v>1.6275405671562</v>
      </c>
      <c r="C860">
        <v>6.4426108201256202E-2</v>
      </c>
      <c r="E860" t="str">
        <f>"10401335"</f>
        <v>10401335</v>
      </c>
      <c r="F860" t="str">
        <f>"Affy 1.0 ST"</f>
        <v>Affy 1.0 ST</v>
      </c>
      <c r="G860" t="str">
        <f>"MGI:1917042"</f>
        <v>MGI:1917042</v>
      </c>
      <c r="H860" t="str">
        <f>"Med6"</f>
        <v>Med6</v>
      </c>
      <c r="I860" t="s">
        <v>1</v>
      </c>
      <c r="J860" t="s">
        <v>155</v>
      </c>
    </row>
    <row r="861" spans="1:10">
      <c r="A861">
        <v>10594315</v>
      </c>
      <c r="B861">
        <v>1.6231834467864501</v>
      </c>
      <c r="C861">
        <v>0.10868704071660901</v>
      </c>
      <c r="E861" t="str">
        <f>"10594315"</f>
        <v>10594315</v>
      </c>
      <c r="F861" t="str">
        <f>"Affy 1.0 ST"</f>
        <v>Affy 1.0 ST</v>
      </c>
      <c r="G861" t="str">
        <f>"MGI:1335087"</f>
        <v>MGI:1335087</v>
      </c>
      <c r="H861" t="str">
        <f>"Fem1b"</f>
        <v>Fem1b</v>
      </c>
      <c r="I861" t="str">
        <f>"feminization 1 homolog b (C. elegans)"</f>
        <v>feminization 1 homolog b (C. elegans)</v>
      </c>
      <c r="J861" t="str">
        <f>"protein coding gene"</f>
        <v>protein coding gene</v>
      </c>
    </row>
    <row r="862" spans="1:10">
      <c r="A862">
        <v>10475280</v>
      </c>
      <c r="B862">
        <v>1.61831309427577</v>
      </c>
      <c r="C862">
        <v>6.8209429263917001E-2</v>
      </c>
      <c r="E862" t="str">
        <f>"10475280"</f>
        <v>10475280</v>
      </c>
      <c r="F862" t="str">
        <f>"Affy 1.0 ST"</f>
        <v>Affy 1.0 ST</v>
      </c>
      <c r="G862" t="str">
        <f>"MGI:1923144"</f>
        <v>MGI:1923144</v>
      </c>
      <c r="H862" t="str">
        <f>"Adal"</f>
        <v>Adal</v>
      </c>
      <c r="I862" t="str">
        <f>"adenosine deaminase-like"</f>
        <v>adenosine deaminase-like</v>
      </c>
      <c r="J862" t="str">
        <f>"protein coding gene"</f>
        <v>protein coding gene</v>
      </c>
    </row>
    <row r="863" spans="1:10">
      <c r="A863">
        <v>10505282</v>
      </c>
      <c r="B863">
        <v>1.61404385639327</v>
      </c>
      <c r="C863">
        <v>5.0545500154260702E-2</v>
      </c>
      <c r="E863" t="str">
        <f>"10505282"</f>
        <v>10505282</v>
      </c>
      <c r="F863" t="str">
        <f>"Affy 1.0 ST"</f>
        <v>Affy 1.0 ST</v>
      </c>
      <c r="G863" t="str">
        <f>"MGI:1917302"</f>
        <v>MGI:1917302</v>
      </c>
      <c r="H863" t="str">
        <f>"Prpf4"</f>
        <v>Prpf4</v>
      </c>
      <c r="I863" t="str">
        <f>"PRP4 pre-mRNA processing factor 4 homolog (yeast)"</f>
        <v>PRP4 pre-mRNA processing factor 4 homolog (yeast)</v>
      </c>
      <c r="J863" t="str">
        <f>"protein coding gene"</f>
        <v>protein coding gene</v>
      </c>
    </row>
    <row r="864" spans="1:10">
      <c r="A864">
        <v>10440550</v>
      </c>
      <c r="B864">
        <v>1.60326918921547</v>
      </c>
      <c r="C864">
        <v>5.8128307035366998E-2</v>
      </c>
      <c r="E864" t="str">
        <f>"10440550"</f>
        <v>10440550</v>
      </c>
      <c r="F864" t="str">
        <f>"Affy 1.0 ST"</f>
        <v>Affy 1.0 ST</v>
      </c>
      <c r="G864" t="str">
        <f>"MGI:1926163"</f>
        <v>MGI:1926163</v>
      </c>
      <c r="H864" t="str">
        <f>"Ltn1"</f>
        <v>Ltn1</v>
      </c>
      <c r="I864" t="str">
        <f>"listerin E3 ubiquitin protein ligase 1"</f>
        <v>listerin E3 ubiquitin protein ligase 1</v>
      </c>
      <c r="J864" t="str">
        <f>"protein coding gene"</f>
        <v>protein coding gene</v>
      </c>
    </row>
    <row r="865" spans="1:10">
      <c r="A865">
        <v>10344422</v>
      </c>
      <c r="B865">
        <v>1.60308429245882</v>
      </c>
      <c r="C865">
        <v>0.10545128784769001</v>
      </c>
      <c r="E865" t="str">
        <f>"10344422"</f>
        <v>10344422</v>
      </c>
      <c r="F865" t="str">
        <f>""</f>
        <v/>
      </c>
      <c r="G865" t="str">
        <f>"No associated gene"</f>
        <v>No associated gene</v>
      </c>
    </row>
    <row r="866" spans="1:10">
      <c r="A866">
        <v>10429081</v>
      </c>
      <c r="B866">
        <v>1.60208951817098</v>
      </c>
      <c r="C866">
        <v>4.4545615139412298E-2</v>
      </c>
      <c r="E866" t="str">
        <f>"10429081"</f>
        <v>10429081</v>
      </c>
      <c r="F866" t="str">
        <f>"Affy 1.0 ST"</f>
        <v>Affy 1.0 ST</v>
      </c>
      <c r="G866" t="str">
        <f>"MGI:109489"</f>
        <v>MGI:109489</v>
      </c>
      <c r="H866" t="str">
        <f>"Snrpc"</f>
        <v>Snrpc</v>
      </c>
      <c r="I866" t="str">
        <f>"U1 small nuclear ribonucleoprotein C"</f>
        <v>U1 small nuclear ribonucleoprotein C</v>
      </c>
      <c r="J866" t="str">
        <f>"protein coding gene"</f>
        <v>protein coding gene</v>
      </c>
    </row>
    <row r="867" spans="1:10">
      <c r="A867">
        <v>10343294</v>
      </c>
      <c r="B867">
        <v>1.6002914327972599</v>
      </c>
      <c r="C867">
        <v>9.2513108333134003E-2</v>
      </c>
      <c r="E867" t="str">
        <f>"10343294"</f>
        <v>10343294</v>
      </c>
      <c r="F867" t="str">
        <f>""</f>
        <v/>
      </c>
      <c r="G867" t="str">
        <f>"No associated gene"</f>
        <v>No associated gene</v>
      </c>
    </row>
    <row r="868" spans="1:10">
      <c r="A868">
        <v>10543650</v>
      </c>
      <c r="B868">
        <v>1.5996921125799199</v>
      </c>
      <c r="C868">
        <v>6.6860850362508703E-2</v>
      </c>
      <c r="E868" t="str">
        <f>"10543650"</f>
        <v>10543650</v>
      </c>
      <c r="F868" t="str">
        <f>"Affy 1.0 ST"</f>
        <v>Affy 1.0 ST</v>
      </c>
      <c r="G868" t="str">
        <f>"MGI:1196412"</f>
        <v>MGI:1196412</v>
      </c>
      <c r="H868" t="str">
        <f>"Tnpo3"</f>
        <v>Tnpo3</v>
      </c>
      <c r="I868" t="str">
        <f>"transportin 3"</f>
        <v>transportin 3</v>
      </c>
      <c r="J868" t="str">
        <f>"protein coding gene"</f>
        <v>protein coding gene</v>
      </c>
    </row>
    <row r="869" spans="1:10">
      <c r="A869">
        <v>10344519</v>
      </c>
      <c r="B869">
        <v>1.5974408097058099</v>
      </c>
      <c r="C869">
        <v>8.6652430491928001E-2</v>
      </c>
      <c r="E869" t="str">
        <f>"10344519"</f>
        <v>10344519</v>
      </c>
      <c r="F869" t="str">
        <f>""</f>
        <v/>
      </c>
      <c r="G869" t="str">
        <f>"No associated gene"</f>
        <v>No associated gene</v>
      </c>
    </row>
    <row r="870" spans="1:10">
      <c r="A870">
        <v>10583254</v>
      </c>
      <c r="B870">
        <v>1.59649654435424</v>
      </c>
      <c r="C870">
        <v>3.8732344103231203E-2</v>
      </c>
      <c r="E870" t="str">
        <f>"10583254"</f>
        <v>10583254</v>
      </c>
      <c r="F870" t="str">
        <f t="shared" ref="F870:F875" si="58">"Affy 1.0 ST"</f>
        <v>Affy 1.0 ST</v>
      </c>
      <c r="G870" t="str">
        <f>"MGI:1913320"</f>
        <v>MGI:1913320</v>
      </c>
      <c r="H870" t="str">
        <f>"Cwc15"</f>
        <v>Cwc15</v>
      </c>
      <c r="I870" t="str">
        <f>"CWC15 homolog (S. cerevisiae)"</f>
        <v>CWC15 homolog (S. cerevisiae)</v>
      </c>
      <c r="J870" t="str">
        <f>"protein coding gene"</f>
        <v>protein coding gene</v>
      </c>
    </row>
    <row r="871" spans="1:10">
      <c r="A871">
        <v>10570837</v>
      </c>
      <c r="B871">
        <v>1.5945158322398301</v>
      </c>
      <c r="C871">
        <v>8.4179122480684501E-2</v>
      </c>
      <c r="E871" t="str">
        <f>"10570837"</f>
        <v>10570837</v>
      </c>
      <c r="F871" t="str">
        <f t="shared" si="58"/>
        <v>Affy 1.0 ST</v>
      </c>
      <c r="G871" t="str">
        <f>"MGI:97851"</f>
        <v>MGI:97851</v>
      </c>
      <c r="H871" t="str">
        <f>"Slc20a2"</f>
        <v>Slc20a2</v>
      </c>
      <c r="I871" t="s">
        <v>2</v>
      </c>
      <c r="J871" t="s">
        <v>155</v>
      </c>
    </row>
    <row r="872" spans="1:10">
      <c r="A872">
        <v>10393047</v>
      </c>
      <c r="B872">
        <v>1.57767876822493</v>
      </c>
      <c r="C872">
        <v>6.4305733047400004E-2</v>
      </c>
      <c r="E872" t="str">
        <f>"10393047"</f>
        <v>10393047</v>
      </c>
      <c r="F872" t="str">
        <f t="shared" si="58"/>
        <v>Affy 1.0 ST</v>
      </c>
      <c r="G872" t="str">
        <f>"MGI:95730"</f>
        <v>MGI:95730</v>
      </c>
      <c r="H872" t="str">
        <f>"Galk1"</f>
        <v>Galk1</v>
      </c>
      <c r="I872" t="str">
        <f>"galactokinase 1"</f>
        <v>galactokinase 1</v>
      </c>
      <c r="J872" t="str">
        <f>"protein coding gene"</f>
        <v>protein coding gene</v>
      </c>
    </row>
    <row r="873" spans="1:10">
      <c r="A873">
        <v>10396896</v>
      </c>
      <c r="B873">
        <v>1.5700504653242899</v>
      </c>
      <c r="C873">
        <v>2.78010333250556E-2</v>
      </c>
      <c r="E873" t="str">
        <f>"10396896"</f>
        <v>10396896</v>
      </c>
      <c r="F873" t="str">
        <f t="shared" si="58"/>
        <v>Affy 1.0 ST</v>
      </c>
      <c r="G873" t="str">
        <f>"MGI:1914820"</f>
        <v>MGI:1914820</v>
      </c>
      <c r="H873" t="str">
        <f>"Slc39a9"</f>
        <v>Slc39a9</v>
      </c>
      <c r="I873" t="s">
        <v>3</v>
      </c>
      <c r="J873" t="s">
        <v>155</v>
      </c>
    </row>
    <row r="874" spans="1:10">
      <c r="A874">
        <v>10524314</v>
      </c>
      <c r="B874">
        <v>1.5426562019604699</v>
      </c>
      <c r="C874">
        <v>2.5455555784144501E-2</v>
      </c>
      <c r="E874" t="str">
        <f>"10524314"</f>
        <v>10524314</v>
      </c>
      <c r="F874" t="str">
        <f t="shared" si="58"/>
        <v>Affy 1.0 ST</v>
      </c>
      <c r="G874" t="str">
        <f>"MGI:1927542"</f>
        <v>MGI:1927542</v>
      </c>
      <c r="H874" t="str">
        <f>"Pitpnb"</f>
        <v>Pitpnb</v>
      </c>
      <c r="I874" t="s">
        <v>4</v>
      </c>
      <c r="J874" t="s">
        <v>155</v>
      </c>
    </row>
    <row r="875" spans="1:10">
      <c r="A875">
        <v>10491363</v>
      </c>
      <c r="B875">
        <v>1.54233646016841</v>
      </c>
      <c r="C875">
        <v>9.7144854975090202E-3</v>
      </c>
      <c r="E875" t="str">
        <f>"10491363"</f>
        <v>10491363</v>
      </c>
      <c r="F875" t="str">
        <f t="shared" si="58"/>
        <v>Affy 1.0 ST</v>
      </c>
      <c r="G875" t="str">
        <f>"MGI:1914664"</f>
        <v>MGI:1914664</v>
      </c>
      <c r="H875" t="str">
        <f>"Mfn1"</f>
        <v>Mfn1</v>
      </c>
      <c r="I875" t="str">
        <f>"mitofusin 1"</f>
        <v>mitofusin 1</v>
      </c>
      <c r="J875" t="str">
        <f>"protein coding gene"</f>
        <v>protein coding gene</v>
      </c>
    </row>
  </sheetData>
  <sheetCalcPr fullCalcOnLoad="1"/>
  <phoneticPr fontId="1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