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20" yWindow="-80" windowWidth="34400" windowHeight="21760" tabRatio="500"/>
  </bookViews>
  <sheets>
    <sheet name="activatedMature-up-in-ont.xls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2" i="1"/>
  <c r="G332"/>
  <c r="F332"/>
  <c r="E332"/>
  <c r="J331"/>
  <c r="I331"/>
  <c r="H331"/>
  <c r="G331"/>
  <c r="F331"/>
  <c r="E331"/>
  <c r="J330"/>
  <c r="I330"/>
  <c r="H330"/>
  <c r="G330"/>
  <c r="F330"/>
  <c r="E330"/>
  <c r="H329"/>
  <c r="G329"/>
  <c r="F329"/>
  <c r="E329"/>
  <c r="J328"/>
  <c r="I328"/>
  <c r="H328"/>
  <c r="G328"/>
  <c r="F328"/>
  <c r="E328"/>
  <c r="J327"/>
  <c r="I327"/>
  <c r="H327"/>
  <c r="G327"/>
  <c r="F327"/>
  <c r="E327"/>
  <c r="J326"/>
  <c r="I326"/>
  <c r="H326"/>
  <c r="G326"/>
  <c r="F326"/>
  <c r="E326"/>
  <c r="J325"/>
  <c r="I325"/>
  <c r="H325"/>
  <c r="G325"/>
  <c r="F325"/>
  <c r="E325"/>
  <c r="J324"/>
  <c r="I324"/>
  <c r="H324"/>
  <c r="G324"/>
  <c r="F324"/>
  <c r="E324"/>
  <c r="H323"/>
  <c r="G323"/>
  <c r="F323"/>
  <c r="E323"/>
  <c r="H322"/>
  <c r="G322"/>
  <c r="F322"/>
  <c r="E322"/>
  <c r="J321"/>
  <c r="I321"/>
  <c r="H321"/>
  <c r="G321"/>
  <c r="F321"/>
  <c r="E321"/>
  <c r="J320"/>
  <c r="I320"/>
  <c r="H320"/>
  <c r="G320"/>
  <c r="F320"/>
  <c r="E320"/>
  <c r="H319"/>
  <c r="G319"/>
  <c r="F319"/>
  <c r="E319"/>
  <c r="J318"/>
  <c r="I318"/>
  <c r="H318"/>
  <c r="G318"/>
  <c r="F318"/>
  <c r="E318"/>
  <c r="J317"/>
  <c r="I317"/>
  <c r="H317"/>
  <c r="G317"/>
  <c r="F317"/>
  <c r="E317"/>
  <c r="J316"/>
  <c r="I316"/>
  <c r="H316"/>
  <c r="G316"/>
  <c r="F316"/>
  <c r="E316"/>
  <c r="G315"/>
  <c r="F315"/>
  <c r="E315"/>
  <c r="J314"/>
  <c r="I314"/>
  <c r="H314"/>
  <c r="G314"/>
  <c r="F314"/>
  <c r="E314"/>
  <c r="J313"/>
  <c r="I313"/>
  <c r="H313"/>
  <c r="G313"/>
  <c r="F313"/>
  <c r="E313"/>
  <c r="J312"/>
  <c r="I312"/>
  <c r="H312"/>
  <c r="G312"/>
  <c r="F312"/>
  <c r="E312"/>
  <c r="J311"/>
  <c r="I311"/>
  <c r="H311"/>
  <c r="G311"/>
  <c r="F311"/>
  <c r="E311"/>
  <c r="J310"/>
  <c r="I310"/>
  <c r="H310"/>
  <c r="G310"/>
  <c r="F310"/>
  <c r="E310"/>
  <c r="G309"/>
  <c r="F309"/>
  <c r="E309"/>
  <c r="J308"/>
  <c r="I308"/>
  <c r="H308"/>
  <c r="G308"/>
  <c r="F308"/>
  <c r="E308"/>
  <c r="G307"/>
  <c r="F307"/>
  <c r="E307"/>
  <c r="G306"/>
  <c r="F306"/>
  <c r="E306"/>
  <c r="J305"/>
  <c r="I305"/>
  <c r="H305"/>
  <c r="G305"/>
  <c r="F305"/>
  <c r="E305"/>
  <c r="H304"/>
  <c r="G304"/>
  <c r="F304"/>
  <c r="E304"/>
  <c r="H303"/>
  <c r="G303"/>
  <c r="F303"/>
  <c r="E303"/>
  <c r="G302"/>
  <c r="F302"/>
  <c r="E302"/>
  <c r="G301"/>
  <c r="F301"/>
  <c r="E301"/>
  <c r="J300"/>
  <c r="I300"/>
  <c r="H300"/>
  <c r="G300"/>
  <c r="F300"/>
  <c r="E300"/>
  <c r="G299"/>
  <c r="F299"/>
  <c r="E299"/>
  <c r="H298"/>
  <c r="G298"/>
  <c r="F298"/>
  <c r="E298"/>
  <c r="H297"/>
  <c r="G297"/>
  <c r="F297"/>
  <c r="E297"/>
  <c r="J296"/>
  <c r="I296"/>
  <c r="H296"/>
  <c r="G296"/>
  <c r="F296"/>
  <c r="E296"/>
  <c r="G295"/>
  <c r="F295"/>
  <c r="E295"/>
  <c r="J294"/>
  <c r="I294"/>
  <c r="H294"/>
  <c r="G294"/>
  <c r="F294"/>
  <c r="E294"/>
  <c r="J293"/>
  <c r="I293"/>
  <c r="H293"/>
  <c r="G293"/>
  <c r="F293"/>
  <c r="E293"/>
  <c r="G292"/>
  <c r="F292"/>
  <c r="E292"/>
  <c r="J291"/>
  <c r="I291"/>
  <c r="H291"/>
  <c r="G291"/>
  <c r="F291"/>
  <c r="E291"/>
  <c r="H290"/>
  <c r="G290"/>
  <c r="F290"/>
  <c r="E290"/>
  <c r="J289"/>
  <c r="I289"/>
  <c r="H289"/>
  <c r="G289"/>
  <c r="F289"/>
  <c r="E289"/>
  <c r="J288"/>
  <c r="I288"/>
  <c r="H288"/>
  <c r="G288"/>
  <c r="F288"/>
  <c r="E288"/>
  <c r="J287"/>
  <c r="I287"/>
  <c r="H287"/>
  <c r="G287"/>
  <c r="F287"/>
  <c r="E287"/>
  <c r="J286"/>
  <c r="I286"/>
  <c r="H286"/>
  <c r="G286"/>
  <c r="F286"/>
  <c r="E286"/>
  <c r="J285"/>
  <c r="I285"/>
  <c r="H285"/>
  <c r="G285"/>
  <c r="F285"/>
  <c r="E285"/>
  <c r="J284"/>
  <c r="I284"/>
  <c r="H284"/>
  <c r="G284"/>
  <c r="F284"/>
  <c r="E284"/>
  <c r="J283"/>
  <c r="I283"/>
  <c r="H283"/>
  <c r="G283"/>
  <c r="F283"/>
  <c r="E283"/>
  <c r="G282"/>
  <c r="F282"/>
  <c r="E282"/>
  <c r="G281"/>
  <c r="F281"/>
  <c r="E281"/>
  <c r="H280"/>
  <c r="G280"/>
  <c r="F280"/>
  <c r="E280"/>
  <c r="J279"/>
  <c r="I279"/>
  <c r="H279"/>
  <c r="G279"/>
  <c r="F279"/>
  <c r="E279"/>
  <c r="J278"/>
  <c r="I278"/>
  <c r="H278"/>
  <c r="G278"/>
  <c r="F278"/>
  <c r="E278"/>
  <c r="J277"/>
  <c r="I277"/>
  <c r="H277"/>
  <c r="G277"/>
  <c r="F277"/>
  <c r="E277"/>
  <c r="J276"/>
  <c r="I276"/>
  <c r="H276"/>
  <c r="G276"/>
  <c r="F276"/>
  <c r="E276"/>
  <c r="J275"/>
  <c r="I275"/>
  <c r="H275"/>
  <c r="G275"/>
  <c r="F275"/>
  <c r="E275"/>
  <c r="J274"/>
  <c r="I274"/>
  <c r="H274"/>
  <c r="G274"/>
  <c r="F274"/>
  <c r="E274"/>
  <c r="G273"/>
  <c r="F273"/>
  <c r="E273"/>
  <c r="J272"/>
  <c r="I272"/>
  <c r="H272"/>
  <c r="G272"/>
  <c r="F272"/>
  <c r="E272"/>
  <c r="H271"/>
  <c r="G271"/>
  <c r="F271"/>
  <c r="E271"/>
  <c r="J270"/>
  <c r="I270"/>
  <c r="H270"/>
  <c r="G270"/>
  <c r="F270"/>
  <c r="E270"/>
  <c r="J269"/>
  <c r="I269"/>
  <c r="H269"/>
  <c r="G269"/>
  <c r="F269"/>
  <c r="E269"/>
  <c r="H268"/>
  <c r="G268"/>
  <c r="F268"/>
  <c r="E268"/>
  <c r="H267"/>
  <c r="G267"/>
  <c r="F267"/>
  <c r="E267"/>
  <c r="J266"/>
  <c r="I266"/>
  <c r="H266"/>
  <c r="G266"/>
  <c r="F266"/>
  <c r="E266"/>
  <c r="G265"/>
  <c r="F265"/>
  <c r="E265"/>
  <c r="J264"/>
  <c r="I264"/>
  <c r="H264"/>
  <c r="G264"/>
  <c r="F264"/>
  <c r="E264"/>
  <c r="J263"/>
  <c r="I263"/>
  <c r="H263"/>
  <c r="G263"/>
  <c r="F263"/>
  <c r="E263"/>
  <c r="H262"/>
  <c r="G262"/>
  <c r="F262"/>
  <c r="E262"/>
  <c r="J261"/>
  <c r="I261"/>
  <c r="H261"/>
  <c r="G261"/>
  <c r="F261"/>
  <c r="E261"/>
  <c r="G260"/>
  <c r="F260"/>
  <c r="E260"/>
  <c r="J259"/>
  <c r="I259"/>
  <c r="H259"/>
  <c r="G259"/>
  <c r="F259"/>
  <c r="E259"/>
  <c r="H258"/>
  <c r="G258"/>
  <c r="F258"/>
  <c r="E258"/>
  <c r="J257"/>
  <c r="I257"/>
  <c r="H257"/>
  <c r="G257"/>
  <c r="F257"/>
  <c r="E257"/>
  <c r="H256"/>
  <c r="G256"/>
  <c r="F256"/>
  <c r="E256"/>
  <c r="H255"/>
  <c r="G255"/>
  <c r="F255"/>
  <c r="E255"/>
  <c r="J254"/>
  <c r="I254"/>
  <c r="H254"/>
  <c r="G254"/>
  <c r="F254"/>
  <c r="E254"/>
  <c r="H253"/>
  <c r="G253"/>
  <c r="F253"/>
  <c r="E253"/>
  <c r="J252"/>
  <c r="I252"/>
  <c r="H252"/>
  <c r="G252"/>
  <c r="F252"/>
  <c r="E252"/>
  <c r="H251"/>
  <c r="G251"/>
  <c r="F251"/>
  <c r="E251"/>
  <c r="J250"/>
  <c r="I250"/>
  <c r="H250"/>
  <c r="G250"/>
  <c r="F250"/>
  <c r="E250"/>
  <c r="G249"/>
  <c r="F249"/>
  <c r="E249"/>
  <c r="J248"/>
  <c r="I248"/>
  <c r="H248"/>
  <c r="G248"/>
  <c r="F248"/>
  <c r="E248"/>
  <c r="H247"/>
  <c r="G247"/>
  <c r="F247"/>
  <c r="E247"/>
  <c r="J246"/>
  <c r="I246"/>
  <c r="H246"/>
  <c r="G246"/>
  <c r="F246"/>
  <c r="E246"/>
  <c r="H245"/>
  <c r="G245"/>
  <c r="F245"/>
  <c r="E245"/>
  <c r="J244"/>
  <c r="I244"/>
  <c r="H244"/>
  <c r="G244"/>
  <c r="F244"/>
  <c r="E244"/>
  <c r="H243"/>
  <c r="G243"/>
  <c r="F243"/>
  <c r="E243"/>
  <c r="J242"/>
  <c r="I242"/>
  <c r="H242"/>
  <c r="G242"/>
  <c r="F242"/>
  <c r="E242"/>
  <c r="H241"/>
  <c r="G241"/>
  <c r="F241"/>
  <c r="E241"/>
  <c r="J240"/>
  <c r="I240"/>
  <c r="H240"/>
  <c r="G240"/>
  <c r="F240"/>
  <c r="E240"/>
  <c r="J239"/>
  <c r="I239"/>
  <c r="H239"/>
  <c r="G239"/>
  <c r="F239"/>
  <c r="E239"/>
  <c r="J238"/>
  <c r="I238"/>
  <c r="H238"/>
  <c r="G238"/>
  <c r="F238"/>
  <c r="E238"/>
  <c r="J237"/>
  <c r="I237"/>
  <c r="H237"/>
  <c r="G237"/>
  <c r="F237"/>
  <c r="E237"/>
  <c r="J236"/>
  <c r="I236"/>
  <c r="H236"/>
  <c r="G236"/>
  <c r="F236"/>
  <c r="E236"/>
  <c r="J235"/>
  <c r="I235"/>
  <c r="H235"/>
  <c r="G235"/>
  <c r="F235"/>
  <c r="E235"/>
  <c r="J234"/>
  <c r="I234"/>
  <c r="H234"/>
  <c r="G234"/>
  <c r="F234"/>
  <c r="E234"/>
  <c r="J233"/>
  <c r="I233"/>
  <c r="H233"/>
  <c r="G233"/>
  <c r="F233"/>
  <c r="E233"/>
  <c r="H232"/>
  <c r="G232"/>
  <c r="F232"/>
  <c r="E232"/>
  <c r="J231"/>
  <c r="I231"/>
  <c r="H231"/>
  <c r="G231"/>
  <c r="F231"/>
  <c r="E231"/>
  <c r="J230"/>
  <c r="I230"/>
  <c r="H230"/>
  <c r="G230"/>
  <c r="F230"/>
  <c r="E230"/>
  <c r="H229"/>
  <c r="G229"/>
  <c r="F229"/>
  <c r="E229"/>
  <c r="G228"/>
  <c r="F228"/>
  <c r="E228"/>
  <c r="J227"/>
  <c r="I227"/>
  <c r="H227"/>
  <c r="G227"/>
  <c r="F227"/>
  <c r="E227"/>
  <c r="H226"/>
  <c r="G226"/>
  <c r="F226"/>
  <c r="E226"/>
  <c r="G225"/>
  <c r="F225"/>
  <c r="E225"/>
  <c r="J224"/>
  <c r="I224"/>
  <c r="H224"/>
  <c r="G224"/>
  <c r="F224"/>
  <c r="E224"/>
  <c r="J223"/>
  <c r="I223"/>
  <c r="H223"/>
  <c r="G223"/>
  <c r="F223"/>
  <c r="E223"/>
  <c r="J222"/>
  <c r="I222"/>
  <c r="H222"/>
  <c r="G222"/>
  <c r="F222"/>
  <c r="E222"/>
  <c r="J221"/>
  <c r="I221"/>
  <c r="H221"/>
  <c r="G221"/>
  <c r="F221"/>
  <c r="E221"/>
  <c r="J220"/>
  <c r="I220"/>
  <c r="H220"/>
  <c r="G220"/>
  <c r="F220"/>
  <c r="E220"/>
  <c r="J219"/>
  <c r="I219"/>
  <c r="H219"/>
  <c r="G219"/>
  <c r="F219"/>
  <c r="E219"/>
  <c r="J218"/>
  <c r="I218"/>
  <c r="H218"/>
  <c r="G218"/>
  <c r="F218"/>
  <c r="E218"/>
  <c r="J217"/>
  <c r="I217"/>
  <c r="H217"/>
  <c r="G217"/>
  <c r="F217"/>
  <c r="E217"/>
  <c r="J216"/>
  <c r="I216"/>
  <c r="H216"/>
  <c r="G216"/>
  <c r="F216"/>
  <c r="E216"/>
  <c r="J215"/>
  <c r="I215"/>
  <c r="H215"/>
  <c r="G215"/>
  <c r="F215"/>
  <c r="E215"/>
  <c r="H214"/>
  <c r="G214"/>
  <c r="F214"/>
  <c r="E214"/>
  <c r="J213"/>
  <c r="I213"/>
  <c r="H213"/>
  <c r="G213"/>
  <c r="F213"/>
  <c r="E213"/>
  <c r="H212"/>
  <c r="G212"/>
  <c r="F212"/>
  <c r="E212"/>
  <c r="J211"/>
  <c r="I211"/>
  <c r="H211"/>
  <c r="G211"/>
  <c r="F211"/>
  <c r="E211"/>
  <c r="J210"/>
  <c r="I210"/>
  <c r="H210"/>
  <c r="G210"/>
  <c r="F210"/>
  <c r="E210"/>
  <c r="J209"/>
  <c r="I209"/>
  <c r="H209"/>
  <c r="G209"/>
  <c r="F209"/>
  <c r="E209"/>
  <c r="J208"/>
  <c r="I208"/>
  <c r="H208"/>
  <c r="G208"/>
  <c r="F208"/>
  <c r="E208"/>
  <c r="H207"/>
  <c r="G207"/>
  <c r="F207"/>
  <c r="E207"/>
  <c r="G206"/>
  <c r="F206"/>
  <c r="E206"/>
  <c r="G205"/>
  <c r="F205"/>
  <c r="E205"/>
  <c r="J204"/>
  <c r="I204"/>
  <c r="H204"/>
  <c r="G204"/>
  <c r="F204"/>
  <c r="E204"/>
  <c r="H203"/>
  <c r="G203"/>
  <c r="F203"/>
  <c r="E203"/>
  <c r="H202"/>
  <c r="G202"/>
  <c r="F202"/>
  <c r="E202"/>
  <c r="J201"/>
  <c r="I201"/>
  <c r="H201"/>
  <c r="G201"/>
  <c r="F201"/>
  <c r="E201"/>
  <c r="H200"/>
  <c r="G200"/>
  <c r="F200"/>
  <c r="E200"/>
  <c r="H199"/>
  <c r="G199"/>
  <c r="F199"/>
  <c r="E199"/>
  <c r="H198"/>
  <c r="G198"/>
  <c r="F198"/>
  <c r="E198"/>
  <c r="J197"/>
  <c r="I197"/>
  <c r="H197"/>
  <c r="G197"/>
  <c r="F197"/>
  <c r="E197"/>
  <c r="J196"/>
  <c r="I196"/>
  <c r="H196"/>
  <c r="G196"/>
  <c r="F196"/>
  <c r="E196"/>
  <c r="J195"/>
  <c r="I195"/>
  <c r="H195"/>
  <c r="G195"/>
  <c r="F195"/>
  <c r="E195"/>
  <c r="J194"/>
  <c r="I194"/>
  <c r="H194"/>
  <c r="G194"/>
  <c r="F194"/>
  <c r="E194"/>
  <c r="H193"/>
  <c r="G193"/>
  <c r="F193"/>
  <c r="E193"/>
  <c r="J192"/>
  <c r="I192"/>
  <c r="H192"/>
  <c r="G192"/>
  <c r="F192"/>
  <c r="E192"/>
  <c r="J191"/>
  <c r="I191"/>
  <c r="H191"/>
  <c r="G191"/>
  <c r="F191"/>
  <c r="E191"/>
  <c r="J190"/>
  <c r="I190"/>
  <c r="H190"/>
  <c r="G190"/>
  <c r="F190"/>
  <c r="E190"/>
  <c r="H189"/>
  <c r="G189"/>
  <c r="F189"/>
  <c r="E189"/>
  <c r="H188"/>
  <c r="G188"/>
  <c r="F188"/>
  <c r="E188"/>
  <c r="J187"/>
  <c r="I187"/>
  <c r="H187"/>
  <c r="G187"/>
  <c r="F187"/>
  <c r="E187"/>
  <c r="J186"/>
  <c r="I186"/>
  <c r="H186"/>
  <c r="G186"/>
  <c r="F186"/>
  <c r="E186"/>
  <c r="J185"/>
  <c r="I185"/>
  <c r="H185"/>
  <c r="G185"/>
  <c r="F185"/>
  <c r="E185"/>
  <c r="J184"/>
  <c r="I184"/>
  <c r="H184"/>
  <c r="G184"/>
  <c r="F184"/>
  <c r="E184"/>
  <c r="J183"/>
  <c r="I183"/>
  <c r="H183"/>
  <c r="G183"/>
  <c r="F183"/>
  <c r="E183"/>
  <c r="J182"/>
  <c r="I182"/>
  <c r="H182"/>
  <c r="G182"/>
  <c r="F182"/>
  <c r="E182"/>
  <c r="J181"/>
  <c r="I181"/>
  <c r="H181"/>
  <c r="G181"/>
  <c r="F181"/>
  <c r="E181"/>
  <c r="G180"/>
  <c r="F180"/>
  <c r="E180"/>
  <c r="J179"/>
  <c r="I179"/>
  <c r="H179"/>
  <c r="G179"/>
  <c r="F179"/>
  <c r="E179"/>
  <c r="J178"/>
  <c r="I178"/>
  <c r="H178"/>
  <c r="G178"/>
  <c r="F178"/>
  <c r="E178"/>
  <c r="J177"/>
  <c r="I177"/>
  <c r="H177"/>
  <c r="G177"/>
  <c r="F177"/>
  <c r="E177"/>
  <c r="J176"/>
  <c r="I176"/>
  <c r="H176"/>
  <c r="G176"/>
  <c r="F176"/>
  <c r="E176"/>
  <c r="J175"/>
  <c r="I175"/>
  <c r="H175"/>
  <c r="G175"/>
  <c r="F175"/>
  <c r="E175"/>
  <c r="J174"/>
  <c r="I174"/>
  <c r="H174"/>
  <c r="G174"/>
  <c r="F174"/>
  <c r="E174"/>
  <c r="H173"/>
  <c r="G173"/>
  <c r="F173"/>
  <c r="E173"/>
  <c r="J172"/>
  <c r="I172"/>
  <c r="H172"/>
  <c r="G172"/>
  <c r="F172"/>
  <c r="E172"/>
  <c r="J171"/>
  <c r="I171"/>
  <c r="H171"/>
  <c r="G171"/>
  <c r="F171"/>
  <c r="E171"/>
  <c r="H170"/>
  <c r="G170"/>
  <c r="F170"/>
  <c r="E170"/>
  <c r="J169"/>
  <c r="I169"/>
  <c r="H169"/>
  <c r="G169"/>
  <c r="F169"/>
  <c r="E169"/>
  <c r="J168"/>
  <c r="I168"/>
  <c r="H168"/>
  <c r="G168"/>
  <c r="F168"/>
  <c r="E168"/>
  <c r="J167"/>
  <c r="I167"/>
  <c r="H167"/>
  <c r="G167"/>
  <c r="F167"/>
  <c r="E167"/>
  <c r="H166"/>
  <c r="G166"/>
  <c r="F166"/>
  <c r="E166"/>
  <c r="J165"/>
  <c r="I165"/>
  <c r="H165"/>
  <c r="G165"/>
  <c r="F165"/>
  <c r="E165"/>
  <c r="H164"/>
  <c r="G164"/>
  <c r="F164"/>
  <c r="E164"/>
  <c r="J163"/>
  <c r="I163"/>
  <c r="H163"/>
  <c r="G163"/>
  <c r="F163"/>
  <c r="E163"/>
  <c r="J162"/>
  <c r="I162"/>
  <c r="H162"/>
  <c r="G162"/>
  <c r="F162"/>
  <c r="E162"/>
  <c r="J161"/>
  <c r="I161"/>
  <c r="H161"/>
  <c r="G161"/>
  <c r="F161"/>
  <c r="E161"/>
  <c r="H160"/>
  <c r="G160"/>
  <c r="F160"/>
  <c r="E160"/>
  <c r="J159"/>
  <c r="I159"/>
  <c r="H159"/>
  <c r="G159"/>
  <c r="F159"/>
  <c r="E159"/>
  <c r="J158"/>
  <c r="I158"/>
  <c r="H158"/>
  <c r="G158"/>
  <c r="F158"/>
  <c r="E158"/>
  <c r="H157"/>
  <c r="G157"/>
  <c r="F157"/>
  <c r="E157"/>
  <c r="J156"/>
  <c r="I156"/>
  <c r="H156"/>
  <c r="G156"/>
  <c r="F156"/>
  <c r="E156"/>
  <c r="J155"/>
  <c r="I155"/>
  <c r="H155"/>
  <c r="G155"/>
  <c r="F155"/>
  <c r="E155"/>
  <c r="J154"/>
  <c r="I154"/>
  <c r="H154"/>
  <c r="G154"/>
  <c r="F154"/>
  <c r="E154"/>
  <c r="H153"/>
  <c r="G153"/>
  <c r="F153"/>
  <c r="E153"/>
  <c r="H152"/>
  <c r="G152"/>
  <c r="F152"/>
  <c r="E152"/>
  <c r="J151"/>
  <c r="I151"/>
  <c r="H151"/>
  <c r="G151"/>
  <c r="F151"/>
  <c r="E151"/>
  <c r="J150"/>
  <c r="I150"/>
  <c r="H150"/>
  <c r="G150"/>
  <c r="F150"/>
  <c r="E150"/>
  <c r="J149"/>
  <c r="I149"/>
  <c r="H149"/>
  <c r="G149"/>
  <c r="F149"/>
  <c r="E149"/>
  <c r="J148"/>
  <c r="I148"/>
  <c r="H148"/>
  <c r="G148"/>
  <c r="F148"/>
  <c r="E148"/>
  <c r="J147"/>
  <c r="I147"/>
  <c r="H147"/>
  <c r="G147"/>
  <c r="F147"/>
  <c r="E147"/>
  <c r="J146"/>
  <c r="I146"/>
  <c r="H146"/>
  <c r="G146"/>
  <c r="F146"/>
  <c r="E146"/>
  <c r="J145"/>
  <c r="I145"/>
  <c r="H145"/>
  <c r="G145"/>
  <c r="F145"/>
  <c r="E145"/>
  <c r="J144"/>
  <c r="I144"/>
  <c r="H144"/>
  <c r="G144"/>
  <c r="F144"/>
  <c r="E144"/>
  <c r="H143"/>
  <c r="G143"/>
  <c r="F143"/>
  <c r="E143"/>
  <c r="J142"/>
  <c r="I142"/>
  <c r="H142"/>
  <c r="G142"/>
  <c r="F142"/>
  <c r="E142"/>
  <c r="J141"/>
  <c r="I141"/>
  <c r="H141"/>
  <c r="G141"/>
  <c r="F141"/>
  <c r="E141"/>
  <c r="J140"/>
  <c r="I140"/>
  <c r="H140"/>
  <c r="G140"/>
  <c r="F140"/>
  <c r="E140"/>
  <c r="J139"/>
  <c r="I139"/>
  <c r="H139"/>
  <c r="G139"/>
  <c r="F139"/>
  <c r="E139"/>
  <c r="J138"/>
  <c r="I138"/>
  <c r="H138"/>
  <c r="G138"/>
  <c r="F138"/>
  <c r="E138"/>
  <c r="J137"/>
  <c r="I137"/>
  <c r="H137"/>
  <c r="G137"/>
  <c r="F137"/>
  <c r="E137"/>
  <c r="H136"/>
  <c r="G136"/>
  <c r="F136"/>
  <c r="E136"/>
  <c r="H135"/>
  <c r="G135"/>
  <c r="F135"/>
  <c r="E135"/>
  <c r="J134"/>
  <c r="I134"/>
  <c r="H134"/>
  <c r="G134"/>
  <c r="F134"/>
  <c r="E134"/>
  <c r="J133"/>
  <c r="I133"/>
  <c r="H133"/>
  <c r="G133"/>
  <c r="F133"/>
  <c r="E133"/>
  <c r="J132"/>
  <c r="I132"/>
  <c r="H132"/>
  <c r="G132"/>
  <c r="F132"/>
  <c r="E132"/>
  <c r="J131"/>
  <c r="I131"/>
  <c r="H131"/>
  <c r="G131"/>
  <c r="F131"/>
  <c r="E131"/>
  <c r="J130"/>
  <c r="I130"/>
  <c r="H130"/>
  <c r="G130"/>
  <c r="F130"/>
  <c r="E130"/>
  <c r="J129"/>
  <c r="I129"/>
  <c r="H129"/>
  <c r="G129"/>
  <c r="F129"/>
  <c r="E129"/>
  <c r="H128"/>
  <c r="G128"/>
  <c r="F128"/>
  <c r="E128"/>
  <c r="J127"/>
  <c r="I127"/>
  <c r="H127"/>
  <c r="G127"/>
  <c r="F127"/>
  <c r="E127"/>
  <c r="J126"/>
  <c r="I126"/>
  <c r="H126"/>
  <c r="G126"/>
  <c r="F126"/>
  <c r="E126"/>
  <c r="H125"/>
  <c r="G125"/>
  <c r="F125"/>
  <c r="E125"/>
  <c r="J124"/>
  <c r="I124"/>
  <c r="H124"/>
  <c r="G124"/>
  <c r="F124"/>
  <c r="E124"/>
  <c r="H123"/>
  <c r="G123"/>
  <c r="F123"/>
  <c r="E123"/>
  <c r="H122"/>
  <c r="G122"/>
  <c r="F122"/>
  <c r="E122"/>
  <c r="J121"/>
  <c r="I121"/>
  <c r="H121"/>
  <c r="G121"/>
  <c r="F121"/>
  <c r="E121"/>
  <c r="J120"/>
  <c r="I120"/>
  <c r="H120"/>
  <c r="G120"/>
  <c r="F120"/>
  <c r="E120"/>
  <c r="J119"/>
  <c r="I119"/>
  <c r="H119"/>
  <c r="G119"/>
  <c r="F119"/>
  <c r="E119"/>
  <c r="G118"/>
  <c r="F118"/>
  <c r="E118"/>
  <c r="H117"/>
  <c r="G117"/>
  <c r="F117"/>
  <c r="E117"/>
  <c r="J116"/>
  <c r="I116"/>
  <c r="H116"/>
  <c r="G116"/>
  <c r="F116"/>
  <c r="E116"/>
  <c r="J115"/>
  <c r="I115"/>
  <c r="H115"/>
  <c r="G115"/>
  <c r="F115"/>
  <c r="E115"/>
  <c r="J114"/>
  <c r="I114"/>
  <c r="H114"/>
  <c r="G114"/>
  <c r="F114"/>
  <c r="E114"/>
  <c r="J113"/>
  <c r="I113"/>
  <c r="H113"/>
  <c r="G113"/>
  <c r="F113"/>
  <c r="E113"/>
  <c r="J112"/>
  <c r="I112"/>
  <c r="H112"/>
  <c r="G112"/>
  <c r="F112"/>
  <c r="E112"/>
  <c r="J111"/>
  <c r="I111"/>
  <c r="H111"/>
  <c r="G111"/>
  <c r="F111"/>
  <c r="E111"/>
  <c r="J110"/>
  <c r="I110"/>
  <c r="H110"/>
  <c r="G110"/>
  <c r="F110"/>
  <c r="E110"/>
  <c r="H109"/>
  <c r="G109"/>
  <c r="F109"/>
  <c r="E109"/>
  <c r="J108"/>
  <c r="I108"/>
  <c r="H108"/>
  <c r="G108"/>
  <c r="F108"/>
  <c r="E108"/>
  <c r="H107"/>
  <c r="G107"/>
  <c r="F107"/>
  <c r="E107"/>
  <c r="H106"/>
  <c r="G106"/>
  <c r="F106"/>
  <c r="E106"/>
  <c r="J105"/>
  <c r="I105"/>
  <c r="H105"/>
  <c r="G105"/>
  <c r="F105"/>
  <c r="E105"/>
  <c r="J104"/>
  <c r="I104"/>
  <c r="H104"/>
  <c r="G104"/>
  <c r="F104"/>
  <c r="E104"/>
  <c r="J103"/>
  <c r="I103"/>
  <c r="H103"/>
  <c r="G103"/>
  <c r="F103"/>
  <c r="E103"/>
  <c r="J102"/>
  <c r="I102"/>
  <c r="H102"/>
  <c r="G102"/>
  <c r="F102"/>
  <c r="E102"/>
  <c r="H101"/>
  <c r="G101"/>
  <c r="F101"/>
  <c r="E101"/>
  <c r="H100"/>
  <c r="G100"/>
  <c r="F100"/>
  <c r="E100"/>
  <c r="J99"/>
  <c r="I99"/>
  <c r="H99"/>
  <c r="G99"/>
  <c r="F99"/>
  <c r="E99"/>
  <c r="J98"/>
  <c r="I98"/>
  <c r="H98"/>
  <c r="G98"/>
  <c r="F98"/>
  <c r="E98"/>
  <c r="H97"/>
  <c r="G97"/>
  <c r="F97"/>
  <c r="E97"/>
  <c r="H96"/>
  <c r="G96"/>
  <c r="F96"/>
  <c r="E96"/>
  <c r="H95"/>
  <c r="G95"/>
  <c r="F95"/>
  <c r="E95"/>
  <c r="J94"/>
  <c r="I94"/>
  <c r="H94"/>
  <c r="G94"/>
  <c r="F94"/>
  <c r="E94"/>
  <c r="J93"/>
  <c r="I93"/>
  <c r="H93"/>
  <c r="G93"/>
  <c r="F93"/>
  <c r="E93"/>
  <c r="J92"/>
  <c r="I92"/>
  <c r="H92"/>
  <c r="G92"/>
  <c r="F92"/>
  <c r="E92"/>
  <c r="J91"/>
  <c r="I91"/>
  <c r="H91"/>
  <c r="G91"/>
  <c r="F91"/>
  <c r="E91"/>
  <c r="J90"/>
  <c r="I90"/>
  <c r="H90"/>
  <c r="G90"/>
  <c r="F90"/>
  <c r="E90"/>
  <c r="H89"/>
  <c r="G89"/>
  <c r="F89"/>
  <c r="E89"/>
  <c r="J88"/>
  <c r="I88"/>
  <c r="H88"/>
  <c r="G88"/>
  <c r="F88"/>
  <c r="E88"/>
  <c r="J87"/>
  <c r="I87"/>
  <c r="H87"/>
  <c r="G87"/>
  <c r="F87"/>
  <c r="E87"/>
  <c r="H86"/>
  <c r="G86"/>
  <c r="F86"/>
  <c r="E86"/>
  <c r="H85"/>
  <c r="G85"/>
  <c r="F85"/>
  <c r="E85"/>
  <c r="J84"/>
  <c r="I84"/>
  <c r="H84"/>
  <c r="G84"/>
  <c r="F84"/>
  <c r="E84"/>
  <c r="H83"/>
  <c r="G83"/>
  <c r="F83"/>
  <c r="E83"/>
  <c r="H82"/>
  <c r="G82"/>
  <c r="F82"/>
  <c r="E82"/>
  <c r="J81"/>
  <c r="I81"/>
  <c r="H81"/>
  <c r="G81"/>
  <c r="F81"/>
  <c r="E81"/>
  <c r="J80"/>
  <c r="I80"/>
  <c r="H80"/>
  <c r="G80"/>
  <c r="F80"/>
  <c r="E80"/>
  <c r="J79"/>
  <c r="I79"/>
  <c r="H79"/>
  <c r="G79"/>
  <c r="F79"/>
  <c r="E79"/>
  <c r="H78"/>
  <c r="G78"/>
  <c r="F78"/>
  <c r="E78"/>
  <c r="J77"/>
  <c r="I77"/>
  <c r="H77"/>
  <c r="G77"/>
  <c r="F77"/>
  <c r="E77"/>
  <c r="J76"/>
  <c r="I76"/>
  <c r="H76"/>
  <c r="G76"/>
  <c r="F76"/>
  <c r="E76"/>
  <c r="H75"/>
  <c r="G75"/>
  <c r="F75"/>
  <c r="E75"/>
  <c r="J74"/>
  <c r="I74"/>
  <c r="H74"/>
  <c r="G74"/>
  <c r="F74"/>
  <c r="E74"/>
  <c r="H73"/>
  <c r="G73"/>
  <c r="F73"/>
  <c r="E73"/>
  <c r="J72"/>
  <c r="I72"/>
  <c r="H72"/>
  <c r="G72"/>
  <c r="F72"/>
  <c r="E72"/>
  <c r="J71"/>
  <c r="I71"/>
  <c r="H71"/>
  <c r="G71"/>
  <c r="F71"/>
  <c r="E71"/>
  <c r="J70"/>
  <c r="I70"/>
  <c r="H70"/>
  <c r="G70"/>
  <c r="F70"/>
  <c r="E70"/>
  <c r="J69"/>
  <c r="I69"/>
  <c r="H69"/>
  <c r="G69"/>
  <c r="F69"/>
  <c r="E69"/>
  <c r="H68"/>
  <c r="G68"/>
  <c r="F68"/>
  <c r="E68"/>
  <c r="H67"/>
  <c r="G67"/>
  <c r="F67"/>
  <c r="E67"/>
  <c r="J66"/>
  <c r="I66"/>
  <c r="H66"/>
  <c r="G66"/>
  <c r="F66"/>
  <c r="E66"/>
  <c r="H65"/>
  <c r="G65"/>
  <c r="F65"/>
  <c r="E65"/>
  <c r="H64"/>
  <c r="G64"/>
  <c r="F64"/>
  <c r="E64"/>
  <c r="J63"/>
  <c r="I63"/>
  <c r="H63"/>
  <c r="G63"/>
  <c r="F63"/>
  <c r="E63"/>
  <c r="H62"/>
  <c r="G62"/>
  <c r="F62"/>
  <c r="E62"/>
  <c r="J61"/>
  <c r="I61"/>
  <c r="H61"/>
  <c r="G61"/>
  <c r="F61"/>
  <c r="E61"/>
  <c r="J60"/>
  <c r="I60"/>
  <c r="H60"/>
  <c r="G60"/>
  <c r="F60"/>
  <c r="E60"/>
  <c r="H59"/>
  <c r="G59"/>
  <c r="F59"/>
  <c r="E59"/>
  <c r="J58"/>
  <c r="I58"/>
  <c r="H58"/>
  <c r="G58"/>
  <c r="F58"/>
  <c r="E58"/>
  <c r="H57"/>
  <c r="G57"/>
  <c r="F57"/>
  <c r="E57"/>
  <c r="J56"/>
  <c r="I56"/>
  <c r="H56"/>
  <c r="G56"/>
  <c r="F56"/>
  <c r="E56"/>
  <c r="H55"/>
  <c r="G55"/>
  <c r="F55"/>
  <c r="E55"/>
  <c r="J54"/>
  <c r="I54"/>
  <c r="H54"/>
  <c r="G54"/>
  <c r="F54"/>
  <c r="E54"/>
  <c r="J53"/>
  <c r="I53"/>
  <c r="H53"/>
  <c r="G53"/>
  <c r="F53"/>
  <c r="E53"/>
  <c r="J52"/>
  <c r="I52"/>
  <c r="H52"/>
  <c r="G52"/>
  <c r="F52"/>
  <c r="E52"/>
  <c r="J51"/>
  <c r="I51"/>
  <c r="H51"/>
  <c r="G51"/>
  <c r="F51"/>
  <c r="E51"/>
  <c r="J50"/>
  <c r="I50"/>
  <c r="H50"/>
  <c r="G50"/>
  <c r="F50"/>
  <c r="E50"/>
  <c r="J49"/>
  <c r="I49"/>
  <c r="H49"/>
  <c r="G49"/>
  <c r="F49"/>
  <c r="E49"/>
  <c r="J48"/>
  <c r="I48"/>
  <c r="H48"/>
  <c r="G48"/>
  <c r="F48"/>
  <c r="E48"/>
  <c r="J47"/>
  <c r="I47"/>
  <c r="H47"/>
  <c r="G47"/>
  <c r="F47"/>
  <c r="E47"/>
  <c r="J46"/>
  <c r="I46"/>
  <c r="H46"/>
  <c r="G46"/>
  <c r="F46"/>
  <c r="E4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H42"/>
  <c r="G42"/>
  <c r="F42"/>
  <c r="E42"/>
  <c r="J41"/>
  <c r="I41"/>
  <c r="H41"/>
  <c r="G41"/>
  <c r="F41"/>
  <c r="E41"/>
  <c r="J40"/>
  <c r="I40"/>
  <c r="H40"/>
  <c r="G40"/>
  <c r="F40"/>
  <c r="E40"/>
  <c r="J39"/>
  <c r="I39"/>
  <c r="H39"/>
  <c r="G39"/>
  <c r="F39"/>
  <c r="E39"/>
  <c r="J38"/>
  <c r="I38"/>
  <c r="H38"/>
  <c r="G38"/>
  <c r="F38"/>
  <c r="E38"/>
  <c r="H37"/>
  <c r="G37"/>
  <c r="F37"/>
  <c r="E37"/>
  <c r="J36"/>
  <c r="I36"/>
  <c r="H36"/>
  <c r="G36"/>
  <c r="F36"/>
  <c r="E36"/>
  <c r="J35"/>
  <c r="I35"/>
  <c r="H35"/>
  <c r="G35"/>
  <c r="F35"/>
  <c r="E35"/>
  <c r="J34"/>
  <c r="I34"/>
  <c r="H34"/>
  <c r="G34"/>
  <c r="F34"/>
  <c r="E34"/>
  <c r="J33"/>
  <c r="I33"/>
  <c r="H33"/>
  <c r="G33"/>
  <c r="F33"/>
  <c r="E33"/>
  <c r="H32"/>
  <c r="G32"/>
  <c r="F32"/>
  <c r="E32"/>
  <c r="H31"/>
  <c r="G31"/>
  <c r="F31"/>
  <c r="E31"/>
  <c r="H30"/>
  <c r="G30"/>
  <c r="F30"/>
  <c r="E30"/>
  <c r="J29"/>
  <c r="I29"/>
  <c r="H29"/>
  <c r="G29"/>
  <c r="F29"/>
  <c r="E29"/>
  <c r="H28"/>
  <c r="G28"/>
  <c r="F28"/>
  <c r="E28"/>
  <c r="J27"/>
  <c r="I27"/>
  <c r="H27"/>
  <c r="G27"/>
  <c r="F27"/>
  <c r="E27"/>
  <c r="J26"/>
  <c r="I26"/>
  <c r="H26"/>
  <c r="G26"/>
  <c r="F26"/>
  <c r="E26"/>
  <c r="J25"/>
  <c r="I25"/>
  <c r="H25"/>
  <c r="G25"/>
  <c r="F25"/>
  <c r="E25"/>
  <c r="J24"/>
  <c r="I24"/>
  <c r="H24"/>
  <c r="G24"/>
  <c r="F24"/>
  <c r="E24"/>
  <c r="J23"/>
  <c r="I23"/>
  <c r="H23"/>
  <c r="G23"/>
  <c r="F23"/>
  <c r="E23"/>
  <c r="J22"/>
  <c r="I22"/>
  <c r="H22"/>
  <c r="G22"/>
  <c r="F22"/>
  <c r="E22"/>
  <c r="J21"/>
  <c r="I21"/>
  <c r="H21"/>
  <c r="G21"/>
  <c r="F21"/>
  <c r="E21"/>
  <c r="J20"/>
  <c r="I20"/>
  <c r="H20"/>
  <c r="G20"/>
  <c r="F20"/>
  <c r="E20"/>
  <c r="J19"/>
  <c r="I19"/>
  <c r="H19"/>
  <c r="G19"/>
  <c r="F19"/>
  <c r="E19"/>
  <c r="J18"/>
  <c r="I18"/>
  <c r="H18"/>
  <c r="G18"/>
  <c r="F18"/>
  <c r="E18"/>
  <c r="H17"/>
  <c r="G17"/>
  <c r="F17"/>
  <c r="E17"/>
  <c r="J16"/>
  <c r="I16"/>
  <c r="H16"/>
  <c r="G16"/>
  <c r="F16"/>
  <c r="E16"/>
  <c r="H15"/>
  <c r="G15"/>
  <c r="F15"/>
  <c r="E15"/>
  <c r="J14"/>
  <c r="I14"/>
  <c r="H14"/>
  <c r="G14"/>
  <c r="F14"/>
  <c r="E14"/>
  <c r="H13"/>
  <c r="G13"/>
  <c r="F13"/>
  <c r="E13"/>
  <c r="J12"/>
  <c r="I12"/>
  <c r="H12"/>
  <c r="G12"/>
  <c r="F12"/>
  <c r="E12"/>
  <c r="J11"/>
  <c r="I11"/>
  <c r="H11"/>
  <c r="G11"/>
  <c r="F11"/>
  <c r="E11"/>
  <c r="H10"/>
  <c r="G10"/>
  <c r="F10"/>
  <c r="E10"/>
  <c r="J9"/>
  <c r="I9"/>
  <c r="H9"/>
  <c r="G9"/>
  <c r="F9"/>
  <c r="E9"/>
  <c r="H8"/>
  <c r="G8"/>
  <c r="F8"/>
  <c r="E8"/>
  <c r="J7"/>
  <c r="I7"/>
  <c r="H7"/>
  <c r="G7"/>
  <c r="F7"/>
  <c r="E7"/>
  <c r="J6"/>
  <c r="I6"/>
  <c r="H6"/>
  <c r="G6"/>
  <c r="F6"/>
  <c r="E6"/>
  <c r="H5"/>
  <c r="G5"/>
  <c r="F5"/>
  <c r="E5"/>
  <c r="J4"/>
  <c r="I4"/>
  <c r="H4"/>
  <c r="G4"/>
  <c r="F4"/>
  <c r="E4"/>
  <c r="J3"/>
  <c r="I3"/>
  <c r="H3"/>
  <c r="G3"/>
  <c r="F3"/>
  <c r="E3"/>
  <c r="J2"/>
  <c r="I2"/>
  <c r="H2"/>
  <c r="G2"/>
  <c r="F2"/>
  <c r="E2"/>
  <c r="K1"/>
  <c r="J1"/>
  <c r="I1"/>
  <c r="H1"/>
  <c r="G1"/>
  <c r="F1"/>
</calcChain>
</file>

<file path=xl/sharedStrings.xml><?xml version="1.0" encoding="utf-8"?>
<sst xmlns="http://schemas.openxmlformats.org/spreadsheetml/2006/main" count="183" uniqueCount="90">
  <si>
    <t>sema domain, immunoglobulin domain (Ig), and GPI membrane anchor, (semaphorin) 7A</t>
  </si>
  <si>
    <t>histone cluster 1, H4b</t>
  </si>
  <si>
    <t>minichromosome maintenance deficient 5, cell division cycle 46 (S. cerevisiae)</t>
  </si>
  <si>
    <t>chromatin assembly factor 1, subunit A (p150)</t>
  </si>
  <si>
    <t>capping protein (actin filament), gelsolin-like</t>
  </si>
  <si>
    <t>lectin, mannose-binding, 1</t>
  </si>
  <si>
    <t>tyrosine 3-monooxygenase/tryptophan 5-monooxygenase activation protein, epsilon polypeptide</t>
  </si>
  <si>
    <t>DnaJ (Hsp40) homolog, subfamily B, member 11</t>
  </si>
  <si>
    <t>proteasome (prosome, macropain) subunit, beta type 4</t>
  </si>
  <si>
    <t>guanine nucleotide binding protein (G protein), gamma 2</t>
  </si>
  <si>
    <t>FoldChange</t>
  </si>
  <si>
    <t>Stdv</t>
  </si>
  <si>
    <t>histone cluster 1, H1b</t>
  </si>
  <si>
    <t>protein coding gene</t>
  </si>
  <si>
    <t>non-SMC condensin II complex, subunit G2</t>
  </si>
  <si>
    <t>non-SMC condensin I complex, subunit G</t>
  </si>
  <si>
    <t>TPX2, microtubule-associated protein homolog (Xenopus laevis)</t>
  </si>
  <si>
    <t>histone cluster 1, H2ab</t>
  </si>
  <si>
    <t>NUF2, NDC80 kinetochore complex component, homolog (S. cerevisiae)</t>
  </si>
  <si>
    <t>budding uninhibited by benzimidazoles 1 homolog, beta (S. cerevisiae)</t>
  </si>
  <si>
    <t>histone cluster 1, H2af</t>
  </si>
  <si>
    <t>helicase, lymphoid specific</t>
  </si>
  <si>
    <t>ubiquitin-like, containing PHD and RING finger domains, 1</t>
  </si>
  <si>
    <t>histone cluster 1, H1a</t>
  </si>
  <si>
    <t>histone cluster 1, H2bb</t>
  </si>
  <si>
    <t>histone cluster 2, H3b</t>
  </si>
  <si>
    <t>histone cluster 1, H2ak</t>
  </si>
  <si>
    <t>histone cluster 1, H4f</t>
  </si>
  <si>
    <t>ATPase family, AAA domain containing 5</t>
  </si>
  <si>
    <t>anillin, actin binding protein</t>
  </si>
  <si>
    <t>non-SMC condensin I complex, subunit H</t>
  </si>
  <si>
    <t>SPC25, NDC80 kinetochore complex component, homolog (S. cerevisiae)</t>
  </si>
  <si>
    <t>asp (abnormal spindle)-like, microcephaly associated (Drosophila)</t>
  </si>
  <si>
    <t>discs, large (Drosophila) homolog-associated protein 5</t>
  </si>
  <si>
    <t>non-SMC condensin I complex, subunit D2</t>
  </si>
  <si>
    <t>histone cluster 1, H2an</t>
  </si>
  <si>
    <t>transforming, acidic coiled-coil containing protein 3</t>
  </si>
  <si>
    <t>DNA primase, p49 subunit</t>
  </si>
  <si>
    <t>histone cluster 1, H2bm</t>
  </si>
  <si>
    <t>ligase I, DNA, ATP-dependent</t>
  </si>
  <si>
    <t>polymerase (DNA directed), epsilon</t>
  </si>
  <si>
    <t>histone cluster 1, H2ap</t>
  </si>
  <si>
    <t>polymerase (DNA directed), alpha 1</t>
  </si>
  <si>
    <t>solute carrier family 43, member 3</t>
  </si>
  <si>
    <t>histone cluster 1, H3a</t>
  </si>
  <si>
    <t>interleukin 2 receptor, alpha chain</t>
  </si>
  <si>
    <t>chromatin assembly factor 1, subunit B (p60)</t>
  </si>
  <si>
    <t>Zwilch, kinetochore associated, homolog (Drosophila)</t>
  </si>
  <si>
    <t>Fanconi anemia, complementation group D2</t>
  </si>
  <si>
    <t>family with sequence similarity 54, member A</t>
  </si>
  <si>
    <t>histone cluster 1, H4m</t>
  </si>
  <si>
    <t>TAF15 RNA polymerase II, TATA box binding protein (TBP)-associated factor</t>
  </si>
  <si>
    <t>signal sequence receptor, alpha</t>
  </si>
  <si>
    <t>coronin, actin binding protein 1C</t>
  </si>
  <si>
    <t>These represent genes upregulated in activated T cell and NK cells vs resting mature T cell and NK cells.</t>
    <phoneticPr fontId="2" type="noConversion"/>
  </si>
  <si>
    <t>Gen homolog 1, endonuclease (Drosophila)</t>
  </si>
  <si>
    <t>histone cluster 1, H2bq</t>
  </si>
  <si>
    <t>MMS22-like, DNA repair protein</t>
  </si>
  <si>
    <t>NDC80 homolog, kinetochore complex component (S. cerevisiae)</t>
  </si>
  <si>
    <t>origin recognition complex, subunit 6</t>
  </si>
  <si>
    <t>minichromosome maintenance deficient 6 (MIS5 homolog, S. pombe) (S. cerevisiae)</t>
  </si>
  <si>
    <t>histone cluster 2, H2aa1</t>
  </si>
  <si>
    <t>histone cluster 2, H2ac</t>
  </si>
  <si>
    <t>ATPase family, AAA domain containing 2</t>
  </si>
  <si>
    <t>ribonuclease H2, subunit B</t>
  </si>
  <si>
    <t>origin recognition complex, subunit 1</t>
  </si>
  <si>
    <t>cyclin-dependent kinase inhibitor 2C (p18, inhibits CDK4)</t>
  </si>
  <si>
    <t>heat shock protein 90, alpha (cytosolic), class A member 1</t>
  </si>
  <si>
    <t>polymerase (DNA directed), theta</t>
  </si>
  <si>
    <t>histone cluster 2, H3c1</t>
  </si>
  <si>
    <t>protein tyrosine phosphatase, non-receptor type 3</t>
  </si>
  <si>
    <t>DNA primase, p58 subunit</t>
  </si>
  <si>
    <t>Bloom syndrome, RecQ helicase-like</t>
  </si>
  <si>
    <t>Mdm2, transformed 3T3 cell double minute p53 binding protein</t>
  </si>
  <si>
    <t>NSL1, MIND kinetochore complex component, homolog (S. cerevisiae)</t>
  </si>
  <si>
    <t>ornithine decarboxylase, structural 1</t>
  </si>
  <si>
    <t>histone cluster 1, H1e</t>
  </si>
  <si>
    <t>heat shock protein 90, beta (Grp94), member 1</t>
  </si>
  <si>
    <t>DNA segment, Chr 17, human D6S56E 5</t>
  </si>
  <si>
    <t>unclassified gene</t>
  </si>
  <si>
    <t>Fanconi anemia, complementation group A</t>
  </si>
  <si>
    <t>apoptosis-inducing, TAF9-like domain 1</t>
  </si>
  <si>
    <t>eukaryotic translation initiation factor 2, subunit 2 (beta)</t>
  </si>
  <si>
    <t>polymerase (DNA-directed), delta 3, accessory subunit</t>
  </si>
  <si>
    <t>membrane protein, palmitoylated 6 (MAGUK p55 subfamily member 6)</t>
  </si>
  <si>
    <t>cytochrome c oxidase, subunit Va</t>
  </si>
  <si>
    <t>family with sequence similarity 188, member A</t>
  </si>
  <si>
    <t>acidic (leucine-rich) nuclear phosphoprotein 32 family, member B</t>
  </si>
  <si>
    <t>ATPase, Ca++ transporting, cardiac muscle, slow twitch 2</t>
  </si>
  <si>
    <t>proteasome (prosome, macropain) 26S subunit, non-ATPase, 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</si>
</sst>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332"/>
  <sheetViews>
    <sheetView tabSelected="1" workbookViewId="0">
      <selection activeCell="M1" sqref="M1:T1"/>
    </sheetView>
  </sheetViews>
  <sheetFormatPr baseColWidth="10" defaultRowHeight="13"/>
  <sheetData>
    <row r="1" spans="1:13">
      <c r="B1" t="s">
        <v>10</v>
      </c>
      <c r="C1" t="s">
        <v>11</v>
      </c>
      <c r="F1" t="str">
        <f>"Input"</f>
        <v>Input</v>
      </c>
      <c r="G1" t="str">
        <f>"Input type"</f>
        <v>Input type</v>
      </c>
      <c r="H1" t="str">
        <f>"MGI Gene/Marker ID"</f>
        <v>MGI Gene/Marker ID</v>
      </c>
      <c r="I1" t="str">
        <f>"Symbol"</f>
        <v>Symbol</v>
      </c>
      <c r="J1" t="str">
        <f>"Name"</f>
        <v>Name</v>
      </c>
      <c r="K1" t="str">
        <f>"Feature Type"</f>
        <v>Feature Type</v>
      </c>
      <c r="M1" s="1" t="s">
        <v>54</v>
      </c>
    </row>
    <row r="2" spans="1:13">
      <c r="A2">
        <v>10568714</v>
      </c>
      <c r="B2">
        <v>28.4065693016843</v>
      </c>
      <c r="C2">
        <v>15.2668585287034</v>
      </c>
      <c r="E2" t="str">
        <f>"10568714"</f>
        <v>10568714</v>
      </c>
      <c r="F2" t="str">
        <f t="shared" ref="F2:F65" si="0">"Affy 1.0 ST"</f>
        <v>Affy 1.0 ST</v>
      </c>
      <c r="G2" t="str">
        <f>"MGI:106035"</f>
        <v>MGI:106035</v>
      </c>
      <c r="H2" t="str">
        <f>"Mki67"</f>
        <v>Mki67</v>
      </c>
      <c r="I2" t="str">
        <f>"antigen identified by monoclonal antibody Ki 67"</f>
        <v>antigen identified by monoclonal antibody Ki 67</v>
      </c>
      <c r="J2" t="str">
        <f>"protein coding gene"</f>
        <v>protein coding gene</v>
      </c>
    </row>
    <row r="3" spans="1:13">
      <c r="A3">
        <v>10497831</v>
      </c>
      <c r="B3">
        <v>27.169652407869702</v>
      </c>
      <c r="C3">
        <v>19.667195312449302</v>
      </c>
      <c r="E3" t="str">
        <f>"10497831"</f>
        <v>10497831</v>
      </c>
      <c r="F3" t="str">
        <f t="shared" si="0"/>
        <v>Affy 1.0 ST</v>
      </c>
      <c r="G3" t="str">
        <f>"MGI:108069"</f>
        <v>MGI:108069</v>
      </c>
      <c r="H3" t="str">
        <f>"Ccna2"</f>
        <v>Ccna2</v>
      </c>
      <c r="I3" t="str">
        <f>"cyclin A2"</f>
        <v>cyclin A2</v>
      </c>
      <c r="J3" t="str">
        <f>"protein coding gene"</f>
        <v>protein coding gene</v>
      </c>
    </row>
    <row r="4" spans="1:13">
      <c r="A4">
        <v>10586448</v>
      </c>
      <c r="B4">
        <v>27.1585977626704</v>
      </c>
      <c r="C4">
        <v>21.097167241271698</v>
      </c>
      <c r="E4" t="str">
        <f>"10586448"</f>
        <v>10586448</v>
      </c>
      <c r="F4" t="str">
        <f t="shared" si="0"/>
        <v>Affy 1.0 ST</v>
      </c>
      <c r="G4" t="str">
        <f>"MGI:1915276"</f>
        <v>MGI:1915276</v>
      </c>
      <c r="H4" t="str">
        <f>"2810417H13Rik"</f>
        <v>2810417H13Rik</v>
      </c>
      <c r="I4" t="str">
        <f>"RIKEN cDNA 2810417H13 gene"</f>
        <v>RIKEN cDNA 2810417H13 gene</v>
      </c>
      <c r="J4" t="str">
        <f>"protein coding gene"</f>
        <v>protein coding gene</v>
      </c>
    </row>
    <row r="5" spans="1:13">
      <c r="A5">
        <v>10408081</v>
      </c>
      <c r="B5">
        <v>26.601003968995101</v>
      </c>
      <c r="C5">
        <v>16.646686606522099</v>
      </c>
      <c r="E5" t="str">
        <f>"10408081"</f>
        <v>10408081</v>
      </c>
      <c r="F5" t="str">
        <f t="shared" si="0"/>
        <v>Affy 1.0 ST</v>
      </c>
      <c r="G5" t="str">
        <f>"MGI:1861461"</f>
        <v>MGI:1861461</v>
      </c>
      <c r="H5" t="str">
        <f>"Hist1h1b"</f>
        <v>Hist1h1b</v>
      </c>
      <c r="I5" t="s">
        <v>12</v>
      </c>
      <c r="J5" t="s">
        <v>13</v>
      </c>
    </row>
    <row r="6" spans="1:13">
      <c r="A6">
        <v>10390707</v>
      </c>
      <c r="B6">
        <v>24.6254400361276</v>
      </c>
      <c r="C6">
        <v>9.1496987815551201</v>
      </c>
      <c r="E6" t="str">
        <f>"10390707"</f>
        <v>10390707</v>
      </c>
      <c r="F6" t="str">
        <f t="shared" si="0"/>
        <v>Affy 1.0 ST</v>
      </c>
      <c r="G6" t="str">
        <f>"MGI:98790"</f>
        <v>MGI:98790</v>
      </c>
      <c r="H6" t="str">
        <f>"Top2a"</f>
        <v>Top2a</v>
      </c>
      <c r="I6" t="str">
        <f>"topoisomerase (DNA) II alpha"</f>
        <v>topoisomerase (DNA) II alpha</v>
      </c>
      <c r="J6" t="str">
        <f>"protein coding gene"</f>
        <v>protein coding gene</v>
      </c>
    </row>
    <row r="7" spans="1:13">
      <c r="A7">
        <v>10462796</v>
      </c>
      <c r="B7">
        <v>24.237035036989401</v>
      </c>
      <c r="C7">
        <v>16.687360489661099</v>
      </c>
      <c r="E7" t="str">
        <f>"10462796"</f>
        <v>10462796</v>
      </c>
      <c r="F7" t="str">
        <f t="shared" si="0"/>
        <v>Affy 1.0 ST</v>
      </c>
      <c r="G7" t="str">
        <f>"MGI:1098231"</f>
        <v>MGI:1098231</v>
      </c>
      <c r="H7" t="str">
        <f>"Kif11"</f>
        <v>Kif11</v>
      </c>
      <c r="I7" t="str">
        <f>"kinesin family member 11"</f>
        <v>kinesin family member 11</v>
      </c>
      <c r="J7" t="str">
        <f>"protein coding gene"</f>
        <v>protein coding gene</v>
      </c>
    </row>
    <row r="8" spans="1:13">
      <c r="A8">
        <v>10399087</v>
      </c>
      <c r="B8">
        <v>24.010081882885402</v>
      </c>
      <c r="C8">
        <v>15.7851495742396</v>
      </c>
      <c r="E8" t="str">
        <f>"10399087"</f>
        <v>10399087</v>
      </c>
      <c r="F8" t="str">
        <f t="shared" si="0"/>
        <v>Affy 1.0 ST</v>
      </c>
      <c r="G8" t="str">
        <f>"MGI:1923294"</f>
        <v>MGI:1923294</v>
      </c>
      <c r="H8" t="str">
        <f>"Ncapg2"</f>
        <v>Ncapg2</v>
      </c>
      <c r="I8" t="s">
        <v>14</v>
      </c>
      <c r="J8" t="s">
        <v>13</v>
      </c>
    </row>
    <row r="9" spans="1:13">
      <c r="A9">
        <v>10487480</v>
      </c>
      <c r="B9">
        <v>22.2957548180153</v>
      </c>
      <c r="C9">
        <v>17.2697151146671</v>
      </c>
      <c r="E9" t="str">
        <f>"10487480"</f>
        <v>10487480</v>
      </c>
      <c r="F9" t="str">
        <f t="shared" si="0"/>
        <v>Affy 1.0 ST</v>
      </c>
      <c r="G9" t="str">
        <f>"MGI:1100510"</f>
        <v>MGI:1100510</v>
      </c>
      <c r="H9" t="str">
        <f>"Bub1"</f>
        <v>Bub1</v>
      </c>
      <c r="I9" t="str">
        <f>"budding uninhibited by benzimidazoles 1 homolog (S. cerevisiae)"</f>
        <v>budding uninhibited by benzimidazoles 1 homolog (S. cerevisiae)</v>
      </c>
      <c r="J9" t="str">
        <f>"protein coding gene"</f>
        <v>protein coding gene</v>
      </c>
    </row>
    <row r="10" spans="1:13">
      <c r="A10">
        <v>10521731</v>
      </c>
      <c r="B10">
        <v>19.222574922871701</v>
      </c>
      <c r="C10">
        <v>13.6303910762797</v>
      </c>
      <c r="E10" t="str">
        <f>"10521731"</f>
        <v>10521731</v>
      </c>
      <c r="F10" t="str">
        <f t="shared" si="0"/>
        <v>Affy 1.0 ST</v>
      </c>
      <c r="G10" t="str">
        <f>"MGI:1930197"</f>
        <v>MGI:1930197</v>
      </c>
      <c r="H10" t="str">
        <f>"Ncapg"</f>
        <v>Ncapg</v>
      </c>
      <c r="I10" t="s">
        <v>15</v>
      </c>
      <c r="J10" t="s">
        <v>13</v>
      </c>
    </row>
    <row r="11" spans="1:13">
      <c r="A11">
        <v>10594774</v>
      </c>
      <c r="B11">
        <v>17.9363063495856</v>
      </c>
      <c r="C11">
        <v>15.9920519691342</v>
      </c>
      <c r="E11" t="str">
        <f>"10594774"</f>
        <v>10594774</v>
      </c>
      <c r="F11" t="str">
        <f t="shared" si="0"/>
        <v>Affy 1.0 ST</v>
      </c>
      <c r="G11" t="str">
        <f>"MGI:88311"</f>
        <v>MGI:88311</v>
      </c>
      <c r="H11" t="str">
        <f>"Ccnb2"</f>
        <v>Ccnb2</v>
      </c>
      <c r="I11" t="str">
        <f>"cyclin B2"</f>
        <v>cyclin B2</v>
      </c>
      <c r="J11" t="str">
        <f>"protein coding gene"</f>
        <v>protein coding gene</v>
      </c>
    </row>
    <row r="12" spans="1:13">
      <c r="A12">
        <v>10394978</v>
      </c>
      <c r="B12">
        <v>17.285360885108499</v>
      </c>
      <c r="C12">
        <v>12.6430146128031</v>
      </c>
      <c r="E12" t="str">
        <f>"10394978"</f>
        <v>10394978</v>
      </c>
      <c r="F12" t="str">
        <f t="shared" si="0"/>
        <v>Affy 1.0 ST</v>
      </c>
      <c r="G12" t="str">
        <f>"MGI:98181"</f>
        <v>MGI:98181</v>
      </c>
      <c r="H12" t="str">
        <f>"Rrm2"</f>
        <v>Rrm2</v>
      </c>
      <c r="I12" t="str">
        <f>"ribonucleotide reductase M2"</f>
        <v>ribonucleotide reductase M2</v>
      </c>
      <c r="J12" t="str">
        <f>"protein coding gene"</f>
        <v>protein coding gene</v>
      </c>
    </row>
    <row r="13" spans="1:13">
      <c r="A13">
        <v>10477187</v>
      </c>
      <c r="B13">
        <v>14.761533823149399</v>
      </c>
      <c r="C13">
        <v>9.0465588682392095</v>
      </c>
      <c r="E13" t="str">
        <f>"10477187"</f>
        <v>10477187</v>
      </c>
      <c r="F13" t="str">
        <f t="shared" si="0"/>
        <v>Affy 1.0 ST</v>
      </c>
      <c r="G13" t="str">
        <f>"MGI:1919369"</f>
        <v>MGI:1919369</v>
      </c>
      <c r="H13" t="str">
        <f>"Tpx2"</f>
        <v>Tpx2</v>
      </c>
      <c r="I13" t="s">
        <v>16</v>
      </c>
      <c r="J13" t="s">
        <v>13</v>
      </c>
    </row>
    <row r="14" spans="1:13">
      <c r="A14">
        <v>10590494</v>
      </c>
      <c r="B14">
        <v>14.3663409567898</v>
      </c>
      <c r="C14">
        <v>9.2323655804110007</v>
      </c>
      <c r="E14" t="str">
        <f>"10590494"</f>
        <v>10590494</v>
      </c>
      <c r="F14" t="str">
        <f t="shared" si="0"/>
        <v>Affy 1.0 ST</v>
      </c>
      <c r="G14" t="str">
        <f>"MGI:1098258"</f>
        <v>MGI:1098258</v>
      </c>
      <c r="H14" t="str">
        <f>"Kif15"</f>
        <v>Kif15</v>
      </c>
      <c r="I14" t="str">
        <f>"kinesin family member 15"</f>
        <v>kinesin family member 15</v>
      </c>
      <c r="J14" t="str">
        <f>"protein coding gene"</f>
        <v>protein coding gene</v>
      </c>
    </row>
    <row r="15" spans="1:13">
      <c r="A15">
        <v>10404063</v>
      </c>
      <c r="B15">
        <v>13.380835381848</v>
      </c>
      <c r="C15">
        <v>10.5106173147348</v>
      </c>
      <c r="E15" t="str">
        <f>"10404063"</f>
        <v>10404063</v>
      </c>
      <c r="F15" t="str">
        <f t="shared" si="0"/>
        <v>Affy 1.0 ST</v>
      </c>
      <c r="G15" t="str">
        <f>"MGI:2448306"</f>
        <v>MGI:2448306</v>
      </c>
      <c r="H15" t="str">
        <f>"Hist1h2ab"</f>
        <v>Hist1h2ab</v>
      </c>
      <c r="I15" t="s">
        <v>17</v>
      </c>
      <c r="J15" t="s">
        <v>13</v>
      </c>
    </row>
    <row r="16" spans="1:13">
      <c r="A16">
        <v>10350838</v>
      </c>
      <c r="B16">
        <v>13.347623311472899</v>
      </c>
      <c r="C16">
        <v>8.5014297975262494</v>
      </c>
      <c r="E16" t="str">
        <f>"10350838"</f>
        <v>10350838</v>
      </c>
      <c r="F16" t="str">
        <f t="shared" si="0"/>
        <v>Affy 1.0 ST</v>
      </c>
      <c r="G16" t="str">
        <f>"MGI:1915276"</f>
        <v>MGI:1915276</v>
      </c>
      <c r="H16" t="str">
        <f>"2810417H13Rik"</f>
        <v>2810417H13Rik</v>
      </c>
      <c r="I16" t="str">
        <f>"RIKEN cDNA 2810417H13 gene"</f>
        <v>RIKEN cDNA 2810417H13 gene</v>
      </c>
      <c r="J16" t="str">
        <f>"protein coding gene"</f>
        <v>protein coding gene</v>
      </c>
    </row>
    <row r="17" spans="1:10">
      <c r="A17">
        <v>10359890</v>
      </c>
      <c r="B17">
        <v>13.165878315890501</v>
      </c>
      <c r="C17">
        <v>8.9473277485605198</v>
      </c>
      <c r="E17" t="str">
        <f>"10359890"</f>
        <v>10359890</v>
      </c>
      <c r="F17" t="str">
        <f t="shared" si="0"/>
        <v>Affy 1.0 ST</v>
      </c>
      <c r="G17" t="str">
        <f>"MGI:1914227"</f>
        <v>MGI:1914227</v>
      </c>
      <c r="H17" t="str">
        <f>"Nuf2"</f>
        <v>Nuf2</v>
      </c>
      <c r="I17" t="s">
        <v>18</v>
      </c>
      <c r="J17" t="s">
        <v>13</v>
      </c>
    </row>
    <row r="18" spans="1:10">
      <c r="A18">
        <v>10436106</v>
      </c>
      <c r="B18">
        <v>11.6775883339294</v>
      </c>
      <c r="C18">
        <v>7.8157942253392703</v>
      </c>
      <c r="E18" t="str">
        <f>"10436106"</f>
        <v>10436106</v>
      </c>
      <c r="F18" t="str">
        <f t="shared" si="0"/>
        <v>Affy 1.0 ST</v>
      </c>
      <c r="G18" t="str">
        <f>"MGI:2146335"</f>
        <v>MGI:2146335</v>
      </c>
      <c r="H18" t="str">
        <f>"C330027C09Rik"</f>
        <v>C330027C09Rik</v>
      </c>
      <c r="I18" t="str">
        <f>"RIKEN cDNA C330027C09 gene"</f>
        <v>RIKEN cDNA C330027C09 gene</v>
      </c>
      <c r="J18" t="str">
        <f t="shared" ref="J18:J27" si="1">"protein coding gene"</f>
        <v>protein coding gene</v>
      </c>
    </row>
    <row r="19" spans="1:10">
      <c r="A19">
        <v>10601011</v>
      </c>
      <c r="B19">
        <v>11.4173494996671</v>
      </c>
      <c r="C19">
        <v>7.8760607772385303</v>
      </c>
      <c r="E19" t="str">
        <f>"10601011"</f>
        <v>10601011</v>
      </c>
      <c r="F19" t="str">
        <f t="shared" si="0"/>
        <v>Affy 1.0 ST</v>
      </c>
      <c r="G19" t="str">
        <f>"MGI:108389"</f>
        <v>MGI:108389</v>
      </c>
      <c r="H19" t="str">
        <f>"Kif4"</f>
        <v>Kif4</v>
      </c>
      <c r="I19" t="str">
        <f>"kinesin family member 4"</f>
        <v>kinesin family member 4</v>
      </c>
      <c r="J19" t="str">
        <f t="shared" si="1"/>
        <v>protein coding gene</v>
      </c>
    </row>
    <row r="20" spans="1:10">
      <c r="A20">
        <v>10507112</v>
      </c>
      <c r="B20">
        <v>11.322900389918299</v>
      </c>
      <c r="C20">
        <v>5.87316821064511</v>
      </c>
      <c r="E20" t="str">
        <f>"10507112"</f>
        <v>10507112</v>
      </c>
      <c r="F20" t="str">
        <f t="shared" si="0"/>
        <v>Affy 1.0 ST</v>
      </c>
      <c r="G20" t="str">
        <f>"MGI:107477"</f>
        <v>MGI:107477</v>
      </c>
      <c r="H20" t="str">
        <f>"Stil"</f>
        <v>Stil</v>
      </c>
      <c r="I20" t="str">
        <f>"Scl/Tal1 interrupting locus"</f>
        <v>Scl/Tal1 interrupting locus</v>
      </c>
      <c r="J20" t="str">
        <f t="shared" si="1"/>
        <v>protein coding gene</v>
      </c>
    </row>
    <row r="21" spans="1:10">
      <c r="A21">
        <v>10496204</v>
      </c>
      <c r="B21">
        <v>11.2101888035931</v>
      </c>
      <c r="C21">
        <v>7.2126148872031504</v>
      </c>
      <c r="E21" t="str">
        <f>"10496204"</f>
        <v>10496204</v>
      </c>
      <c r="F21" t="str">
        <f t="shared" si="0"/>
        <v>Affy 1.0 ST</v>
      </c>
      <c r="G21" t="str">
        <f>"MGI:1098230"</f>
        <v>MGI:1098230</v>
      </c>
      <c r="H21" t="str">
        <f>"Cenpe"</f>
        <v>Cenpe</v>
      </c>
      <c r="I21" t="str">
        <f>"centromere protein E"</f>
        <v>centromere protein E</v>
      </c>
      <c r="J21" t="str">
        <f t="shared" si="1"/>
        <v>protein coding gene</v>
      </c>
    </row>
    <row r="22" spans="1:10">
      <c r="A22">
        <v>10563780</v>
      </c>
      <c r="B22">
        <v>11.2013886787401</v>
      </c>
      <c r="C22">
        <v>5.7921256743178304</v>
      </c>
      <c r="E22" t="str">
        <f>"10563780"</f>
        <v>10563780</v>
      </c>
      <c r="F22" t="str">
        <f t="shared" si="0"/>
        <v>Affy 1.0 ST</v>
      </c>
      <c r="G22" t="str">
        <f>"MGI:1922038"</f>
        <v>MGI:1922038</v>
      </c>
      <c r="H22" t="str">
        <f>"E2f8"</f>
        <v>E2f8</v>
      </c>
      <c r="I22" t="str">
        <f>"E2F transcription factor 8"</f>
        <v>E2F transcription factor 8</v>
      </c>
      <c r="J22" t="str">
        <f t="shared" si="1"/>
        <v>protein coding gene</v>
      </c>
    </row>
    <row r="23" spans="1:10">
      <c r="A23">
        <v>10474875</v>
      </c>
      <c r="B23">
        <v>10.7049931114276</v>
      </c>
      <c r="C23">
        <v>6.5982941507449704</v>
      </c>
      <c r="E23" t="str">
        <f>"10474875"</f>
        <v>10474875</v>
      </c>
      <c r="F23" t="str">
        <f t="shared" si="0"/>
        <v>Affy 1.0 ST</v>
      </c>
      <c r="G23" t="str">
        <f>"MGI:1923714"</f>
        <v>MGI:1923714</v>
      </c>
      <c r="H23" t="str">
        <f>"Casc5"</f>
        <v>Casc5</v>
      </c>
      <c r="I23" t="str">
        <f>"cancer susceptibility candidate 5"</f>
        <v>cancer susceptibility candidate 5</v>
      </c>
      <c r="J23" t="str">
        <f t="shared" si="1"/>
        <v>protein coding gene</v>
      </c>
    </row>
    <row r="24" spans="1:10">
      <c r="A24">
        <v>10403980</v>
      </c>
      <c r="B24">
        <v>10.6355933171924</v>
      </c>
      <c r="C24">
        <v>8.2744962874908801</v>
      </c>
      <c r="E24" t="str">
        <f>"10403980"</f>
        <v>10403980</v>
      </c>
      <c r="F24" t="str">
        <f t="shared" si="0"/>
        <v>Affy 1.0 ST</v>
      </c>
      <c r="G24" t="str">
        <f>"MGI:3710645"</f>
        <v>MGI:3710645</v>
      </c>
      <c r="H24" t="str">
        <f>"Hist1h2br"</f>
        <v>Hist1h2br</v>
      </c>
      <c r="I24" t="str">
        <f>"histone cluster 1 H2br"</f>
        <v>histone cluster 1 H2br</v>
      </c>
      <c r="J24" t="str">
        <f t="shared" si="1"/>
        <v>protein coding gene</v>
      </c>
    </row>
    <row r="25" spans="1:10">
      <c r="A25">
        <v>10485963</v>
      </c>
      <c r="B25">
        <v>10.5910082142974</v>
      </c>
      <c r="C25">
        <v>8.8564204496105496</v>
      </c>
      <c r="E25" t="str">
        <f>"10485963"</f>
        <v>10485963</v>
      </c>
      <c r="F25" t="str">
        <f t="shared" si="0"/>
        <v>Affy 1.0 ST</v>
      </c>
      <c r="G25" t="str">
        <f>"MGI:2444300"</f>
        <v>MGI:2444300</v>
      </c>
      <c r="H25" t="str">
        <f>"Arhgap11a"</f>
        <v>Arhgap11a</v>
      </c>
      <c r="I25" t="str">
        <f>"Rho GTPase activating protein 11A"</f>
        <v>Rho GTPase activating protein 11A</v>
      </c>
      <c r="J25" t="str">
        <f t="shared" si="1"/>
        <v>protein coding gene</v>
      </c>
    </row>
    <row r="26" spans="1:10">
      <c r="A26">
        <v>10562637</v>
      </c>
      <c r="B26">
        <v>10.5180098580189</v>
      </c>
      <c r="C26">
        <v>9.5040795837568304</v>
      </c>
      <c r="E26" t="str">
        <f>"10562637"</f>
        <v>10562637</v>
      </c>
      <c r="F26" t="str">
        <f t="shared" si="0"/>
        <v>Affy 1.0 ST</v>
      </c>
      <c r="G26" t="str">
        <f>"MGI:88302"</f>
        <v>MGI:88302</v>
      </c>
      <c r="H26" t="str">
        <f>"Ccnb1"</f>
        <v>Ccnb1</v>
      </c>
      <c r="I26" t="str">
        <f>"cyclin B1"</f>
        <v>cyclin B1</v>
      </c>
      <c r="J26" t="str">
        <f t="shared" si="1"/>
        <v>protein coding gene</v>
      </c>
    </row>
    <row r="27" spans="1:10">
      <c r="A27">
        <v>10576883</v>
      </c>
      <c r="B27">
        <v>10.5014274406746</v>
      </c>
      <c r="C27">
        <v>7.8655032954506403</v>
      </c>
      <c r="E27" t="str">
        <f>"10576883"</f>
        <v>10576883</v>
      </c>
      <c r="F27" t="str">
        <f t="shared" si="0"/>
        <v>Affy 1.0 ST</v>
      </c>
      <c r="G27" t="str">
        <f>"MGI:1338802"</f>
        <v>MGI:1338802</v>
      </c>
      <c r="H27" t="str">
        <f>"Shcbp1"</f>
        <v>Shcbp1</v>
      </c>
      <c r="I27" t="str">
        <f>"Shc SH2-domain binding protein 1"</f>
        <v>Shc SH2-domain binding protein 1</v>
      </c>
      <c r="J27" t="str">
        <f t="shared" si="1"/>
        <v>protein coding gene</v>
      </c>
    </row>
    <row r="28" spans="1:10">
      <c r="A28">
        <v>10474769</v>
      </c>
      <c r="B28">
        <v>10.396157800373601</v>
      </c>
      <c r="C28">
        <v>8.9011959556787303</v>
      </c>
      <c r="E28" t="str">
        <f>"10474769"</f>
        <v>10474769</v>
      </c>
      <c r="F28" t="str">
        <f t="shared" si="0"/>
        <v>Affy 1.0 ST</v>
      </c>
      <c r="G28" t="str">
        <f>"MGI:1333889"</f>
        <v>MGI:1333889</v>
      </c>
      <c r="H28" t="str">
        <f>"Bub1b"</f>
        <v>Bub1b</v>
      </c>
      <c r="I28" t="s">
        <v>19</v>
      </c>
      <c r="J28" t="s">
        <v>13</v>
      </c>
    </row>
    <row r="29" spans="1:10">
      <c r="A29">
        <v>10361110</v>
      </c>
      <c r="B29">
        <v>10.223134240761301</v>
      </c>
      <c r="C29">
        <v>3.05954262479352</v>
      </c>
      <c r="E29" t="str">
        <f>"10361110"</f>
        <v>10361110</v>
      </c>
      <c r="F29" t="str">
        <f t="shared" si="0"/>
        <v>Affy 1.0 ST</v>
      </c>
      <c r="G29" t="str">
        <f>"MGI:1924093"</f>
        <v>MGI:1924093</v>
      </c>
      <c r="H29" t="str">
        <f>"Dtl"</f>
        <v>Dtl</v>
      </c>
      <c r="I29" t="str">
        <f>"denticleless homolog (Drosophila)"</f>
        <v>denticleless homolog (Drosophila)</v>
      </c>
      <c r="J29" t="str">
        <f>"protein coding gene"</f>
        <v>protein coding gene</v>
      </c>
    </row>
    <row r="30" spans="1:10">
      <c r="A30">
        <v>10404026</v>
      </c>
      <c r="B30">
        <v>10.0910414572752</v>
      </c>
      <c r="C30">
        <v>5.9491537861030199</v>
      </c>
      <c r="E30" t="str">
        <f>"10404026"</f>
        <v>10404026</v>
      </c>
      <c r="F30" t="str">
        <f t="shared" si="0"/>
        <v>Affy 1.0 ST</v>
      </c>
      <c r="G30" t="str">
        <f>"MGI:2448309"</f>
        <v>MGI:2448309</v>
      </c>
      <c r="H30" t="str">
        <f>"Hist1h2af"</f>
        <v>Hist1h2af</v>
      </c>
      <c r="I30" t="s">
        <v>20</v>
      </c>
      <c r="J30" t="s">
        <v>13</v>
      </c>
    </row>
    <row r="31" spans="1:10">
      <c r="A31">
        <v>10462973</v>
      </c>
      <c r="B31">
        <v>9.9424117681755</v>
      </c>
      <c r="C31">
        <v>5.7843221157023397</v>
      </c>
      <c r="E31" t="str">
        <f>"10462973"</f>
        <v>10462973</v>
      </c>
      <c r="F31" t="str">
        <f t="shared" si="0"/>
        <v>Affy 1.0 ST</v>
      </c>
      <c r="G31" t="str">
        <f>"MGI:106209"</f>
        <v>MGI:106209</v>
      </c>
      <c r="H31" t="str">
        <f>"Hells"</f>
        <v>Hells</v>
      </c>
      <c r="I31" t="s">
        <v>21</v>
      </c>
      <c r="J31" t="s">
        <v>13</v>
      </c>
    </row>
    <row r="32" spans="1:10">
      <c r="A32">
        <v>10446074</v>
      </c>
      <c r="B32">
        <v>9.9325933388665995</v>
      </c>
      <c r="C32">
        <v>6.8713089105894101</v>
      </c>
      <c r="E32" t="str">
        <f>"10446074"</f>
        <v>10446074</v>
      </c>
      <c r="F32" t="str">
        <f t="shared" si="0"/>
        <v>Affy 1.0 ST</v>
      </c>
      <c r="G32" t="str">
        <f>"MGI:1338889"</f>
        <v>MGI:1338889</v>
      </c>
      <c r="H32" t="str">
        <f>"Uhrf1"</f>
        <v>Uhrf1</v>
      </c>
      <c r="I32" t="s">
        <v>22</v>
      </c>
      <c r="J32" t="s">
        <v>13</v>
      </c>
    </row>
    <row r="33" spans="1:10">
      <c r="A33">
        <v>10515431</v>
      </c>
      <c r="B33">
        <v>9.7649804977454</v>
      </c>
      <c r="C33">
        <v>8.4728350603482205</v>
      </c>
      <c r="E33" t="str">
        <f>"10515431"</f>
        <v>10515431</v>
      </c>
      <c r="F33" t="str">
        <f t="shared" si="0"/>
        <v>Affy 1.0 ST</v>
      </c>
      <c r="G33" t="str">
        <f>"MGI:1921054"</f>
        <v>MGI:1921054</v>
      </c>
      <c r="H33" t="str">
        <f>"Kif2c"</f>
        <v>Kif2c</v>
      </c>
      <c r="I33" t="str">
        <f>"kinesin family member 2C"</f>
        <v>kinesin family member 2C</v>
      </c>
      <c r="J33" t="str">
        <f>"protein coding gene"</f>
        <v>protein coding gene</v>
      </c>
    </row>
    <row r="34" spans="1:10">
      <c r="A34">
        <v>10563883</v>
      </c>
      <c r="B34">
        <v>9.7614650809702006</v>
      </c>
      <c r="C34">
        <v>7.2548654334910303</v>
      </c>
      <c r="E34" t="str">
        <f>"10563883"</f>
        <v>10563883</v>
      </c>
      <c r="F34" t="str">
        <f t="shared" si="0"/>
        <v>Affy 1.0 ST</v>
      </c>
      <c r="G34" t="str">
        <f>"MGI:1923381"</f>
        <v>MGI:1923381</v>
      </c>
      <c r="H34" t="str">
        <f>"Depdc1a"</f>
        <v>Depdc1a</v>
      </c>
      <c r="I34" t="str">
        <f>"DEP domain containing 1a"</f>
        <v>DEP domain containing 1a</v>
      </c>
      <c r="J34" t="str">
        <f>"protein coding gene"</f>
        <v>protein coding gene</v>
      </c>
    </row>
    <row r="35" spans="1:10">
      <c r="A35">
        <v>10592201</v>
      </c>
      <c r="B35">
        <v>9.7125670498463794</v>
      </c>
      <c r="C35">
        <v>4.33968146128431</v>
      </c>
      <c r="E35" t="str">
        <f>"10592201"</f>
        <v>10592201</v>
      </c>
      <c r="F35" t="str">
        <f t="shared" si="0"/>
        <v>Affy 1.0 ST</v>
      </c>
      <c r="G35" t="str">
        <f>"MGI:1202065"</f>
        <v>MGI:1202065</v>
      </c>
      <c r="H35" t="str">
        <f>"Chek1"</f>
        <v>Chek1</v>
      </c>
      <c r="I35" t="str">
        <f>"checkpoint kinase 1 homolog (S. pombe)"</f>
        <v>checkpoint kinase 1 homolog (S. pombe)</v>
      </c>
      <c r="J35" t="str">
        <f>"protein coding gene"</f>
        <v>protein coding gene</v>
      </c>
    </row>
    <row r="36" spans="1:10">
      <c r="A36">
        <v>10525591</v>
      </c>
      <c r="B36">
        <v>9.5769661771724</v>
      </c>
      <c r="C36">
        <v>5.7279259493946197</v>
      </c>
      <c r="E36" t="str">
        <f>"10525591"</f>
        <v>10525591</v>
      </c>
      <c r="F36" t="str">
        <f t="shared" si="0"/>
        <v>Affy 1.0 ST</v>
      </c>
      <c r="G36" t="str">
        <f>"MGI:2673709"</f>
        <v>MGI:2673709</v>
      </c>
      <c r="H36" t="str">
        <f>"Kntc1"</f>
        <v>Kntc1</v>
      </c>
      <c r="I36" t="str">
        <f>"kinetochore associated 1"</f>
        <v>kinetochore associated 1</v>
      </c>
      <c r="J36" t="str">
        <f>"protein coding gene"</f>
        <v>protein coding gene</v>
      </c>
    </row>
    <row r="37" spans="1:10">
      <c r="A37">
        <v>10404069</v>
      </c>
      <c r="B37">
        <v>9.3978301268014004</v>
      </c>
      <c r="C37">
        <v>7.51589802086938</v>
      </c>
      <c r="E37" t="str">
        <f>"10404069"</f>
        <v>10404069</v>
      </c>
      <c r="F37" t="str">
        <f t="shared" si="0"/>
        <v>Affy 1.0 ST</v>
      </c>
      <c r="G37" t="str">
        <f>"MGI:1931523"</f>
        <v>MGI:1931523</v>
      </c>
      <c r="H37" t="str">
        <f>"Hist1h1a"</f>
        <v>Hist1h1a</v>
      </c>
      <c r="I37" t="s">
        <v>23</v>
      </c>
      <c r="J37" t="s">
        <v>13</v>
      </c>
    </row>
    <row r="38" spans="1:10">
      <c r="A38">
        <v>10385248</v>
      </c>
      <c r="B38">
        <v>9.3303777385417703</v>
      </c>
      <c r="C38">
        <v>7.3213379818317801</v>
      </c>
      <c r="E38" t="str">
        <f>"10385248"</f>
        <v>10385248</v>
      </c>
      <c r="F38" t="str">
        <f t="shared" si="0"/>
        <v>Affy 1.0 ST</v>
      </c>
      <c r="G38" t="str">
        <f>"MGI:104667"</f>
        <v>MGI:104667</v>
      </c>
      <c r="H38" t="str">
        <f>"Hmmr"</f>
        <v>Hmmr</v>
      </c>
      <c r="I38" t="str">
        <f>"hyaluronan mediated motility receptor (RHAMM)"</f>
        <v>hyaluronan mediated motility receptor (RHAMM)</v>
      </c>
      <c r="J38" t="str">
        <f>"protein coding gene"</f>
        <v>protein coding gene</v>
      </c>
    </row>
    <row r="39" spans="1:10">
      <c r="A39">
        <v>10557156</v>
      </c>
      <c r="B39">
        <v>9.2485073400978504</v>
      </c>
      <c r="C39">
        <v>7.5623000296299496</v>
      </c>
      <c r="E39" t="str">
        <f>"10557156"</f>
        <v>10557156</v>
      </c>
      <c r="F39" t="str">
        <f t="shared" si="0"/>
        <v>Affy 1.0 ST</v>
      </c>
      <c r="G39" t="str">
        <f>"MGI:97621"</f>
        <v>MGI:97621</v>
      </c>
      <c r="H39" t="str">
        <f>"Plk1"</f>
        <v>Plk1</v>
      </c>
      <c r="I39" t="str">
        <f>"polo-like kinase 1 (Drosophila)"</f>
        <v>polo-like kinase 1 (Drosophila)</v>
      </c>
      <c r="J39" t="str">
        <f>"protein coding gene"</f>
        <v>protein coding gene</v>
      </c>
    </row>
    <row r="40" spans="1:10">
      <c r="A40">
        <v>10420426</v>
      </c>
      <c r="B40">
        <v>9.2164181805475192</v>
      </c>
      <c r="C40">
        <v>7.0948493831185599</v>
      </c>
      <c r="E40" t="str">
        <f>"10420426"</f>
        <v>10420426</v>
      </c>
      <c r="F40" t="str">
        <f t="shared" si="0"/>
        <v>Affy 1.0 ST</v>
      </c>
      <c r="G40" t="str">
        <f>"MGI:3041235"</f>
        <v>MGI:3041235</v>
      </c>
      <c r="H40" t="str">
        <f>"F630043A04Rik"</f>
        <v>F630043A04Rik</v>
      </c>
      <c r="I40" t="str">
        <f>"RIKEN cDNA F630043A04 gene"</f>
        <v>RIKEN cDNA F630043A04 gene</v>
      </c>
      <c r="J40" t="str">
        <f>"protein coding gene"</f>
        <v>protein coding gene</v>
      </c>
    </row>
    <row r="41" spans="1:10">
      <c r="A41">
        <v>10462866</v>
      </c>
      <c r="B41">
        <v>8.9637468726851797</v>
      </c>
      <c r="C41">
        <v>6.62202866741801</v>
      </c>
      <c r="E41" t="str">
        <f>"10462866"</f>
        <v>10462866</v>
      </c>
      <c r="F41" t="str">
        <f t="shared" si="0"/>
        <v>Affy 1.0 ST</v>
      </c>
      <c r="G41" t="str">
        <f>"MGI:1921357"</f>
        <v>MGI:1921357</v>
      </c>
      <c r="H41" t="str">
        <f>"Cep55"</f>
        <v>Cep55</v>
      </c>
      <c r="I41" t="str">
        <f>"centrosomal protein 55"</f>
        <v>centrosomal protein 55</v>
      </c>
      <c r="J41" t="str">
        <f>"protein coding gene"</f>
        <v>protein coding gene</v>
      </c>
    </row>
    <row r="42" spans="1:10">
      <c r="A42">
        <v>10404061</v>
      </c>
      <c r="B42">
        <v>8.9337129639243198</v>
      </c>
      <c r="C42">
        <v>6.9414098131939301</v>
      </c>
      <c r="E42" t="str">
        <f>"10404061"</f>
        <v>10404061</v>
      </c>
      <c r="F42" t="str">
        <f t="shared" si="0"/>
        <v>Affy 1.0 ST</v>
      </c>
      <c r="G42" t="str">
        <f>"MGI:2448377"</f>
        <v>MGI:2448377</v>
      </c>
      <c r="H42" t="str">
        <f>"Hist1h2bb"</f>
        <v>Hist1h2bb</v>
      </c>
      <c r="I42" t="s">
        <v>24</v>
      </c>
      <c r="J42" t="s">
        <v>13</v>
      </c>
    </row>
    <row r="43" spans="1:10">
      <c r="A43">
        <v>10384373</v>
      </c>
      <c r="B43">
        <v>8.7610194650152096</v>
      </c>
      <c r="C43">
        <v>4.4711920355946697</v>
      </c>
      <c r="E43" t="str">
        <f>"10384373"</f>
        <v>10384373</v>
      </c>
      <c r="F43" t="str">
        <f t="shared" si="0"/>
        <v>Affy 1.0 ST</v>
      </c>
      <c r="G43" t="str">
        <f>"MGI:1890648"</f>
        <v>MGI:1890648</v>
      </c>
      <c r="H43" t="str">
        <f>"Fignl1"</f>
        <v>Fignl1</v>
      </c>
      <c r="I43" t="str">
        <f>"fidgetin-like 1"</f>
        <v>fidgetin-like 1</v>
      </c>
      <c r="J43" t="str">
        <f t="shared" ref="J43:J54" si="2">"protein coding gene"</f>
        <v>protein coding gene</v>
      </c>
    </row>
    <row r="44" spans="1:10">
      <c r="A44">
        <v>10420877</v>
      </c>
      <c r="B44">
        <v>8.7101737304262308</v>
      </c>
      <c r="C44">
        <v>6.1765419318886501</v>
      </c>
      <c r="E44" t="str">
        <f>"10420877"</f>
        <v>10420877</v>
      </c>
      <c r="F44" t="str">
        <f t="shared" si="0"/>
        <v>Affy 1.0 ST</v>
      </c>
      <c r="G44" t="str">
        <f>"MGI:1919238"</f>
        <v>MGI:1919238</v>
      </c>
      <c r="H44" t="str">
        <f>"Esco2"</f>
        <v>Esco2</v>
      </c>
      <c r="I44" t="str">
        <f>"establishment of cohesion 1 homolog 2 (S. cerevisiae)"</f>
        <v>establishment of cohesion 1 homolog 2 (S. cerevisiae)</v>
      </c>
      <c r="J44" t="str">
        <f t="shared" si="2"/>
        <v>protein coding gene</v>
      </c>
    </row>
    <row r="45" spans="1:10">
      <c r="A45">
        <v>10379127</v>
      </c>
      <c r="B45">
        <v>8.6478249233841602</v>
      </c>
      <c r="C45">
        <v>6.3816492271766103</v>
      </c>
      <c r="E45" t="str">
        <f>"10379127"</f>
        <v>10379127</v>
      </c>
      <c r="F45" t="str">
        <f t="shared" si="0"/>
        <v>Affy 1.0 ST</v>
      </c>
      <c r="G45" t="str">
        <f>"MGI:1927470"</f>
        <v>MGI:1927470</v>
      </c>
      <c r="H45" t="str">
        <f>"Spag5"</f>
        <v>Spag5</v>
      </c>
      <c r="I45" t="str">
        <f>"sperm associated antigen 5"</f>
        <v>sperm associated antigen 5</v>
      </c>
      <c r="J45" t="str">
        <f t="shared" si="2"/>
        <v>protein coding gene</v>
      </c>
    </row>
    <row r="46" spans="1:10">
      <c r="A46">
        <v>10454709</v>
      </c>
      <c r="B46">
        <v>8.5291576263357793</v>
      </c>
      <c r="C46">
        <v>7.2976639261376199</v>
      </c>
      <c r="E46" t="str">
        <f>"10454709"</f>
        <v>10454709</v>
      </c>
      <c r="F46" t="str">
        <f t="shared" si="0"/>
        <v>Affy 1.0 ST</v>
      </c>
      <c r="G46" t="str">
        <f>"MGI:1201682"</f>
        <v>MGI:1201682</v>
      </c>
      <c r="H46" t="str">
        <f>"Kif20a"</f>
        <v>Kif20a</v>
      </c>
      <c r="I46" t="str">
        <f>"kinesin family member 20A"</f>
        <v>kinesin family member 20A</v>
      </c>
      <c r="J46" t="str">
        <f t="shared" si="2"/>
        <v>protein coding gene</v>
      </c>
    </row>
    <row r="47" spans="1:10">
      <c r="A47">
        <v>10508151</v>
      </c>
      <c r="B47">
        <v>8.4277344804224406</v>
      </c>
      <c r="C47">
        <v>4.9160514202560703</v>
      </c>
      <c r="E47" t="str">
        <f>"10508151"</f>
        <v>10508151</v>
      </c>
      <c r="F47" t="str">
        <f t="shared" si="0"/>
        <v>Affy 1.0 ST</v>
      </c>
      <c r="G47" t="str">
        <f>"MGI:2445153"</f>
        <v>MGI:2445153</v>
      </c>
      <c r="H47" t="str">
        <f>"Clspn"</f>
        <v>Clspn</v>
      </c>
      <c r="I47" t="str">
        <f>"claspin homolog (Xenopus laevis)"</f>
        <v>claspin homolog (Xenopus laevis)</v>
      </c>
      <c r="J47" t="str">
        <f t="shared" si="2"/>
        <v>protein coding gene</v>
      </c>
    </row>
    <row r="48" spans="1:10">
      <c r="A48">
        <v>10571870</v>
      </c>
      <c r="B48">
        <v>8.2703381178831208</v>
      </c>
      <c r="C48">
        <v>7.5839946020238402</v>
      </c>
      <c r="E48" t="str">
        <f>"10571870"</f>
        <v>10571870</v>
      </c>
      <c r="F48" t="str">
        <f t="shared" si="0"/>
        <v>Affy 1.0 ST</v>
      </c>
      <c r="G48" t="str">
        <f>"MGI:96157"</f>
        <v>MGI:96157</v>
      </c>
      <c r="H48" t="str">
        <f>"Hmgb2"</f>
        <v>Hmgb2</v>
      </c>
      <c r="I48" t="str">
        <f>"high mobility group box 2"</f>
        <v>high mobility group box 2</v>
      </c>
      <c r="J48" t="str">
        <f t="shared" si="2"/>
        <v>protein coding gene</v>
      </c>
    </row>
    <row r="49" spans="1:10">
      <c r="A49">
        <v>10513818</v>
      </c>
      <c r="B49">
        <v>8.1796015907121404</v>
      </c>
      <c r="C49">
        <v>5.7255936673778303</v>
      </c>
      <c r="E49" t="str">
        <f>"10513818"</f>
        <v>10513818</v>
      </c>
      <c r="F49" t="str">
        <f t="shared" si="0"/>
        <v>Affy 1.0 ST</v>
      </c>
      <c r="G49" t="str">
        <f>"MGI:96739"</f>
        <v>MGI:96739</v>
      </c>
      <c r="H49" t="str">
        <f>"Stmn1"</f>
        <v>Stmn1</v>
      </c>
      <c r="I49" t="str">
        <f>"stathmin 1"</f>
        <v>stathmin 1</v>
      </c>
      <c r="J49" t="str">
        <f t="shared" si="2"/>
        <v>protein coding gene</v>
      </c>
    </row>
    <row r="50" spans="1:10">
      <c r="A50">
        <v>10573261</v>
      </c>
      <c r="B50">
        <v>8.1339740717748992</v>
      </c>
      <c r="C50">
        <v>4.5004482111644197</v>
      </c>
      <c r="E50" t="str">
        <f>"10573261"</f>
        <v>10573261</v>
      </c>
      <c r="F50" t="str">
        <f t="shared" si="0"/>
        <v>Affy 1.0 ST</v>
      </c>
      <c r="G50" t="str">
        <f>"MGI:1914179"</f>
        <v>MGI:1914179</v>
      </c>
      <c r="H50" t="str">
        <f>"Asf1b"</f>
        <v>Asf1b</v>
      </c>
      <c r="I50" t="str">
        <f>"ASF1 anti-silencing function 1 homolog B (S. cerevisiae)"</f>
        <v>ASF1 anti-silencing function 1 homolog B (S. cerevisiae)</v>
      </c>
      <c r="J50" t="str">
        <f t="shared" si="2"/>
        <v>protein coding gene</v>
      </c>
    </row>
    <row r="51" spans="1:10">
      <c r="A51">
        <v>10554445</v>
      </c>
      <c r="B51">
        <v>7.9952321640950599</v>
      </c>
      <c r="C51">
        <v>5.07448657372555</v>
      </c>
      <c r="E51" t="str">
        <f>"10554445"</f>
        <v>10554445</v>
      </c>
      <c r="F51" t="str">
        <f t="shared" si="0"/>
        <v>Affy 1.0 ST</v>
      </c>
      <c r="G51" t="str">
        <f>"MGI:1858961"</f>
        <v>MGI:1858961</v>
      </c>
      <c r="H51" t="str">
        <f>"Prc1"</f>
        <v>Prc1</v>
      </c>
      <c r="I51" t="str">
        <f>"protein regulator of cytokinesis 1"</f>
        <v>protein regulator of cytokinesis 1</v>
      </c>
      <c r="J51" t="str">
        <f t="shared" si="2"/>
        <v>protein coding gene</v>
      </c>
    </row>
    <row r="52" spans="1:10">
      <c r="A52">
        <v>10578690</v>
      </c>
      <c r="B52">
        <v>7.9282519888263003</v>
      </c>
      <c r="C52">
        <v>4.7415155695672198</v>
      </c>
      <c r="E52" t="str">
        <f>"10578690"</f>
        <v>10578690</v>
      </c>
      <c r="F52" t="str">
        <f t="shared" si="0"/>
        <v>Affy 1.0 ST</v>
      </c>
      <c r="G52" t="str">
        <f>"MGI:2384588"</f>
        <v>MGI:2384588</v>
      </c>
      <c r="H52" t="str">
        <f>"Neil3"</f>
        <v>Neil3</v>
      </c>
      <c r="I52" t="str">
        <f>"nei like 3 (E. coli)"</f>
        <v>nei like 3 (E. coli)</v>
      </c>
      <c r="J52" t="str">
        <f t="shared" si="2"/>
        <v>protein coding gene</v>
      </c>
    </row>
    <row r="53" spans="1:10">
      <c r="A53">
        <v>10408210</v>
      </c>
      <c r="B53">
        <v>7.8256208557195599</v>
      </c>
      <c r="C53">
        <v>4.9891408006848597</v>
      </c>
      <c r="E53" t="str">
        <f>"10408210"</f>
        <v>10408210</v>
      </c>
      <c r="F53" t="str">
        <f t="shared" si="0"/>
        <v>Affy 1.0 ST</v>
      </c>
      <c r="G53" t="str">
        <f>"MGI:3710645"</f>
        <v>MGI:3710645</v>
      </c>
      <c r="H53" t="str">
        <f>"Hist1h2br"</f>
        <v>Hist1h2br</v>
      </c>
      <c r="I53" t="str">
        <f>"histone cluster 1 H2br"</f>
        <v>histone cluster 1 H2br</v>
      </c>
      <c r="J53" t="str">
        <f t="shared" si="2"/>
        <v>protein coding gene</v>
      </c>
    </row>
    <row r="54" spans="1:10">
      <c r="A54">
        <v>10352767</v>
      </c>
      <c r="B54">
        <v>7.5968868188916803</v>
      </c>
      <c r="C54">
        <v>6.3885383120510699</v>
      </c>
      <c r="E54" t="str">
        <f>"10352767"</f>
        <v>10352767</v>
      </c>
      <c r="F54" t="str">
        <f t="shared" si="0"/>
        <v>Affy 1.0 ST</v>
      </c>
      <c r="G54" t="str">
        <f>"MGI:109359"</f>
        <v>MGI:109359</v>
      </c>
      <c r="H54" t="str">
        <f>"Nek2"</f>
        <v>Nek2</v>
      </c>
      <c r="I54" t="str">
        <f>"NIMA (never in mitosis gene a)-related expressed kinase 2"</f>
        <v>NIMA (never in mitosis gene a)-related expressed kinase 2</v>
      </c>
      <c r="J54" t="str">
        <f t="shared" si="2"/>
        <v>protein coding gene</v>
      </c>
    </row>
    <row r="55" spans="1:10">
      <c r="A55">
        <v>10494405</v>
      </c>
      <c r="B55">
        <v>7.5531940614625199</v>
      </c>
      <c r="C55">
        <v>4.2716236922815396</v>
      </c>
      <c r="E55" t="str">
        <f>"10494405"</f>
        <v>10494405</v>
      </c>
      <c r="F55" t="str">
        <f t="shared" si="0"/>
        <v>Affy 1.0 ST</v>
      </c>
      <c r="G55" t="str">
        <f>"MGI:2448351"</f>
        <v>MGI:2448351</v>
      </c>
      <c r="H55" t="str">
        <f>"Hist2h3b"</f>
        <v>Hist2h3b</v>
      </c>
      <c r="I55" t="s">
        <v>25</v>
      </c>
      <c r="J55" t="s">
        <v>13</v>
      </c>
    </row>
    <row r="56" spans="1:10">
      <c r="A56">
        <v>10400589</v>
      </c>
      <c r="B56">
        <v>7.5080473350020398</v>
      </c>
      <c r="C56">
        <v>4.5858758335794096</v>
      </c>
      <c r="E56" t="str">
        <f>"10400589"</f>
        <v>10400589</v>
      </c>
      <c r="F56" t="str">
        <f t="shared" si="0"/>
        <v>Affy 1.0 ST</v>
      </c>
      <c r="G56" t="str">
        <f>"MGI:2145099"</f>
        <v>MGI:2145099</v>
      </c>
      <c r="H56" t="str">
        <f>"C79407"</f>
        <v>C79407</v>
      </c>
      <c r="I56" t="str">
        <f>"expressed sequence C79407"</f>
        <v>expressed sequence C79407</v>
      </c>
      <c r="J56" t="str">
        <f>"protein coding gene"</f>
        <v>protein coding gene</v>
      </c>
    </row>
    <row r="57" spans="1:10">
      <c r="A57">
        <v>10408077</v>
      </c>
      <c r="B57">
        <v>7.3983218437264497</v>
      </c>
      <c r="C57">
        <v>4.09925982665058</v>
      </c>
      <c r="E57" t="str">
        <f>"10408077"</f>
        <v>10408077</v>
      </c>
      <c r="F57" t="str">
        <f t="shared" si="0"/>
        <v>Affy 1.0 ST</v>
      </c>
      <c r="G57" t="str">
        <f>"MGI:2448297"</f>
        <v>MGI:2448297</v>
      </c>
      <c r="H57" t="str">
        <f>"Hist1h2ak"</f>
        <v>Hist1h2ak</v>
      </c>
      <c r="I57" t="s">
        <v>26</v>
      </c>
      <c r="J57" t="s">
        <v>13</v>
      </c>
    </row>
    <row r="58" spans="1:10">
      <c r="A58">
        <v>10389395</v>
      </c>
      <c r="B58">
        <v>7.3108515319756799</v>
      </c>
      <c r="C58">
        <v>3.8613221860802698</v>
      </c>
      <c r="E58" t="str">
        <f>"10389395"</f>
        <v>10389395</v>
      </c>
      <c r="F58" t="str">
        <f t="shared" si="0"/>
        <v>Affy 1.0 ST</v>
      </c>
      <c r="G58" t="str">
        <f>"MGI:2442836"</f>
        <v>MGI:2442836</v>
      </c>
      <c r="H58" t="str">
        <f>"Brip1"</f>
        <v>Brip1</v>
      </c>
      <c r="I58" t="str">
        <f>"BRCA1 interacting protein C-terminal helicase 1"</f>
        <v>BRCA1 interacting protein C-terminal helicase 1</v>
      </c>
      <c r="J58" t="str">
        <f>"protein coding gene"</f>
        <v>protein coding gene</v>
      </c>
    </row>
    <row r="59" spans="1:10">
      <c r="A59">
        <v>10408200</v>
      </c>
      <c r="B59">
        <v>7.2767493398249998</v>
      </c>
      <c r="C59">
        <v>4.7989997236297501</v>
      </c>
      <c r="E59" t="str">
        <f>"10408200"</f>
        <v>10408200</v>
      </c>
      <c r="F59" t="str">
        <f t="shared" si="0"/>
        <v>Affy 1.0 ST</v>
      </c>
      <c r="G59" t="str">
        <f>"MGI:2448425"</f>
        <v>MGI:2448425</v>
      </c>
      <c r="H59" t="str">
        <f>"Hist1h4f"</f>
        <v>Hist1h4f</v>
      </c>
      <c r="I59" t="s">
        <v>27</v>
      </c>
      <c r="J59" t="s">
        <v>13</v>
      </c>
    </row>
    <row r="60" spans="1:10">
      <c r="A60">
        <v>10389606</v>
      </c>
      <c r="B60">
        <v>7.2301113356500304</v>
      </c>
      <c r="C60">
        <v>4.6338007131704</v>
      </c>
      <c r="E60" t="str">
        <f>"10389606"</f>
        <v>10389606</v>
      </c>
      <c r="F60" t="str">
        <f t="shared" si="0"/>
        <v>Affy 1.0 ST</v>
      </c>
      <c r="G60" t="str">
        <f>"MGI:2444496"</f>
        <v>MGI:2444496</v>
      </c>
      <c r="H60" t="str">
        <f>"Prr11"</f>
        <v>Prr11</v>
      </c>
      <c r="I60" t="str">
        <f>"proline rich 11"</f>
        <v>proline rich 11</v>
      </c>
      <c r="J60" t="str">
        <f>"protein coding gene"</f>
        <v>protein coding gene</v>
      </c>
    </row>
    <row r="61" spans="1:10">
      <c r="A61">
        <v>10601705</v>
      </c>
      <c r="B61">
        <v>7.0903789819218899</v>
      </c>
      <c r="C61">
        <v>3.71292236860844</v>
      </c>
      <c r="E61" t="str">
        <f>"10601705"</f>
        <v>10601705</v>
      </c>
      <c r="F61" t="str">
        <f t="shared" si="0"/>
        <v>Affy 1.0 ST</v>
      </c>
      <c r="G61" t="str">
        <f>"MGI:2147897"</f>
        <v>MGI:2147897</v>
      </c>
      <c r="H61" t="str">
        <f>"Cenpi"</f>
        <v>Cenpi</v>
      </c>
      <c r="I61" t="str">
        <f>"centromere protein I"</f>
        <v>centromere protein I</v>
      </c>
      <c r="J61" t="str">
        <f>"protein coding gene"</f>
        <v>protein coding gene</v>
      </c>
    </row>
    <row r="62" spans="1:10">
      <c r="A62">
        <v>10379363</v>
      </c>
      <c r="B62">
        <v>7.0447825785860898</v>
      </c>
      <c r="C62">
        <v>2.9371048303722902</v>
      </c>
      <c r="E62" t="str">
        <f>"10379363"</f>
        <v>10379363</v>
      </c>
      <c r="F62" t="str">
        <f t="shared" si="0"/>
        <v>Affy 1.0 ST</v>
      </c>
      <c r="G62" t="str">
        <f>"MGI:2442925"</f>
        <v>MGI:2442925</v>
      </c>
      <c r="H62" t="str">
        <f>"Atad5"</f>
        <v>Atad5</v>
      </c>
      <c r="I62" t="s">
        <v>28</v>
      </c>
      <c r="J62" t="s">
        <v>13</v>
      </c>
    </row>
    <row r="63" spans="1:10">
      <c r="A63">
        <v>10382998</v>
      </c>
      <c r="B63">
        <v>6.9980962604128196</v>
      </c>
      <c r="C63">
        <v>5.11509703738359</v>
      </c>
      <c r="E63" t="str">
        <f>"10382998"</f>
        <v>10382998</v>
      </c>
      <c r="F63" t="str">
        <f t="shared" si="0"/>
        <v>Affy 1.0 ST</v>
      </c>
      <c r="G63" t="str">
        <f>"MGI:1203517"</f>
        <v>MGI:1203517</v>
      </c>
      <c r="H63" t="str">
        <f>"Birc5"</f>
        <v>Birc5</v>
      </c>
      <c r="I63" t="str">
        <f>"baculoviral IAP repeat-containing 5"</f>
        <v>baculoviral IAP repeat-containing 5</v>
      </c>
      <c r="J63" t="str">
        <f>"protein coding gene"</f>
        <v>protein coding gene</v>
      </c>
    </row>
    <row r="64" spans="1:10">
      <c r="A64">
        <v>10591781</v>
      </c>
      <c r="B64">
        <v>6.8994248188348299</v>
      </c>
      <c r="C64">
        <v>4.3273464452269197</v>
      </c>
      <c r="E64" t="str">
        <f>"10591781"</f>
        <v>10591781</v>
      </c>
      <c r="F64" t="str">
        <f t="shared" si="0"/>
        <v>Affy 1.0 ST</v>
      </c>
      <c r="G64" t="str">
        <f>"MGI:1920174"</f>
        <v>MGI:1920174</v>
      </c>
      <c r="H64" t="str">
        <f>"Anln"</f>
        <v>Anln</v>
      </c>
      <c r="I64" t="s">
        <v>29</v>
      </c>
      <c r="J64" t="s">
        <v>13</v>
      </c>
    </row>
    <row r="65" spans="1:10">
      <c r="A65">
        <v>10487340</v>
      </c>
      <c r="B65">
        <v>6.8809095814168799</v>
      </c>
      <c r="C65">
        <v>3.8272111905753401</v>
      </c>
      <c r="E65" t="str">
        <f>"10487340"</f>
        <v>10487340</v>
      </c>
      <c r="F65" t="str">
        <f t="shared" si="0"/>
        <v>Affy 1.0 ST</v>
      </c>
      <c r="G65" t="str">
        <f>"MGI:2444777"</f>
        <v>MGI:2444777</v>
      </c>
      <c r="H65" t="str">
        <f>"Ncaph"</f>
        <v>Ncaph</v>
      </c>
      <c r="I65" t="s">
        <v>30</v>
      </c>
      <c r="J65" t="s">
        <v>13</v>
      </c>
    </row>
    <row r="66" spans="1:10">
      <c r="A66">
        <v>10562044</v>
      </c>
      <c r="B66">
        <v>6.8388282853570601</v>
      </c>
      <c r="C66">
        <v>1.1669544831949501</v>
      </c>
      <c r="E66" t="str">
        <f>"10562044"</f>
        <v>10562044</v>
      </c>
      <c r="F66" t="str">
        <f t="shared" ref="F66:F117" si="3">"Affy 1.0 ST"</f>
        <v>Affy 1.0 ST</v>
      </c>
      <c r="G66" t="str">
        <f>"MGI:1891838"</f>
        <v>MGI:1891838</v>
      </c>
      <c r="H66" t="str">
        <f>"Zbtb32"</f>
        <v>Zbtb32</v>
      </c>
      <c r="I66" t="str">
        <f>"zinc finger and BTB domain containing 32"</f>
        <v>zinc finger and BTB domain containing 32</v>
      </c>
      <c r="J66" t="str">
        <f>"protein coding gene"</f>
        <v>protein coding gene</v>
      </c>
    </row>
    <row r="67" spans="1:10">
      <c r="A67">
        <v>10483401</v>
      </c>
      <c r="B67">
        <v>6.8285111070104598</v>
      </c>
      <c r="C67">
        <v>3.0769425785191502</v>
      </c>
      <c r="E67" t="str">
        <f>"10483401"</f>
        <v>10483401</v>
      </c>
      <c r="F67" t="str">
        <f t="shared" si="3"/>
        <v>Affy 1.0 ST</v>
      </c>
      <c r="G67" t="str">
        <f>"MGI:1913692"</f>
        <v>MGI:1913692</v>
      </c>
      <c r="H67" t="str">
        <f>"Spc25"</f>
        <v>Spc25</v>
      </c>
      <c r="I67" t="s">
        <v>31</v>
      </c>
      <c r="J67" t="s">
        <v>13</v>
      </c>
    </row>
    <row r="68" spans="1:10">
      <c r="A68">
        <v>10350392</v>
      </c>
      <c r="B68">
        <v>6.7998743835537496</v>
      </c>
      <c r="C68">
        <v>5.6338961556625504</v>
      </c>
      <c r="E68" t="str">
        <f>"10350392"</f>
        <v>10350392</v>
      </c>
      <c r="F68" t="str">
        <f t="shared" si="3"/>
        <v>Affy 1.0 ST</v>
      </c>
      <c r="G68" t="str">
        <f>"MGI:1334448"</f>
        <v>MGI:1334448</v>
      </c>
      <c r="H68" t="str">
        <f>"Aspm"</f>
        <v>Aspm</v>
      </c>
      <c r="I68" t="s">
        <v>32</v>
      </c>
      <c r="J68" t="s">
        <v>13</v>
      </c>
    </row>
    <row r="69" spans="1:10">
      <c r="A69">
        <v>10479811</v>
      </c>
      <c r="B69">
        <v>6.7098844533483604</v>
      </c>
      <c r="C69">
        <v>2.8043683820536098</v>
      </c>
      <c r="E69" t="str">
        <f>"10479811"</f>
        <v>10479811</v>
      </c>
      <c r="F69" t="str">
        <f t="shared" si="3"/>
        <v>Affy 1.0 ST</v>
      </c>
      <c r="G69" t="str">
        <f>"MGI:1917274"</f>
        <v>MGI:1917274</v>
      </c>
      <c r="H69" t="str">
        <f>"Mcm10"</f>
        <v>Mcm10</v>
      </c>
      <c r="I69" t="str">
        <f>"minichromosome maintenance deficient 10 (S. cerevisiae)"</f>
        <v>minichromosome maintenance deficient 10 (S. cerevisiae)</v>
      </c>
      <c r="J69" t="str">
        <f>"protein coding gene"</f>
        <v>protein coding gene</v>
      </c>
    </row>
    <row r="70" spans="1:10">
      <c r="A70">
        <v>10474984</v>
      </c>
      <c r="B70">
        <v>6.6811296836926699</v>
      </c>
      <c r="C70">
        <v>4.5859939508670102</v>
      </c>
      <c r="E70" t="str">
        <f>"10474984"</f>
        <v>10474984</v>
      </c>
      <c r="F70" t="str">
        <f t="shared" si="3"/>
        <v>Affy 1.0 ST</v>
      </c>
      <c r="G70" t="str">
        <f>"MGI:2675669"</f>
        <v>MGI:2675669</v>
      </c>
      <c r="H70" t="str">
        <f>"Nusap1"</f>
        <v>Nusap1</v>
      </c>
      <c r="I70" t="str">
        <f>"nucleolar and spindle associated protein 1"</f>
        <v>nucleolar and spindle associated protein 1</v>
      </c>
      <c r="J70" t="str">
        <f>"protein coding gene"</f>
        <v>protein coding gene</v>
      </c>
    </row>
    <row r="71" spans="1:10">
      <c r="A71">
        <v>10450519</v>
      </c>
      <c r="B71">
        <v>6.6741623628065998</v>
      </c>
      <c r="C71">
        <v>3.5441710328103402</v>
      </c>
      <c r="E71" t="str">
        <f>"10450519"</f>
        <v>10450519</v>
      </c>
      <c r="F71" t="str">
        <f t="shared" si="3"/>
        <v>Affy 1.0 ST</v>
      </c>
      <c r="G71" t="str">
        <f>"MGI:103180"</f>
        <v>MGI:103180</v>
      </c>
      <c r="H71" t="str">
        <f>"Tcf19"</f>
        <v>Tcf19</v>
      </c>
      <c r="I71" t="str">
        <f>"transcription factor 19"</f>
        <v>transcription factor 19</v>
      </c>
      <c r="J71" t="str">
        <f>"protein coding gene"</f>
        <v>protein coding gene</v>
      </c>
    </row>
    <row r="72" spans="1:10">
      <c r="A72">
        <v>10515257</v>
      </c>
      <c r="B72">
        <v>6.5793241336455797</v>
      </c>
      <c r="C72">
        <v>3.9095472430881602</v>
      </c>
      <c r="E72" t="str">
        <f>"10515257"</f>
        <v>10515257</v>
      </c>
      <c r="F72" t="str">
        <f t="shared" si="3"/>
        <v>Affy 1.0 ST</v>
      </c>
      <c r="G72" t="str">
        <f>"MGI:894697"</f>
        <v>MGI:894697</v>
      </c>
      <c r="H72" t="str">
        <f>"Rad54l"</f>
        <v>Rad54l</v>
      </c>
      <c r="I72" t="str">
        <f>"RAD54 like (S. cerevisiae)"</f>
        <v>RAD54 like (S. cerevisiae)</v>
      </c>
      <c r="J72" t="str">
        <f>"protein coding gene"</f>
        <v>protein coding gene</v>
      </c>
    </row>
    <row r="73" spans="1:10">
      <c r="A73">
        <v>10419323</v>
      </c>
      <c r="B73">
        <v>6.5751600531688101</v>
      </c>
      <c r="C73">
        <v>4.0462765940998304</v>
      </c>
      <c r="E73" t="str">
        <f>"10419323"</f>
        <v>10419323</v>
      </c>
      <c r="F73" t="str">
        <f t="shared" si="3"/>
        <v>Affy 1.0 ST</v>
      </c>
      <c r="G73" t="str">
        <f>"MGI:2183453"</f>
        <v>MGI:2183453</v>
      </c>
      <c r="H73" t="str">
        <f>"Dlgap5"</f>
        <v>Dlgap5</v>
      </c>
      <c r="I73" t="s">
        <v>33</v>
      </c>
      <c r="J73" t="s">
        <v>13</v>
      </c>
    </row>
    <row r="74" spans="1:10">
      <c r="A74">
        <v>10410560</v>
      </c>
      <c r="B74">
        <v>6.5748921444963404</v>
      </c>
      <c r="C74">
        <v>3.9001708487989801</v>
      </c>
      <c r="E74" t="str">
        <f>"10410560"</f>
        <v>10410560</v>
      </c>
      <c r="F74" t="str">
        <f t="shared" si="3"/>
        <v>Affy 1.0 ST</v>
      </c>
      <c r="G74" t="str">
        <f>"MGI:1916966"</f>
        <v>MGI:1916966</v>
      </c>
      <c r="H74" t="str">
        <f>"Trip13"</f>
        <v>Trip13</v>
      </c>
      <c r="I74" t="str">
        <f>"thyroid hormone receptor interactor 13"</f>
        <v>thyroid hormone receptor interactor 13</v>
      </c>
      <c r="J74" t="str">
        <f>"protein coding gene"</f>
        <v>protein coding gene</v>
      </c>
    </row>
    <row r="75" spans="1:10">
      <c r="A75">
        <v>10547943</v>
      </c>
      <c r="B75">
        <v>6.5515313448417798</v>
      </c>
      <c r="C75">
        <v>5.3483728369056003</v>
      </c>
      <c r="E75" t="str">
        <f>"10547943"</f>
        <v>10547943</v>
      </c>
      <c r="F75" t="str">
        <f t="shared" si="3"/>
        <v>Affy 1.0 ST</v>
      </c>
      <c r="G75" t="str">
        <f>"MGI:1915548"</f>
        <v>MGI:1915548</v>
      </c>
      <c r="H75" t="str">
        <f>"Ncapd2"</f>
        <v>Ncapd2</v>
      </c>
      <c r="I75" t="s">
        <v>34</v>
      </c>
      <c r="J75" t="s">
        <v>13</v>
      </c>
    </row>
    <row r="76" spans="1:10">
      <c r="A76">
        <v>10480432</v>
      </c>
      <c r="B76">
        <v>6.4438119680151003</v>
      </c>
      <c r="C76">
        <v>4.8437359505606201</v>
      </c>
      <c r="E76" t="str">
        <f>"10480432"</f>
        <v>10480432</v>
      </c>
      <c r="F76" t="str">
        <f t="shared" si="3"/>
        <v>Affy 1.0 ST</v>
      </c>
      <c r="G76" t="str">
        <f>"MGI:1914371"</f>
        <v>MGI:1914371</v>
      </c>
      <c r="H76" t="str">
        <f>"Mastl"</f>
        <v>Mastl</v>
      </c>
      <c r="I76" t="str">
        <f>"microtubule associated serine/threonine kinase-like"</f>
        <v>microtubule associated serine/threonine kinase-like</v>
      </c>
      <c r="J76" t="str">
        <f>"protein coding gene"</f>
        <v>protein coding gene</v>
      </c>
    </row>
    <row r="77" spans="1:10">
      <c r="A77">
        <v>10369815</v>
      </c>
      <c r="B77">
        <v>6.4255023063193102</v>
      </c>
      <c r="C77">
        <v>3.2863772082332199</v>
      </c>
      <c r="E77" t="str">
        <f>"10369815"</f>
        <v>10369815</v>
      </c>
      <c r="F77" t="str">
        <f t="shared" si="3"/>
        <v>Affy 1.0 ST</v>
      </c>
      <c r="G77" t="str">
        <f>"MGI:88351"</f>
        <v>MGI:88351</v>
      </c>
      <c r="H77" t="str">
        <f>"Cdk1"</f>
        <v>Cdk1</v>
      </c>
      <c r="I77" t="str">
        <f>"cyclin-dependent kinase 1"</f>
        <v>cyclin-dependent kinase 1</v>
      </c>
      <c r="J77" t="str">
        <f>"protein coding gene"</f>
        <v>protein coding gene</v>
      </c>
    </row>
    <row r="78" spans="1:10">
      <c r="A78">
        <v>10408202</v>
      </c>
      <c r="B78">
        <v>6.4142088594651696</v>
      </c>
      <c r="C78">
        <v>3.6466123540394402</v>
      </c>
      <c r="E78" t="str">
        <f>"10408202"</f>
        <v>10408202</v>
      </c>
      <c r="F78" t="str">
        <f t="shared" si="3"/>
        <v>Affy 1.0 ST</v>
      </c>
      <c r="G78" t="str">
        <f>"MGI:2448351"</f>
        <v>MGI:2448351</v>
      </c>
      <c r="H78" t="str">
        <f>"Hist2h3b"</f>
        <v>Hist2h3b</v>
      </c>
      <c r="I78" t="s">
        <v>25</v>
      </c>
      <c r="J78" t="s">
        <v>13</v>
      </c>
    </row>
    <row r="79" spans="1:10">
      <c r="A79">
        <v>10406968</v>
      </c>
      <c r="B79">
        <v>6.3776783772055303</v>
      </c>
      <c r="C79">
        <v>3.1024659737378402</v>
      </c>
      <c r="E79" t="str">
        <f>"10406968"</f>
        <v>10406968</v>
      </c>
      <c r="F79" t="str">
        <f t="shared" si="3"/>
        <v>Affy 1.0 ST</v>
      </c>
      <c r="G79" t="str">
        <f>"MGI:1926210"</f>
        <v>MGI:1926210</v>
      </c>
      <c r="H79" t="str">
        <f>"Cenpk"</f>
        <v>Cenpk</v>
      </c>
      <c r="I79" t="str">
        <f>"centromere protein K"</f>
        <v>centromere protein K</v>
      </c>
      <c r="J79" t="str">
        <f>"protein coding gene"</f>
        <v>protein coding gene</v>
      </c>
    </row>
    <row r="80" spans="1:10">
      <c r="A80">
        <v>10497520</v>
      </c>
      <c r="B80">
        <v>6.33680406445127</v>
      </c>
      <c r="C80">
        <v>4.0801768707259498</v>
      </c>
      <c r="E80" t="str">
        <f>"10497520"</f>
        <v>10497520</v>
      </c>
      <c r="F80" t="str">
        <f t="shared" si="3"/>
        <v>Affy 1.0 ST</v>
      </c>
      <c r="G80" t="str">
        <f>"MGI:95281"</f>
        <v>MGI:95281</v>
      </c>
      <c r="H80" t="str">
        <f>"Ect2"</f>
        <v>Ect2</v>
      </c>
      <c r="I80" t="str">
        <f>"ect2 oncogene"</f>
        <v>ect2 oncogene</v>
      </c>
      <c r="J80" t="str">
        <f>"protein coding gene"</f>
        <v>protein coding gene</v>
      </c>
    </row>
    <row r="81" spans="1:10">
      <c r="A81">
        <v>10474902</v>
      </c>
      <c r="B81">
        <v>6.3316723987850896</v>
      </c>
      <c r="C81">
        <v>3.4705850187604499</v>
      </c>
      <c r="E81" t="str">
        <f>"10474902"</f>
        <v>10474902</v>
      </c>
      <c r="F81" t="str">
        <f t="shared" si="3"/>
        <v>Affy 1.0 ST</v>
      </c>
      <c r="G81" t="str">
        <f>"MGI:97890"</f>
        <v>MGI:97890</v>
      </c>
      <c r="H81" t="str">
        <f>"Rad51"</f>
        <v>Rad51</v>
      </c>
      <c r="I81" t="str">
        <f>"RAD51 homolog (S. cerevisiae)"</f>
        <v>RAD51 homolog (S. cerevisiae)</v>
      </c>
      <c r="J81" t="str">
        <f>"protein coding gene"</f>
        <v>protein coding gene</v>
      </c>
    </row>
    <row r="82" spans="1:10">
      <c r="A82">
        <v>10408085</v>
      </c>
      <c r="B82">
        <v>6.3149289758554499</v>
      </c>
      <c r="C82">
        <v>3.0031730943561601</v>
      </c>
      <c r="E82" t="str">
        <f>"10408085"</f>
        <v>10408085</v>
      </c>
      <c r="F82" t="str">
        <f t="shared" si="3"/>
        <v>Affy 1.0 ST</v>
      </c>
      <c r="G82" t="str">
        <f>"MGI:2448300"</f>
        <v>MGI:2448300</v>
      </c>
      <c r="H82" t="str">
        <f>"Hist1h2an"</f>
        <v>Hist1h2an</v>
      </c>
      <c r="I82" t="s">
        <v>35</v>
      </c>
      <c r="J82" t="s">
        <v>13</v>
      </c>
    </row>
    <row r="83" spans="1:10">
      <c r="A83">
        <v>10521090</v>
      </c>
      <c r="B83">
        <v>6.3012319524786902</v>
      </c>
      <c r="C83">
        <v>3.95357113624092</v>
      </c>
      <c r="E83" t="str">
        <f>"10521090"</f>
        <v>10521090</v>
      </c>
      <c r="F83" t="str">
        <f t="shared" si="3"/>
        <v>Affy 1.0 ST</v>
      </c>
      <c r="G83" t="str">
        <f>"MGI:1341163"</f>
        <v>MGI:1341163</v>
      </c>
      <c r="H83" t="str">
        <f>"Tacc3"</f>
        <v>Tacc3</v>
      </c>
      <c r="I83" t="s">
        <v>36</v>
      </c>
      <c r="J83" t="s">
        <v>13</v>
      </c>
    </row>
    <row r="84" spans="1:10">
      <c r="A84">
        <v>10503264</v>
      </c>
      <c r="B84">
        <v>6.2249720528460601</v>
      </c>
      <c r="C84">
        <v>3.0250623729056598</v>
      </c>
      <c r="E84" t="str">
        <f>"10503264"</f>
        <v>10503264</v>
      </c>
      <c r="F84" t="str">
        <f t="shared" si="3"/>
        <v>Affy 1.0 ST</v>
      </c>
      <c r="G84" t="str">
        <f>"MGI:1329034"</f>
        <v>MGI:1329034</v>
      </c>
      <c r="H84" t="str">
        <f>"Ccne2"</f>
        <v>Ccne2</v>
      </c>
      <c r="I84" t="str">
        <f>"cyclin E2"</f>
        <v>cyclin E2</v>
      </c>
      <c r="J84" t="str">
        <f>"protein coding gene"</f>
        <v>protein coding gene</v>
      </c>
    </row>
    <row r="85" spans="1:10">
      <c r="A85">
        <v>10408239</v>
      </c>
      <c r="B85">
        <v>6.19222859273619</v>
      </c>
      <c r="C85">
        <v>3.0536469556769301</v>
      </c>
      <c r="E85" t="str">
        <f>"10408239"</f>
        <v>10408239</v>
      </c>
      <c r="F85" t="str">
        <f t="shared" si="3"/>
        <v>Affy 1.0 ST</v>
      </c>
      <c r="G85" t="str">
        <f>"MGI:2448351"</f>
        <v>MGI:2448351</v>
      </c>
      <c r="H85" t="str">
        <f>"Hist2h3b"</f>
        <v>Hist2h3b</v>
      </c>
      <c r="I85" t="s">
        <v>25</v>
      </c>
      <c r="J85" t="s">
        <v>13</v>
      </c>
    </row>
    <row r="86" spans="1:10">
      <c r="A86">
        <v>10367076</v>
      </c>
      <c r="B86">
        <v>6.1875427152952396</v>
      </c>
      <c r="C86">
        <v>4.2951668952176698</v>
      </c>
      <c r="E86" t="str">
        <f>"10367076"</f>
        <v>10367076</v>
      </c>
      <c r="F86" t="str">
        <f t="shared" si="3"/>
        <v>Affy 1.0 ST</v>
      </c>
      <c r="G86" t="str">
        <f>"MGI:97757"</f>
        <v>MGI:97757</v>
      </c>
      <c r="H86" t="str">
        <f>"Prim1"</f>
        <v>Prim1</v>
      </c>
      <c r="I86" t="s">
        <v>37</v>
      </c>
      <c r="J86" t="s">
        <v>13</v>
      </c>
    </row>
    <row r="87" spans="1:10">
      <c r="A87">
        <v>10381072</v>
      </c>
      <c r="B87">
        <v>6.11970605670734</v>
      </c>
      <c r="C87">
        <v>2.68235727763027</v>
      </c>
      <c r="E87" t="str">
        <f>"10381072"</f>
        <v>10381072</v>
      </c>
      <c r="F87" t="str">
        <f t="shared" si="3"/>
        <v>Affy 1.0 ST</v>
      </c>
      <c r="G87" t="str">
        <f>"MGI:1345150"</f>
        <v>MGI:1345150</v>
      </c>
      <c r="H87" t="str">
        <f>"Cdc6"</f>
        <v>Cdc6</v>
      </c>
      <c r="I87" t="str">
        <f>"cell division cycle 6 homolog (S. cerevisiae)"</f>
        <v>cell division cycle 6 homolog (S. cerevisiae)</v>
      </c>
      <c r="J87" t="str">
        <f>"protein coding gene"</f>
        <v>protein coding gene</v>
      </c>
    </row>
    <row r="88" spans="1:10">
      <c r="A88">
        <v>10594251</v>
      </c>
      <c r="B88">
        <v>6.0967122823453801</v>
      </c>
      <c r="C88">
        <v>4.6406231035858401</v>
      </c>
      <c r="E88" t="str">
        <f>"10594251"</f>
        <v>10594251</v>
      </c>
      <c r="F88" t="str">
        <f t="shared" si="3"/>
        <v>Affy 1.0 ST</v>
      </c>
      <c r="G88" t="str">
        <f>"MGI:1919069"</f>
        <v>MGI:1919069</v>
      </c>
      <c r="H88" t="str">
        <f>"Kif23"</f>
        <v>Kif23</v>
      </c>
      <c r="I88" t="str">
        <f>"kinesin family member 23"</f>
        <v>kinesin family member 23</v>
      </c>
      <c r="J88" t="str">
        <f>"protein coding gene"</f>
        <v>protein coding gene</v>
      </c>
    </row>
    <row r="89" spans="1:10">
      <c r="A89">
        <v>10403943</v>
      </c>
      <c r="B89">
        <v>6.0274554978029702</v>
      </c>
      <c r="C89">
        <v>4.4720191724918301</v>
      </c>
      <c r="E89" t="str">
        <f>"10403943"</f>
        <v>10403943</v>
      </c>
      <c r="F89" t="str">
        <f t="shared" si="3"/>
        <v>Affy 1.0 ST</v>
      </c>
      <c r="G89" t="str">
        <f>"MGI:2448404"</f>
        <v>MGI:2448404</v>
      </c>
      <c r="H89" t="str">
        <f>"Hist1h2bm"</f>
        <v>Hist1h2bm</v>
      </c>
      <c r="I89" t="s">
        <v>38</v>
      </c>
      <c r="J89" t="s">
        <v>13</v>
      </c>
    </row>
    <row r="90" spans="1:10">
      <c r="A90">
        <v>10509168</v>
      </c>
      <c r="B90">
        <v>5.9430683066028998</v>
      </c>
      <c r="C90">
        <v>2.7402250799896599</v>
      </c>
      <c r="E90" t="str">
        <f>"10509168"</f>
        <v>10509168</v>
      </c>
      <c r="F90" t="str">
        <f t="shared" si="3"/>
        <v>Affy 1.0 ST</v>
      </c>
      <c r="G90" t="str">
        <f>"MGI:1096341"</f>
        <v>MGI:1096341</v>
      </c>
      <c r="H90" t="str">
        <f>"E2f2"</f>
        <v>E2f2</v>
      </c>
      <c r="I90" t="str">
        <f>"E2F transcription factor 2"</f>
        <v>E2F transcription factor 2</v>
      </c>
      <c r="J90" t="str">
        <f>"protein coding gene"</f>
        <v>protein coding gene</v>
      </c>
    </row>
    <row r="91" spans="1:10">
      <c r="A91">
        <v>10554325</v>
      </c>
      <c r="B91">
        <v>5.9193357398001503</v>
      </c>
      <c r="C91">
        <v>2.9598344092305302</v>
      </c>
      <c r="E91" t="str">
        <f>"10554325"</f>
        <v>10554325</v>
      </c>
      <c r="F91" t="str">
        <f t="shared" si="3"/>
        <v>Affy 1.0 ST</v>
      </c>
      <c r="G91" t="str">
        <f>"MGI:1924261"</f>
        <v>MGI:1924261</v>
      </c>
      <c r="H91" t="str">
        <f>"5730590G19Rik"</f>
        <v>5730590G19Rik</v>
      </c>
      <c r="I91" t="str">
        <f>"RIKEN cDNA 5730590G19 gene"</f>
        <v>RIKEN cDNA 5730590G19 gene</v>
      </c>
      <c r="J91" t="str">
        <f>"protein coding gene"</f>
        <v>protein coding gene</v>
      </c>
    </row>
    <row r="92" spans="1:10">
      <c r="A92">
        <v>10448506</v>
      </c>
      <c r="B92">
        <v>5.9162238209234799</v>
      </c>
      <c r="C92">
        <v>3.93829455375668</v>
      </c>
      <c r="E92" t="str">
        <f>"10448506"</f>
        <v>10448506</v>
      </c>
      <c r="F92" t="str">
        <f t="shared" si="3"/>
        <v>Affy 1.0 ST</v>
      </c>
      <c r="G92" t="str">
        <f>"MGI:102551"</f>
        <v>MGI:102551</v>
      </c>
      <c r="H92" t="str">
        <f>"Ccnf"</f>
        <v>Ccnf</v>
      </c>
      <c r="I92" t="str">
        <f>"cyclin F"</f>
        <v>cyclin F</v>
      </c>
      <c r="J92" t="str">
        <f>"protein coding gene"</f>
        <v>protein coding gene</v>
      </c>
    </row>
    <row r="93" spans="1:10">
      <c r="A93">
        <v>10391811</v>
      </c>
      <c r="B93">
        <v>5.9057630743738398</v>
      </c>
      <c r="C93">
        <v>4.4671090392472097</v>
      </c>
      <c r="E93" t="str">
        <f>"10391811"</f>
        <v>10391811</v>
      </c>
      <c r="F93" t="str">
        <f t="shared" si="3"/>
        <v>Affy 1.0 ST</v>
      </c>
      <c r="G93" t="str">
        <f>"MGI:2446979"</f>
        <v>MGI:2446979</v>
      </c>
      <c r="H93" t="str">
        <f>"Kif18b"</f>
        <v>Kif18b</v>
      </c>
      <c r="I93" t="str">
        <f>"kinesin family member 18B"</f>
        <v>kinesin family member 18B</v>
      </c>
      <c r="J93" t="str">
        <f>"protein coding gene"</f>
        <v>protein coding gene</v>
      </c>
    </row>
    <row r="94" spans="1:10">
      <c r="A94">
        <v>10455813</v>
      </c>
      <c r="B94">
        <v>5.8772686471105002</v>
      </c>
      <c r="C94">
        <v>3.7670897929234601</v>
      </c>
      <c r="E94" t="str">
        <f>"10455813"</f>
        <v>10455813</v>
      </c>
      <c r="F94" t="str">
        <f t="shared" si="3"/>
        <v>Affy 1.0 ST</v>
      </c>
      <c r="G94" t="str">
        <f>"MGI:96795"</f>
        <v>MGI:96795</v>
      </c>
      <c r="H94" t="str">
        <f>"Lmnb1"</f>
        <v>Lmnb1</v>
      </c>
      <c r="I94" t="str">
        <f>"lamin B1"</f>
        <v>lamin B1</v>
      </c>
      <c r="J94" t="str">
        <f>"protein coding gene"</f>
        <v>protein coding gene</v>
      </c>
    </row>
    <row r="95" spans="1:10">
      <c r="A95">
        <v>10550102</v>
      </c>
      <c r="B95">
        <v>5.8685999976993797</v>
      </c>
      <c r="C95">
        <v>2.8120563300545198</v>
      </c>
      <c r="E95" t="str">
        <f>"10550102"</f>
        <v>10550102</v>
      </c>
      <c r="F95" t="str">
        <f t="shared" si="3"/>
        <v>Affy 1.0 ST</v>
      </c>
      <c r="G95" t="str">
        <f>"MGI:101789"</f>
        <v>MGI:101789</v>
      </c>
      <c r="H95" t="str">
        <f>"Lig1"</f>
        <v>Lig1</v>
      </c>
      <c r="I95" t="s">
        <v>39</v>
      </c>
      <c r="J95" t="s">
        <v>13</v>
      </c>
    </row>
    <row r="96" spans="1:10">
      <c r="A96">
        <v>10524169</v>
      </c>
      <c r="B96">
        <v>5.8192340722766103</v>
      </c>
      <c r="C96">
        <v>2.7003597496255001</v>
      </c>
      <c r="E96" t="str">
        <f>"10524169"</f>
        <v>10524169</v>
      </c>
      <c r="F96" t="str">
        <f t="shared" si="3"/>
        <v>Affy 1.0 ST</v>
      </c>
      <c r="G96" t="str">
        <f>"MGI:1196391"</f>
        <v>MGI:1196391</v>
      </c>
      <c r="H96" t="str">
        <f>"Pole"</f>
        <v>Pole</v>
      </c>
      <c r="I96" t="s">
        <v>40</v>
      </c>
      <c r="J96" t="s">
        <v>13</v>
      </c>
    </row>
    <row r="97" spans="1:10">
      <c r="A97">
        <v>10408118</v>
      </c>
      <c r="B97">
        <v>5.7931049680650597</v>
      </c>
      <c r="C97">
        <v>2.90216088344437</v>
      </c>
      <c r="E97" t="str">
        <f>"10408118"</f>
        <v>10408118</v>
      </c>
      <c r="F97" t="str">
        <f t="shared" si="3"/>
        <v>Affy 1.0 ST</v>
      </c>
      <c r="G97" t="str">
        <f>"MGI:3710573"</f>
        <v>MGI:3710573</v>
      </c>
      <c r="H97" t="str">
        <f>"Hist1h2ap"</f>
        <v>Hist1h2ap</v>
      </c>
      <c r="I97" t="s">
        <v>41</v>
      </c>
      <c r="J97" t="s">
        <v>13</v>
      </c>
    </row>
    <row r="98" spans="1:10">
      <c r="A98">
        <v>10504470</v>
      </c>
      <c r="B98">
        <v>5.7814916623439103</v>
      </c>
      <c r="C98">
        <v>3.74408481798686</v>
      </c>
      <c r="E98" t="str">
        <f>"10504470"</f>
        <v>10504470</v>
      </c>
      <c r="F98" t="str">
        <f t="shared" si="3"/>
        <v>Affy 1.0 ST</v>
      </c>
      <c r="G98" t="str">
        <f>"MGI:106924"</f>
        <v>MGI:106924</v>
      </c>
      <c r="H98" t="str">
        <f>"Melk"</f>
        <v>Melk</v>
      </c>
      <c r="I98" t="str">
        <f>"maternal embryonic leucine zipper kinase"</f>
        <v>maternal embryonic leucine zipper kinase</v>
      </c>
      <c r="J98" t="str">
        <f>"protein coding gene"</f>
        <v>protein coding gene</v>
      </c>
    </row>
    <row r="99" spans="1:10">
      <c r="A99">
        <v>10487577</v>
      </c>
      <c r="B99">
        <v>5.7554752199542696</v>
      </c>
      <c r="C99">
        <v>4.1927793613016702</v>
      </c>
      <c r="E99" t="str">
        <f>"10487577"</f>
        <v>10487577</v>
      </c>
      <c r="F99" t="str">
        <f t="shared" si="3"/>
        <v>Affy 1.0 ST</v>
      </c>
      <c r="G99" t="str">
        <f>"MGI:1917716"</f>
        <v>MGI:1917716</v>
      </c>
      <c r="H99" t="str">
        <f>"Ckap2l"</f>
        <v>Ckap2l</v>
      </c>
      <c r="I99" t="str">
        <f>"cytoskeleton associated protein 2-like"</f>
        <v>cytoskeleton associated protein 2-like</v>
      </c>
      <c r="J99" t="str">
        <f>"protein coding gene"</f>
        <v>protein coding gene</v>
      </c>
    </row>
    <row r="100" spans="1:10">
      <c r="A100">
        <v>10605674</v>
      </c>
      <c r="B100">
        <v>5.7145369341691001</v>
      </c>
      <c r="C100">
        <v>2.1105274837083998</v>
      </c>
      <c r="E100" t="str">
        <f>"10605674"</f>
        <v>10605674</v>
      </c>
      <c r="F100" t="str">
        <f t="shared" si="3"/>
        <v>Affy 1.0 ST</v>
      </c>
      <c r="G100" t="str">
        <f>"MGI:99660"</f>
        <v>MGI:99660</v>
      </c>
      <c r="H100" t="str">
        <f>"Pola1"</f>
        <v>Pola1</v>
      </c>
      <c r="I100" t="s">
        <v>42</v>
      </c>
      <c r="J100" t="s">
        <v>13</v>
      </c>
    </row>
    <row r="101" spans="1:10">
      <c r="A101">
        <v>10473384</v>
      </c>
      <c r="B101">
        <v>5.6482199521935801</v>
      </c>
      <c r="C101">
        <v>3.1905467236315399</v>
      </c>
      <c r="E101" t="str">
        <f>"10473384"</f>
        <v>10473384</v>
      </c>
      <c r="F101" t="str">
        <f t="shared" si="3"/>
        <v>Affy 1.0 ST</v>
      </c>
      <c r="G101" t="str">
        <f>"MGI:1931054"</f>
        <v>MGI:1931054</v>
      </c>
      <c r="H101" t="str">
        <f>"Slc43a3"</f>
        <v>Slc43a3</v>
      </c>
      <c r="I101" t="s">
        <v>43</v>
      </c>
      <c r="J101" t="s">
        <v>13</v>
      </c>
    </row>
    <row r="102" spans="1:10">
      <c r="A102">
        <v>10371591</v>
      </c>
      <c r="B102">
        <v>5.5858730767167799</v>
      </c>
      <c r="C102">
        <v>4.0757758299579399</v>
      </c>
      <c r="E102" t="str">
        <f>"10371591"</f>
        <v>10371591</v>
      </c>
      <c r="F102" t="str">
        <f t="shared" si="3"/>
        <v>Affy 1.0 ST</v>
      </c>
      <c r="G102" t="str">
        <f>"MGI:1922567"</f>
        <v>MGI:1922567</v>
      </c>
      <c r="H102" t="str">
        <f>"4930547N16Rik"</f>
        <v>4930547N16Rik</v>
      </c>
      <c r="I102" t="str">
        <f>"RIKEN cDNA 4930547N16 gene"</f>
        <v>RIKEN cDNA 4930547N16 gene</v>
      </c>
      <c r="J102" t="str">
        <f>"protein coding gene"</f>
        <v>protein coding gene</v>
      </c>
    </row>
    <row r="103" spans="1:10">
      <c r="A103">
        <v>10555695</v>
      </c>
      <c r="B103">
        <v>5.4878481965317603</v>
      </c>
      <c r="C103">
        <v>2.9878277095430299</v>
      </c>
      <c r="E103" t="str">
        <f>"10555695"</f>
        <v>10555695</v>
      </c>
      <c r="F103" t="str">
        <f t="shared" si="3"/>
        <v>Affy 1.0 ST</v>
      </c>
      <c r="G103" t="str">
        <f>"MGI:98180"</f>
        <v>MGI:98180</v>
      </c>
      <c r="H103" t="str">
        <f>"Rrm1"</f>
        <v>Rrm1</v>
      </c>
      <c r="I103" t="str">
        <f>"ribonucleotide reductase M1"</f>
        <v>ribonucleotide reductase M1</v>
      </c>
      <c r="J103" t="str">
        <f>"protein coding gene"</f>
        <v>protein coding gene</v>
      </c>
    </row>
    <row r="104" spans="1:10">
      <c r="A104">
        <v>10587508</v>
      </c>
      <c r="B104">
        <v>5.4712242762630003</v>
      </c>
      <c r="C104">
        <v>3.84687934607746</v>
      </c>
      <c r="E104" t="str">
        <f>"10587508"</f>
        <v>10587508</v>
      </c>
      <c r="F104" t="str">
        <f t="shared" si="3"/>
        <v>Affy 1.0 ST</v>
      </c>
      <c r="G104" t="str">
        <f>"MGI:1194921"</f>
        <v>MGI:1194921</v>
      </c>
      <c r="H104" t="str">
        <f>"Ttk"</f>
        <v>Ttk</v>
      </c>
      <c r="I104" t="str">
        <f>"Ttk protein kinase"</f>
        <v>Ttk protein kinase</v>
      </c>
      <c r="J104" t="str">
        <f>"protein coding gene"</f>
        <v>protein coding gene</v>
      </c>
    </row>
    <row r="105" spans="1:10">
      <c r="A105">
        <v>10377405</v>
      </c>
      <c r="B105">
        <v>5.4493793766100804</v>
      </c>
      <c r="C105">
        <v>2.9377535607531899</v>
      </c>
      <c r="E105" t="str">
        <f>"10377405"</f>
        <v>10377405</v>
      </c>
      <c r="F105" t="str">
        <f t="shared" si="3"/>
        <v>Affy 1.0 ST</v>
      </c>
      <c r="G105" t="str">
        <f>"MGI:107168"</f>
        <v>MGI:107168</v>
      </c>
      <c r="H105" t="str">
        <f>"Aurkb"</f>
        <v>Aurkb</v>
      </c>
      <c r="I105" t="str">
        <f>"aurora kinase B"</f>
        <v>aurora kinase B</v>
      </c>
      <c r="J105" t="str">
        <f>"protein coding gene"</f>
        <v>protein coding gene</v>
      </c>
    </row>
    <row r="106" spans="1:10">
      <c r="A106">
        <v>10408246</v>
      </c>
      <c r="B106">
        <v>5.3648060178002099</v>
      </c>
      <c r="C106">
        <v>2.73081882235874</v>
      </c>
      <c r="E106" t="str">
        <f>"10408246"</f>
        <v>10408246</v>
      </c>
      <c r="F106" t="str">
        <f t="shared" si="3"/>
        <v>Affy 1.0 ST</v>
      </c>
      <c r="G106" t="str">
        <f>"MGI:2668828"</f>
        <v>MGI:2668828</v>
      </c>
      <c r="H106" t="str">
        <f>"Hist1h3a"</f>
        <v>Hist1h3a</v>
      </c>
      <c r="I106" t="s">
        <v>44</v>
      </c>
      <c r="J106" t="s">
        <v>13</v>
      </c>
    </row>
    <row r="107" spans="1:10">
      <c r="A107">
        <v>10469278</v>
      </c>
      <c r="B107">
        <v>5.3420308032218999</v>
      </c>
      <c r="C107">
        <v>3.9661449092658398</v>
      </c>
      <c r="E107" t="str">
        <f>"10469278"</f>
        <v>10469278</v>
      </c>
      <c r="F107" t="str">
        <f t="shared" si="3"/>
        <v>Affy 1.0 ST</v>
      </c>
      <c r="G107" t="str">
        <f>"MGI:96549"</f>
        <v>MGI:96549</v>
      </c>
      <c r="H107" t="str">
        <f>"Il2ra"</f>
        <v>Il2ra</v>
      </c>
      <c r="I107" t="s">
        <v>45</v>
      </c>
      <c r="J107" t="s">
        <v>13</v>
      </c>
    </row>
    <row r="108" spans="1:10">
      <c r="A108">
        <v>10516246</v>
      </c>
      <c r="B108">
        <v>5.3280474305491197</v>
      </c>
      <c r="C108">
        <v>3.8727796337904499</v>
      </c>
      <c r="E108" t="str">
        <f>"10516246"</f>
        <v>10516246</v>
      </c>
      <c r="F108" t="str">
        <f t="shared" si="3"/>
        <v>Affy 1.0 ST</v>
      </c>
      <c r="G108" t="str">
        <f>"MGI:1196274"</f>
        <v>MGI:1196274</v>
      </c>
      <c r="H108" t="str">
        <f>"Cdca8"</f>
        <v>Cdca8</v>
      </c>
      <c r="I108" t="str">
        <f>"cell division cycle associated 8"</f>
        <v>cell division cycle associated 8</v>
      </c>
      <c r="J108" t="str">
        <f>"protein coding gene"</f>
        <v>protein coding gene</v>
      </c>
    </row>
    <row r="109" spans="1:10">
      <c r="A109">
        <v>10404049</v>
      </c>
      <c r="B109">
        <v>5.3214238504898104</v>
      </c>
      <c r="C109">
        <v>1.97267559076024</v>
      </c>
      <c r="E109" t="str">
        <f>"10404049"</f>
        <v>10404049</v>
      </c>
      <c r="F109" t="str">
        <f t="shared" si="3"/>
        <v>Affy 1.0 ST</v>
      </c>
      <c r="G109" t="str">
        <f>"MGI:2448351"</f>
        <v>MGI:2448351</v>
      </c>
      <c r="H109" t="str">
        <f>"Hist2h3b"</f>
        <v>Hist2h3b</v>
      </c>
      <c r="I109" t="s">
        <v>25</v>
      </c>
      <c r="J109" t="s">
        <v>13</v>
      </c>
    </row>
    <row r="110" spans="1:10">
      <c r="A110">
        <v>10460738</v>
      </c>
      <c r="B110">
        <v>5.25510463453156</v>
      </c>
      <c r="C110">
        <v>3.6702336820761099</v>
      </c>
      <c r="E110" t="str">
        <f>"10460738"</f>
        <v>10460738</v>
      </c>
      <c r="F110" t="str">
        <f t="shared" si="3"/>
        <v>Affy 1.0 ST</v>
      </c>
      <c r="G110" t="str">
        <f>"MGI:1915099"</f>
        <v>MGI:1915099</v>
      </c>
      <c r="H110" t="str">
        <f>"Cdca5"</f>
        <v>Cdca5</v>
      </c>
      <c r="I110" t="str">
        <f>"cell division cycle associated 5"</f>
        <v>cell division cycle associated 5</v>
      </c>
      <c r="J110" t="str">
        <f t="shared" ref="J110:J116" si="4">"protein coding gene"</f>
        <v>protein coding gene</v>
      </c>
    </row>
    <row r="111" spans="1:10">
      <c r="A111">
        <v>10411728</v>
      </c>
      <c r="B111">
        <v>5.2472152453677099</v>
      </c>
      <c r="C111">
        <v>3.0208521088263098</v>
      </c>
      <c r="E111" t="str">
        <f>"10411728"</f>
        <v>10411728</v>
      </c>
      <c r="F111" t="str">
        <f t="shared" si="3"/>
        <v>Affy 1.0 ST</v>
      </c>
      <c r="G111" t="str">
        <f>"MGI:1349448"</f>
        <v>MGI:1349448</v>
      </c>
      <c r="H111" t="str">
        <f>"Cenph"</f>
        <v>Cenph</v>
      </c>
      <c r="I111" t="str">
        <f>"centromere protein H"</f>
        <v>centromere protein H</v>
      </c>
      <c r="J111" t="str">
        <f t="shared" si="4"/>
        <v>protein coding gene</v>
      </c>
    </row>
    <row r="112" spans="1:10">
      <c r="A112">
        <v>10352048</v>
      </c>
      <c r="B112">
        <v>5.2060779169532498</v>
      </c>
      <c r="C112">
        <v>2.0750617635950301</v>
      </c>
      <c r="E112" t="str">
        <f>"10352048"</f>
        <v>10352048</v>
      </c>
      <c r="F112" t="str">
        <f t="shared" si="3"/>
        <v>Affy 1.0 ST</v>
      </c>
      <c r="G112" t="str">
        <f>"MGI:1349427"</f>
        <v>MGI:1349427</v>
      </c>
      <c r="H112" t="str">
        <f>"Exo1"</f>
        <v>Exo1</v>
      </c>
      <c r="I112" t="str">
        <f>"exonuclease 1"</f>
        <v>exonuclease 1</v>
      </c>
      <c r="J112" t="str">
        <f t="shared" si="4"/>
        <v>protein coding gene</v>
      </c>
    </row>
    <row r="113" spans="1:10">
      <c r="A113">
        <v>10346365</v>
      </c>
      <c r="B113">
        <v>5.1684152322084804</v>
      </c>
      <c r="C113">
        <v>3.4085595903475698</v>
      </c>
      <c r="E113" t="str">
        <f>"10346365"</f>
        <v>10346365</v>
      </c>
      <c r="F113" t="str">
        <f t="shared" si="3"/>
        <v>Affy 1.0 ST</v>
      </c>
      <c r="G113" t="str">
        <f>"MGI:1098767"</f>
        <v>MGI:1098767</v>
      </c>
      <c r="H113" t="str">
        <f>"Sgol2"</f>
        <v>Sgol2</v>
      </c>
      <c r="I113" t="str">
        <f>"shugoshin-like 2 (S. pombe)"</f>
        <v>shugoshin-like 2 (S. pombe)</v>
      </c>
      <c r="J113" t="str">
        <f t="shared" si="4"/>
        <v>protein coding gene</v>
      </c>
    </row>
    <row r="114" spans="1:10">
      <c r="A114">
        <v>10556266</v>
      </c>
      <c r="B114">
        <v>5.1483178691103699</v>
      </c>
      <c r="C114">
        <v>2.5834333062185801</v>
      </c>
      <c r="E114" t="str">
        <f>"10556266"</f>
        <v>10556266</v>
      </c>
      <c r="F114" t="str">
        <f t="shared" si="3"/>
        <v>Affy 1.0 ST</v>
      </c>
      <c r="G114" t="str">
        <f>"MGI:103075"</f>
        <v>MGI:103075</v>
      </c>
      <c r="H114" t="str">
        <f>"Wee1"</f>
        <v>Wee1</v>
      </c>
      <c r="I114" t="str">
        <f>"WEE 1 homolog 1 (S. pombe)"</f>
        <v>WEE 1 homolog 1 (S. pombe)</v>
      </c>
      <c r="J114" t="str">
        <f t="shared" si="4"/>
        <v>protein coding gene</v>
      </c>
    </row>
    <row r="115" spans="1:10">
      <c r="A115">
        <v>10586184</v>
      </c>
      <c r="B115">
        <v>5.1344046185374399</v>
      </c>
      <c r="C115">
        <v>2.5637627352086301</v>
      </c>
      <c r="E115" t="str">
        <f>"10586184"</f>
        <v>10586184</v>
      </c>
      <c r="F115" t="str">
        <f t="shared" si="3"/>
        <v>Affy 1.0 ST</v>
      </c>
      <c r="G115" t="str">
        <f>"MGI:1921571"</f>
        <v>MGI:1921571</v>
      </c>
      <c r="H115" t="str">
        <f>"Tipin"</f>
        <v>Tipin</v>
      </c>
      <c r="I115" t="str">
        <f>"timeless interacting protein"</f>
        <v>timeless interacting protein</v>
      </c>
      <c r="J115" t="str">
        <f t="shared" si="4"/>
        <v>protein coding gene</v>
      </c>
    </row>
    <row r="116" spans="1:10">
      <c r="A116">
        <v>10568150</v>
      </c>
      <c r="B116">
        <v>5.0616408523061001</v>
      </c>
      <c r="C116">
        <v>3.7756821750840999</v>
      </c>
      <c r="E116" t="str">
        <f>"10568150"</f>
        <v>10568150</v>
      </c>
      <c r="F116" t="str">
        <f t="shared" si="3"/>
        <v>Affy 1.0 ST</v>
      </c>
      <c r="G116" t="str">
        <f>"MGI:109233"</f>
        <v>MGI:109233</v>
      </c>
      <c r="H116" t="str">
        <f>"Kif22"</f>
        <v>Kif22</v>
      </c>
      <c r="I116" t="str">
        <f>"kinesin family member 22"</f>
        <v>kinesin family member 22</v>
      </c>
      <c r="J116" t="str">
        <f t="shared" si="4"/>
        <v>protein coding gene</v>
      </c>
    </row>
    <row r="117" spans="1:10">
      <c r="A117">
        <v>10437040</v>
      </c>
      <c r="B117">
        <v>5.0604701295969896</v>
      </c>
      <c r="C117">
        <v>3.7004663375779598</v>
      </c>
      <c r="E117" t="str">
        <f>"10437040"</f>
        <v>10437040</v>
      </c>
      <c r="F117" t="str">
        <f t="shared" si="3"/>
        <v>Affy 1.0 ST</v>
      </c>
      <c r="G117" t="str">
        <f>"MGI:1314881"</f>
        <v>MGI:1314881</v>
      </c>
      <c r="H117" t="str">
        <f>"Chaf1b"</f>
        <v>Chaf1b</v>
      </c>
      <c r="I117" t="s">
        <v>46</v>
      </c>
      <c r="J117" t="s">
        <v>13</v>
      </c>
    </row>
    <row r="118" spans="1:10">
      <c r="A118">
        <v>10487506</v>
      </c>
      <c r="B118">
        <v>5.0600247694661604</v>
      </c>
      <c r="C118">
        <v>1.44967732078411</v>
      </c>
      <c r="E118" t="str">
        <f>"10487506"</f>
        <v>10487506</v>
      </c>
      <c r="F118" t="str">
        <f>""</f>
        <v/>
      </c>
      <c r="G118" t="str">
        <f>"No associated gene"</f>
        <v>No associated gene</v>
      </c>
    </row>
    <row r="119" spans="1:10">
      <c r="A119">
        <v>10350297</v>
      </c>
      <c r="B119">
        <v>5.0566111191310998</v>
      </c>
      <c r="C119">
        <v>3.7462749779519799</v>
      </c>
      <c r="E119" t="str">
        <f>"10350297"</f>
        <v>10350297</v>
      </c>
      <c r="F119" t="str">
        <f t="shared" ref="F119:F179" si="5">"Affy 1.0 ST"</f>
        <v>Affy 1.0 ST</v>
      </c>
      <c r="G119" t="str">
        <f>"MGI:1098226"</f>
        <v>MGI:1098226</v>
      </c>
      <c r="H119" t="str">
        <f>"Kif14"</f>
        <v>Kif14</v>
      </c>
      <c r="I119" t="str">
        <f>"kinesin family member 14"</f>
        <v>kinesin family member 14</v>
      </c>
      <c r="J119" t="str">
        <f>"protein coding gene"</f>
        <v>protein coding gene</v>
      </c>
    </row>
    <row r="120" spans="1:10">
      <c r="A120">
        <v>10421877</v>
      </c>
      <c r="B120">
        <v>5.01425811881023</v>
      </c>
      <c r="C120">
        <v>2.15292605265617</v>
      </c>
      <c r="E120" t="str">
        <f>"10421877"</f>
        <v>10421877</v>
      </c>
      <c r="F120" t="str">
        <f t="shared" si="5"/>
        <v>Affy 1.0 ST</v>
      </c>
      <c r="G120" t="str">
        <f>"MGI:1927222"</f>
        <v>MGI:1927222</v>
      </c>
      <c r="H120" t="str">
        <f>"Diap3"</f>
        <v>Diap3</v>
      </c>
      <c r="I120" t="str">
        <f>"diaphanous homolog 3 (Drosophila)"</f>
        <v>diaphanous homolog 3 (Drosophila)</v>
      </c>
      <c r="J120" t="str">
        <f>"protein coding gene"</f>
        <v>protein coding gene</v>
      </c>
    </row>
    <row r="121" spans="1:10">
      <c r="A121">
        <v>10421029</v>
      </c>
      <c r="B121">
        <v>5.0053023560447398</v>
      </c>
      <c r="C121">
        <v>2.8688847293525099</v>
      </c>
      <c r="E121" t="str">
        <f>"10421029"</f>
        <v>10421029</v>
      </c>
      <c r="F121" t="str">
        <f t="shared" si="5"/>
        <v>Affy 1.0 ST</v>
      </c>
      <c r="G121" t="str">
        <f>"MGI:1919787"</f>
        <v>MGI:1919787</v>
      </c>
      <c r="H121" t="str">
        <f>"Cdca2"</f>
        <v>Cdca2</v>
      </c>
      <c r="I121" t="str">
        <f>"cell division cycle associated 2"</f>
        <v>cell division cycle associated 2</v>
      </c>
      <c r="J121" t="str">
        <f>"protein coding gene"</f>
        <v>protein coding gene</v>
      </c>
    </row>
    <row r="122" spans="1:10">
      <c r="A122">
        <v>10594426</v>
      </c>
      <c r="B122">
        <v>4.9950054681391096</v>
      </c>
      <c r="C122">
        <v>3.16269941809565</v>
      </c>
      <c r="E122" t="str">
        <f>"10594426"</f>
        <v>10594426</v>
      </c>
      <c r="F122" t="str">
        <f t="shared" si="5"/>
        <v>Affy 1.0 ST</v>
      </c>
      <c r="G122" t="str">
        <f>"MGI:1915264"</f>
        <v>MGI:1915264</v>
      </c>
      <c r="H122" t="str">
        <f>"Zwilch"</f>
        <v>Zwilch</v>
      </c>
      <c r="I122" t="s">
        <v>47</v>
      </c>
      <c r="J122" t="s">
        <v>13</v>
      </c>
    </row>
    <row r="123" spans="1:10">
      <c r="A123">
        <v>10540738</v>
      </c>
      <c r="B123">
        <v>4.9881806515793299</v>
      </c>
      <c r="C123">
        <v>2.9026461955787601</v>
      </c>
      <c r="E123" t="str">
        <f>"10540738"</f>
        <v>10540738</v>
      </c>
      <c r="F123" t="str">
        <f t="shared" si="5"/>
        <v>Affy 1.0 ST</v>
      </c>
      <c r="G123" t="str">
        <f>"MGI:2448480"</f>
        <v>MGI:2448480</v>
      </c>
      <c r="H123" t="str">
        <f>"Fancd2"</f>
        <v>Fancd2</v>
      </c>
      <c r="I123" t="s">
        <v>48</v>
      </c>
      <c r="J123" t="s">
        <v>13</v>
      </c>
    </row>
    <row r="124" spans="1:10">
      <c r="A124">
        <v>10504957</v>
      </c>
      <c r="B124">
        <v>4.9856846577571998</v>
      </c>
      <c r="C124">
        <v>1.8451378769420299</v>
      </c>
      <c r="E124" t="str">
        <f>"10504957"</f>
        <v>10504957</v>
      </c>
      <c r="F124" t="str">
        <f t="shared" si="5"/>
        <v>Affy 1.0 ST</v>
      </c>
      <c r="G124" t="str">
        <f>"MGI:106067"</f>
        <v>MGI:106067</v>
      </c>
      <c r="H124" t="str">
        <f>"Smc2"</f>
        <v>Smc2</v>
      </c>
      <c r="I124" t="str">
        <f>"structural maintenance of chromosomes 2"</f>
        <v>structural maintenance of chromosomes 2</v>
      </c>
      <c r="J124" t="str">
        <f>"protein coding gene"</f>
        <v>protein coding gene</v>
      </c>
    </row>
    <row r="125" spans="1:10">
      <c r="A125">
        <v>10361995</v>
      </c>
      <c r="B125">
        <v>4.9781317583452402</v>
      </c>
      <c r="C125">
        <v>2.7291340590088198</v>
      </c>
      <c r="E125" t="str">
        <f>"10361995"</f>
        <v>10361995</v>
      </c>
      <c r="F125" t="str">
        <f t="shared" si="5"/>
        <v>Affy 1.0 ST</v>
      </c>
      <c r="G125" t="str">
        <f>"MGI:1919054"</f>
        <v>MGI:1919054</v>
      </c>
      <c r="H125" t="str">
        <f>"Fam54a"</f>
        <v>Fam54a</v>
      </c>
      <c r="I125" t="s">
        <v>49</v>
      </c>
      <c r="J125" t="s">
        <v>13</v>
      </c>
    </row>
    <row r="126" spans="1:10">
      <c r="A126">
        <v>10403948</v>
      </c>
      <c r="B126">
        <v>4.9765556568981797</v>
      </c>
      <c r="C126">
        <v>3.0056035161436498</v>
      </c>
      <c r="E126" t="str">
        <f>"10403948"</f>
        <v>10403948</v>
      </c>
      <c r="F126" t="str">
        <f t="shared" si="5"/>
        <v>Affy 1.0 ST</v>
      </c>
      <c r="G126" t="str">
        <f>"MGI:3710645"</f>
        <v>MGI:3710645</v>
      </c>
      <c r="H126" t="str">
        <f>"Hist1h2br"</f>
        <v>Hist1h2br</v>
      </c>
      <c r="I126" t="str">
        <f>"histone cluster 1 H2br"</f>
        <v>histone cluster 1 H2br</v>
      </c>
      <c r="J126" t="str">
        <f>"protein coding gene"</f>
        <v>protein coding gene</v>
      </c>
    </row>
    <row r="127" spans="1:10">
      <c r="A127">
        <v>10499639</v>
      </c>
      <c r="B127">
        <v>4.9378912198671703</v>
      </c>
      <c r="C127">
        <v>3.1392158836133799</v>
      </c>
      <c r="E127" t="str">
        <f>"10499639"</f>
        <v>10499639</v>
      </c>
      <c r="F127" t="str">
        <f t="shared" si="5"/>
        <v>Affy 1.0 ST</v>
      </c>
      <c r="G127" t="str">
        <f>"MGI:1889208"</f>
        <v>MGI:1889208</v>
      </c>
      <c r="H127" t="str">
        <f>"Cks1b"</f>
        <v>Cks1b</v>
      </c>
      <c r="I127" t="str">
        <f>"CDC28 protein kinase 1b"</f>
        <v>CDC28 protein kinase 1b</v>
      </c>
      <c r="J127" t="str">
        <f>"protein coding gene"</f>
        <v>protein coding gene</v>
      </c>
    </row>
    <row r="128" spans="1:10">
      <c r="A128">
        <v>10408092</v>
      </c>
      <c r="B128">
        <v>4.9350461678439101</v>
      </c>
      <c r="C128">
        <v>3.3492898278599399</v>
      </c>
      <c r="E128" t="str">
        <f>"10408092"</f>
        <v>10408092</v>
      </c>
      <c r="F128" t="str">
        <f t="shared" si="5"/>
        <v>Affy 1.0 ST</v>
      </c>
      <c r="G128" t="str">
        <f>"MGI:2448441"</f>
        <v>MGI:2448441</v>
      </c>
      <c r="H128" t="str">
        <f>"Hist1h4m"</f>
        <v>Hist1h4m</v>
      </c>
      <c r="I128" t="s">
        <v>50</v>
      </c>
      <c r="J128" t="s">
        <v>13</v>
      </c>
    </row>
    <row r="129" spans="1:10">
      <c r="A129">
        <v>10541729</v>
      </c>
      <c r="B129">
        <v>4.9108541756757003</v>
      </c>
      <c r="C129">
        <v>3.5085451883438399</v>
      </c>
      <c r="E129" t="str">
        <f>"10541729"</f>
        <v>10541729</v>
      </c>
      <c r="F129" t="str">
        <f t="shared" si="5"/>
        <v>Affy 1.0 ST</v>
      </c>
      <c r="G129" t="str">
        <f>"MGI:1315198"</f>
        <v>MGI:1315198</v>
      </c>
      <c r="H129" t="str">
        <f>"Cdca3"</f>
        <v>Cdca3</v>
      </c>
      <c r="I129" t="str">
        <f>"cell division cycle associated 3"</f>
        <v>cell division cycle associated 3</v>
      </c>
      <c r="J129" t="str">
        <f t="shared" ref="J129:J134" si="6">"protein coding gene"</f>
        <v>protein coding gene</v>
      </c>
    </row>
    <row r="130" spans="1:10">
      <c r="A130">
        <v>10521136</v>
      </c>
      <c r="B130">
        <v>4.9048710678018397</v>
      </c>
      <c r="C130">
        <v>2.62476179043952</v>
      </c>
      <c r="E130" t="str">
        <f>"10521136"</f>
        <v>10521136</v>
      </c>
      <c r="F130" t="str">
        <f t="shared" si="5"/>
        <v>Affy 1.0 ST</v>
      </c>
      <c r="G130" t="str">
        <f>"MGI:1276574"</f>
        <v>MGI:1276574</v>
      </c>
      <c r="H130" t="str">
        <f>"Whsc1"</f>
        <v>Whsc1</v>
      </c>
      <c r="I130" t="str">
        <f>"Wolf-Hirschhorn syndrome candidate 1 (human)"</f>
        <v>Wolf-Hirschhorn syndrome candidate 1 (human)</v>
      </c>
      <c r="J130" t="str">
        <f t="shared" si="6"/>
        <v>protein coding gene</v>
      </c>
    </row>
    <row r="131" spans="1:10">
      <c r="A131">
        <v>10391461</v>
      </c>
      <c r="B131">
        <v>4.8675147958812603</v>
      </c>
      <c r="C131">
        <v>1.7443559720084001</v>
      </c>
      <c r="E131" t="str">
        <f>"10391461"</f>
        <v>10391461</v>
      </c>
      <c r="F131" t="str">
        <f t="shared" si="5"/>
        <v>Affy 1.0 ST</v>
      </c>
      <c r="G131" t="str">
        <f>"MGI:104537"</f>
        <v>MGI:104537</v>
      </c>
      <c r="H131" t="str">
        <f>"Brca1"</f>
        <v>Brca1</v>
      </c>
      <c r="I131" t="str">
        <f>"breast cancer 1"</f>
        <v>breast cancer 1</v>
      </c>
      <c r="J131" t="str">
        <f t="shared" si="6"/>
        <v>protein coding gene</v>
      </c>
    </row>
    <row r="132" spans="1:10">
      <c r="A132">
        <v>10538832</v>
      </c>
      <c r="B132">
        <v>4.8635462286770599</v>
      </c>
      <c r="C132">
        <v>3.44296008019389</v>
      </c>
      <c r="E132" t="str">
        <f>"10538832"</f>
        <v>10538832</v>
      </c>
      <c r="F132" t="str">
        <f t="shared" si="5"/>
        <v>Affy 1.0 ST</v>
      </c>
      <c r="G132" t="str">
        <f>"MGI:1860374"</f>
        <v>MGI:1860374</v>
      </c>
      <c r="H132" t="str">
        <f>"Mad2l1"</f>
        <v>Mad2l1</v>
      </c>
      <c r="I132" t="str">
        <f>"MAD2 mitotic arrest deficient-like 1 (yeast)"</f>
        <v>MAD2 mitotic arrest deficient-like 1 (yeast)</v>
      </c>
      <c r="J132" t="str">
        <f t="shared" si="6"/>
        <v>protein coding gene</v>
      </c>
    </row>
    <row r="133" spans="1:10">
      <c r="A133">
        <v>10528915</v>
      </c>
      <c r="B133">
        <v>4.7859996632908599</v>
      </c>
      <c r="C133">
        <v>2.86601236087935</v>
      </c>
      <c r="E133" t="str">
        <f>"10528915"</f>
        <v>10528915</v>
      </c>
      <c r="F133" t="str">
        <f t="shared" si="5"/>
        <v>Affy 1.0 ST</v>
      </c>
      <c r="G133" t="str">
        <f>"MGI:98878"</f>
        <v>MGI:98878</v>
      </c>
      <c r="H133" t="str">
        <f>"Tyms"</f>
        <v>Tyms</v>
      </c>
      <c r="I133" t="str">
        <f>"thymidylate synthase"</f>
        <v>thymidylate synthase</v>
      </c>
      <c r="J133" t="str">
        <f t="shared" si="6"/>
        <v>protein coding gene</v>
      </c>
    </row>
    <row r="134" spans="1:10">
      <c r="A134">
        <v>10363575</v>
      </c>
      <c r="B134">
        <v>4.7205071861578798</v>
      </c>
      <c r="C134">
        <v>3.3390137835668501</v>
      </c>
      <c r="E134" t="str">
        <f>"10363575"</f>
        <v>10363575</v>
      </c>
      <c r="F134" t="str">
        <f t="shared" si="5"/>
        <v>Affy 1.0 ST</v>
      </c>
      <c r="G134" t="str">
        <f>"MGI:2443732"</f>
        <v>MGI:2443732</v>
      </c>
      <c r="H134" t="str">
        <f>"Dna2"</f>
        <v>Dna2</v>
      </c>
      <c r="I134" t="str">
        <f>"DNA replication helicase 2 homolog (yeast)"</f>
        <v>DNA replication helicase 2 homolog (yeast)</v>
      </c>
      <c r="J134" t="str">
        <f t="shared" si="6"/>
        <v>protein coding gene</v>
      </c>
    </row>
    <row r="135" spans="1:10">
      <c r="A135">
        <v>10585778</v>
      </c>
      <c r="B135">
        <v>4.62620732518198</v>
      </c>
      <c r="C135">
        <v>1.74193000714576</v>
      </c>
      <c r="E135" t="str">
        <f>"10585778"</f>
        <v>10585778</v>
      </c>
      <c r="F135" t="str">
        <f t="shared" si="5"/>
        <v>Affy 1.0 ST</v>
      </c>
      <c r="G135" t="str">
        <f>"MGI:1306826"</f>
        <v>MGI:1306826</v>
      </c>
      <c r="H135" t="str">
        <f>"Sema7a"</f>
        <v>Sema7a</v>
      </c>
      <c r="I135" t="s">
        <v>0</v>
      </c>
      <c r="J135" t="s">
        <v>13</v>
      </c>
    </row>
    <row r="136" spans="1:10">
      <c r="A136">
        <v>10408243</v>
      </c>
      <c r="B136">
        <v>4.5860873510509403</v>
      </c>
      <c r="C136">
        <v>2.8423356335849701</v>
      </c>
      <c r="E136" t="str">
        <f>"10408243"</f>
        <v>10408243</v>
      </c>
      <c r="F136" t="str">
        <f t="shared" si="5"/>
        <v>Affy 1.0 ST</v>
      </c>
      <c r="G136" t="str">
        <f>"MGI:2448420"</f>
        <v>MGI:2448420</v>
      </c>
      <c r="H136" t="str">
        <f>"Hist1h4b"</f>
        <v>Hist1h4b</v>
      </c>
      <c r="I136" t="s">
        <v>1</v>
      </c>
      <c r="J136" t="s">
        <v>13</v>
      </c>
    </row>
    <row r="137" spans="1:10">
      <c r="A137">
        <v>10575733</v>
      </c>
      <c r="B137">
        <v>4.5571245961704498</v>
      </c>
      <c r="C137">
        <v>2.56569827754236</v>
      </c>
      <c r="E137" t="str">
        <f>"10575733"</f>
        <v>10575733</v>
      </c>
      <c r="F137" t="str">
        <f t="shared" si="5"/>
        <v>Affy 1.0 ST</v>
      </c>
      <c r="G137" t="str">
        <f>"MGI:1919405"</f>
        <v>MGI:1919405</v>
      </c>
      <c r="H137" t="str">
        <f>"Cenpn"</f>
        <v>Cenpn</v>
      </c>
      <c r="I137" t="str">
        <f>"centromere protein N"</f>
        <v>centromere protein N</v>
      </c>
      <c r="J137" t="str">
        <f t="shared" ref="J137:J142" si="7">"protein coding gene"</f>
        <v>protein coding gene</v>
      </c>
    </row>
    <row r="138" spans="1:10">
      <c r="A138">
        <v>10438378</v>
      </c>
      <c r="B138">
        <v>4.5260978063834196</v>
      </c>
      <c r="C138">
        <v>1.6644626215249401</v>
      </c>
      <c r="E138" t="str">
        <f>"10438378"</f>
        <v>10438378</v>
      </c>
      <c r="F138" t="str">
        <f t="shared" si="5"/>
        <v>Affy 1.0 ST</v>
      </c>
      <c r="G138" t="str">
        <f>"MGI:1338073"</f>
        <v>MGI:1338073</v>
      </c>
      <c r="H138" t="str">
        <f>"Cdc45"</f>
        <v>Cdc45</v>
      </c>
      <c r="I138" t="str">
        <f>"cell division cycle 45 homolog (S. cerevisiae)"</f>
        <v>cell division cycle 45 homolog (S. cerevisiae)</v>
      </c>
      <c r="J138" t="str">
        <f t="shared" si="7"/>
        <v>protein coding gene</v>
      </c>
    </row>
    <row r="139" spans="1:10">
      <c r="A139">
        <v>10571696</v>
      </c>
      <c r="B139">
        <v>4.5243243973880798</v>
      </c>
      <c r="C139">
        <v>1.8220873555818899</v>
      </c>
      <c r="E139" t="str">
        <f>"10571696"</f>
        <v>10571696</v>
      </c>
      <c r="F139" t="str">
        <f t="shared" si="5"/>
        <v>Affy 1.0 ST</v>
      </c>
      <c r="G139" t="str">
        <f>"MGI:107739"</f>
        <v>MGI:107739</v>
      </c>
      <c r="H139" t="str">
        <f>"Casp3"</f>
        <v>Casp3</v>
      </c>
      <c r="I139" t="str">
        <f>"caspase 3"</f>
        <v>caspase 3</v>
      </c>
      <c r="J139" t="str">
        <f t="shared" si="7"/>
        <v>protein coding gene</v>
      </c>
    </row>
    <row r="140" spans="1:10">
      <c r="A140">
        <v>10544501</v>
      </c>
      <c r="B140">
        <v>4.4936972202024004</v>
      </c>
      <c r="C140">
        <v>2.1198668853189702</v>
      </c>
      <c r="E140" t="str">
        <f>"10544501"</f>
        <v>10544501</v>
      </c>
      <c r="F140" t="str">
        <f t="shared" si="5"/>
        <v>Affy 1.0 ST</v>
      </c>
      <c r="G140" t="str">
        <f>"MGI:107940"</f>
        <v>MGI:107940</v>
      </c>
      <c r="H140" t="str">
        <f>"Ezh2"</f>
        <v>Ezh2</v>
      </c>
      <c r="I140" t="str">
        <f>"enhancer of zeste homolog 2 (Drosophila)"</f>
        <v>enhancer of zeste homolog 2 (Drosophila)</v>
      </c>
      <c r="J140" t="str">
        <f t="shared" si="7"/>
        <v>protein coding gene</v>
      </c>
    </row>
    <row r="141" spans="1:10">
      <c r="A141">
        <v>10542079</v>
      </c>
      <c r="B141">
        <v>4.4555911601528502</v>
      </c>
      <c r="C141">
        <v>2.5132390418308201</v>
      </c>
      <c r="E141" t="str">
        <f>"10542079"</f>
        <v>10542079</v>
      </c>
      <c r="F141" t="str">
        <f t="shared" si="5"/>
        <v>Affy 1.0 ST</v>
      </c>
      <c r="G141" t="str">
        <f>"MGI:1347487"</f>
        <v>MGI:1347487</v>
      </c>
      <c r="H141" t="str">
        <f>"Foxm1"</f>
        <v>Foxm1</v>
      </c>
      <c r="I141" t="str">
        <f>"forkhead box M1"</f>
        <v>forkhead box M1</v>
      </c>
      <c r="J141" t="str">
        <f t="shared" si="7"/>
        <v>protein coding gene</v>
      </c>
    </row>
    <row r="142" spans="1:10">
      <c r="A142">
        <v>10524790</v>
      </c>
      <c r="B142">
        <v>4.4529379022914899</v>
      </c>
      <c r="C142">
        <v>2.30645715390372</v>
      </c>
      <c r="E142" t="str">
        <f>"10524790"</f>
        <v>10524790</v>
      </c>
      <c r="F142" t="str">
        <f t="shared" si="5"/>
        <v>Affy 1.0 ST</v>
      </c>
      <c r="G142" t="str">
        <f>"MGI:105313"</f>
        <v>MGI:105313</v>
      </c>
      <c r="H142" t="str">
        <f>"Cit"</f>
        <v>Cit</v>
      </c>
      <c r="I142" t="str">
        <f>"citron"</f>
        <v>citron</v>
      </c>
      <c r="J142" t="str">
        <f t="shared" si="7"/>
        <v>protein coding gene</v>
      </c>
    </row>
    <row r="143" spans="1:10">
      <c r="A143">
        <v>10572906</v>
      </c>
      <c r="B143">
        <v>4.4384710345840297</v>
      </c>
      <c r="C143">
        <v>2.11913535552846</v>
      </c>
      <c r="E143" t="str">
        <f>"10572906"</f>
        <v>10572906</v>
      </c>
      <c r="F143" t="str">
        <f t="shared" si="5"/>
        <v>Affy 1.0 ST</v>
      </c>
      <c r="G143" t="str">
        <f>"MGI:103197"</f>
        <v>MGI:103197</v>
      </c>
      <c r="H143" t="str">
        <f>"Mcm5"</f>
        <v>Mcm5</v>
      </c>
      <c r="I143" t="s">
        <v>2</v>
      </c>
      <c r="J143" t="s">
        <v>13</v>
      </c>
    </row>
    <row r="144" spans="1:10">
      <c r="A144">
        <v>10406581</v>
      </c>
      <c r="B144">
        <v>4.3938548634673804</v>
      </c>
      <c r="C144">
        <v>0.83425918730089499</v>
      </c>
      <c r="E144" t="str">
        <f>"10406581"</f>
        <v>10406581</v>
      </c>
      <c r="F144" t="str">
        <f t="shared" si="5"/>
        <v>Affy 1.0 ST</v>
      </c>
      <c r="G144" t="str">
        <f>"MGI:94890"</f>
        <v>MGI:94890</v>
      </c>
      <c r="H144" t="str">
        <f>"Dhfr"</f>
        <v>Dhfr</v>
      </c>
      <c r="I144" t="str">
        <f>"dihydrofolate reductase"</f>
        <v>dihydrofolate reductase</v>
      </c>
      <c r="J144" t="str">
        <f t="shared" ref="J144:J151" si="8">"protein coding gene"</f>
        <v>protein coding gene</v>
      </c>
    </row>
    <row r="145" spans="1:10">
      <c r="A145">
        <v>10548086</v>
      </c>
      <c r="B145">
        <v>4.3505186331937198</v>
      </c>
      <c r="C145">
        <v>1.7084202164139399</v>
      </c>
      <c r="E145" t="str">
        <f>"10548086"</f>
        <v>10548086</v>
      </c>
      <c r="F145" t="str">
        <f t="shared" si="5"/>
        <v>Affy 1.0 ST</v>
      </c>
      <c r="G145" t="str">
        <f>"MGI:1098224"</f>
        <v>MGI:1098224</v>
      </c>
      <c r="H145" t="str">
        <f>"Rad51ap1"</f>
        <v>Rad51ap1</v>
      </c>
      <c r="I145" t="str">
        <f>"RAD51 associated protein 1"</f>
        <v>RAD51 associated protein 1</v>
      </c>
      <c r="J145" t="str">
        <f t="shared" si="8"/>
        <v>protein coding gene</v>
      </c>
    </row>
    <row r="146" spans="1:10">
      <c r="A146">
        <v>10355329</v>
      </c>
      <c r="B146">
        <v>4.3495786452908103</v>
      </c>
      <c r="C146">
        <v>2.3631520036898701</v>
      </c>
      <c r="E146" t="str">
        <f>"10355329"</f>
        <v>10355329</v>
      </c>
      <c r="F146" t="str">
        <f t="shared" si="5"/>
        <v>Affy 1.0 ST</v>
      </c>
      <c r="G146" t="str">
        <f>"MGI:1328361"</f>
        <v>MGI:1328361</v>
      </c>
      <c r="H146" t="str">
        <f>"Bard1"</f>
        <v>Bard1</v>
      </c>
      <c r="I146" t="str">
        <f>"BRCA1 associated RING domain 1"</f>
        <v>BRCA1 associated RING domain 1</v>
      </c>
      <c r="J146" t="str">
        <f t="shared" si="8"/>
        <v>protein coding gene</v>
      </c>
    </row>
    <row r="147" spans="1:10">
      <c r="A147">
        <v>10451805</v>
      </c>
      <c r="B147">
        <v>4.3244953298033204</v>
      </c>
      <c r="C147">
        <v>2.8142494833931599</v>
      </c>
      <c r="E147" t="str">
        <f>"10451805"</f>
        <v>10451805</v>
      </c>
      <c r="F147" t="str">
        <f t="shared" si="5"/>
        <v>Affy 1.0 ST</v>
      </c>
      <c r="G147" t="str">
        <f>"MGI:1919665"</f>
        <v>MGI:1919665</v>
      </c>
      <c r="H147" t="str">
        <f>"Sgol1"</f>
        <v>Sgol1</v>
      </c>
      <c r="I147" t="str">
        <f>"shugoshin-like 1 (S. pombe)"</f>
        <v>shugoshin-like 1 (S. pombe)</v>
      </c>
      <c r="J147" t="str">
        <f t="shared" si="8"/>
        <v>protein coding gene</v>
      </c>
    </row>
    <row r="148" spans="1:10">
      <c r="A148">
        <v>10534974</v>
      </c>
      <c r="B148">
        <v>4.31058242343099</v>
      </c>
      <c r="C148">
        <v>2.7203204665774301</v>
      </c>
      <c r="E148" t="str">
        <f>"10534974"</f>
        <v>10534974</v>
      </c>
      <c r="F148" t="str">
        <f t="shared" si="5"/>
        <v>Affy 1.0 ST</v>
      </c>
      <c r="G148" t="str">
        <f>"MGI:1298398"</f>
        <v>MGI:1298398</v>
      </c>
      <c r="H148" t="str">
        <f>"Mcm7"</f>
        <v>Mcm7</v>
      </c>
      <c r="I148" t="str">
        <f>"minichromosome maintenance deficient 7 (S. cerevisiae)"</f>
        <v>minichromosome maintenance deficient 7 (S. cerevisiae)</v>
      </c>
      <c r="J148" t="str">
        <f t="shared" si="8"/>
        <v>protein coding gene</v>
      </c>
    </row>
    <row r="149" spans="1:10">
      <c r="A149">
        <v>10353420</v>
      </c>
      <c r="B149">
        <v>4.2591724549093204</v>
      </c>
      <c r="C149">
        <v>2.2023527101085398</v>
      </c>
      <c r="E149" t="str">
        <f>"10353420"</f>
        <v>10353420</v>
      </c>
      <c r="F149" t="str">
        <f t="shared" si="5"/>
        <v>Affy 1.0 ST</v>
      </c>
      <c r="G149" t="str">
        <f>"MGI:101845"</f>
        <v>MGI:101845</v>
      </c>
      <c r="H149" t="str">
        <f>"Mcm3"</f>
        <v>Mcm3</v>
      </c>
      <c r="I149" t="str">
        <f>"minichromosome maintenance deficient 3 (S. cerevisiae)"</f>
        <v>minichromosome maintenance deficient 3 (S. cerevisiae)</v>
      </c>
      <c r="J149" t="str">
        <f t="shared" si="8"/>
        <v>protein coding gene</v>
      </c>
    </row>
    <row r="150" spans="1:10">
      <c r="A150">
        <v>10535065</v>
      </c>
      <c r="B150">
        <v>4.216862209806</v>
      </c>
      <c r="C150">
        <v>2.7334180389834</v>
      </c>
      <c r="E150" t="str">
        <f>"10535065"</f>
        <v>10535065</v>
      </c>
      <c r="F150" t="str">
        <f t="shared" si="5"/>
        <v>Affy 1.0 ST</v>
      </c>
      <c r="G150" t="str">
        <f>"MGI:2442201"</f>
        <v>MGI:2442201</v>
      </c>
      <c r="H150" t="str">
        <f>"Adap1"</f>
        <v>Adap1</v>
      </c>
      <c r="I150" t="str">
        <f>"ArfGAP with dual PH domains 1"</f>
        <v>ArfGAP with dual PH domains 1</v>
      </c>
      <c r="J150" t="str">
        <f t="shared" si="8"/>
        <v>protein coding gene</v>
      </c>
    </row>
    <row r="151" spans="1:10">
      <c r="A151">
        <v>10577508</v>
      </c>
      <c r="B151">
        <v>4.1771480247193598</v>
      </c>
      <c r="C151">
        <v>2.6370241578673501</v>
      </c>
      <c r="E151" t="str">
        <f>"10577508"</f>
        <v>10577508</v>
      </c>
      <c r="F151" t="str">
        <f t="shared" si="5"/>
        <v>Affy 1.0 ST</v>
      </c>
      <c r="G151" t="str">
        <f>"MGI:1931797"</f>
        <v>MGI:1931797</v>
      </c>
      <c r="H151" t="str">
        <f>"Ckap2"</f>
        <v>Ckap2</v>
      </c>
      <c r="I151" t="str">
        <f>"cytoskeleton associated protein 2"</f>
        <v>cytoskeleton associated protein 2</v>
      </c>
      <c r="J151" t="str">
        <f t="shared" si="8"/>
        <v>protein coding gene</v>
      </c>
    </row>
    <row r="152" spans="1:10">
      <c r="A152">
        <v>10446027</v>
      </c>
      <c r="B152">
        <v>4.1686764699410102</v>
      </c>
      <c r="C152">
        <v>1.2645879577741099</v>
      </c>
      <c r="E152" t="str">
        <f>"10446027"</f>
        <v>10446027</v>
      </c>
      <c r="F152" t="str">
        <f t="shared" si="5"/>
        <v>Affy 1.0 ST</v>
      </c>
      <c r="G152" t="str">
        <f>"MGI:1351331"</f>
        <v>MGI:1351331</v>
      </c>
      <c r="H152" t="str">
        <f>"Chaf1a"</f>
        <v>Chaf1a</v>
      </c>
      <c r="I152" t="s">
        <v>3</v>
      </c>
      <c r="J152" t="s">
        <v>13</v>
      </c>
    </row>
    <row r="153" spans="1:10">
      <c r="A153">
        <v>10539135</v>
      </c>
      <c r="B153">
        <v>4.1661895083792704</v>
      </c>
      <c r="C153">
        <v>2.0807702624156601</v>
      </c>
      <c r="E153" t="str">
        <f>"10539135"</f>
        <v>10539135</v>
      </c>
      <c r="F153" t="str">
        <f t="shared" si="5"/>
        <v>Affy 1.0 ST</v>
      </c>
      <c r="G153" t="str">
        <f>"MGI:1098259"</f>
        <v>MGI:1098259</v>
      </c>
      <c r="H153" t="str">
        <f>"Capg"</f>
        <v>Capg</v>
      </c>
      <c r="I153" t="s">
        <v>4</v>
      </c>
      <c r="J153" t="s">
        <v>13</v>
      </c>
    </row>
    <row r="154" spans="1:10">
      <c r="A154">
        <v>10416037</v>
      </c>
      <c r="B154">
        <v>4.1593737760206704</v>
      </c>
      <c r="C154">
        <v>1.7719862012223699</v>
      </c>
      <c r="E154" t="str">
        <f>"10416037"</f>
        <v>10416037</v>
      </c>
      <c r="F154" t="str">
        <f t="shared" si="5"/>
        <v>Affy 1.0 ST</v>
      </c>
      <c r="G154" t="str">
        <f>"MGI:1289156"</f>
        <v>MGI:1289156</v>
      </c>
      <c r="H154" t="str">
        <f>"Pbk"</f>
        <v>Pbk</v>
      </c>
      <c r="I154" t="str">
        <f>"PDZ binding kinase"</f>
        <v>PDZ binding kinase</v>
      </c>
      <c r="J154" t="str">
        <f>"protein coding gene"</f>
        <v>protein coding gene</v>
      </c>
    </row>
    <row r="155" spans="1:10">
      <c r="A155">
        <v>10375443</v>
      </c>
      <c r="B155">
        <v>4.1400962541350701</v>
      </c>
      <c r="C155">
        <v>2.7480856662025599</v>
      </c>
      <c r="E155" t="str">
        <f>"10375443"</f>
        <v>10375443</v>
      </c>
      <c r="F155" t="str">
        <f t="shared" si="5"/>
        <v>Affy 1.0 ST</v>
      </c>
      <c r="G155" t="str">
        <f>"MGI:2159682"</f>
        <v>MGI:2159682</v>
      </c>
      <c r="H155" t="str">
        <f>"Havcr2"</f>
        <v>Havcr2</v>
      </c>
      <c r="I155" t="str">
        <f>"hepatitis A virus cellular receptor 2"</f>
        <v>hepatitis A virus cellular receptor 2</v>
      </c>
      <c r="J155" t="str">
        <f>"protein coding gene"</f>
        <v>protein coding gene</v>
      </c>
    </row>
    <row r="156" spans="1:10">
      <c r="A156">
        <v>10486396</v>
      </c>
      <c r="B156">
        <v>4.1285780161023302</v>
      </c>
      <c r="C156">
        <v>2.2890936556569801</v>
      </c>
      <c r="E156" t="str">
        <f>"10486396"</f>
        <v>10486396</v>
      </c>
      <c r="F156" t="str">
        <f t="shared" si="5"/>
        <v>Affy 1.0 ST</v>
      </c>
      <c r="G156" t="str">
        <f>"MGI:1919619"</f>
        <v>MGI:1919619</v>
      </c>
      <c r="H156" t="str">
        <f>"Ehd4"</f>
        <v>Ehd4</v>
      </c>
      <c r="I156" t="str">
        <f>"EH-domain containing 4"</f>
        <v>EH-domain containing 4</v>
      </c>
      <c r="J156" t="str">
        <f>"protein coding gene"</f>
        <v>protein coding gene</v>
      </c>
    </row>
    <row r="157" spans="1:10">
      <c r="A157">
        <v>10399391</v>
      </c>
      <c r="B157">
        <v>4.1232320598610102</v>
      </c>
      <c r="C157">
        <v>2.66960270177549</v>
      </c>
      <c r="E157" t="str">
        <f>"10399391"</f>
        <v>10399391</v>
      </c>
      <c r="F157" t="str">
        <f t="shared" si="5"/>
        <v>Affy 1.0 ST</v>
      </c>
      <c r="G157" t="str">
        <f>"MGI:2443149"</f>
        <v>MGI:2443149</v>
      </c>
      <c r="H157" t="str">
        <f>"Gen1"</f>
        <v>Gen1</v>
      </c>
      <c r="I157" t="s">
        <v>55</v>
      </c>
      <c r="J157" t="s">
        <v>13</v>
      </c>
    </row>
    <row r="158" spans="1:10">
      <c r="A158">
        <v>10360985</v>
      </c>
      <c r="B158">
        <v>4.1192373591198104</v>
      </c>
      <c r="C158">
        <v>2.5848890250530601</v>
      </c>
      <c r="E158" t="str">
        <f>"10360985"</f>
        <v>10360985</v>
      </c>
      <c r="F158" t="str">
        <f t="shared" si="5"/>
        <v>Affy 1.0 ST</v>
      </c>
      <c r="G158" t="str">
        <f>"MGI:1313302"</f>
        <v>MGI:1313302</v>
      </c>
      <c r="H158" t="str">
        <f>"Cenpf"</f>
        <v>Cenpf</v>
      </c>
      <c r="I158" t="str">
        <f>"centromere protein F"</f>
        <v>centromere protein F</v>
      </c>
      <c r="J158" t="str">
        <f>"protein coding gene"</f>
        <v>protein coding gene</v>
      </c>
    </row>
    <row r="159" spans="1:10">
      <c r="A159">
        <v>10478355</v>
      </c>
      <c r="B159">
        <v>4.0831822051712399</v>
      </c>
      <c r="C159">
        <v>2.4937797921758502</v>
      </c>
      <c r="E159" t="str">
        <f>"10478355"</f>
        <v>10478355</v>
      </c>
      <c r="F159" t="str">
        <f t="shared" si="5"/>
        <v>Affy 1.0 ST</v>
      </c>
      <c r="G159" t="str">
        <f>"MGI:101785"</f>
        <v>MGI:101785</v>
      </c>
      <c r="H159" t="str">
        <f>"Mybl2"</f>
        <v>Mybl2</v>
      </c>
      <c r="I159" t="str">
        <f>"myeloblastosis oncogene-like 2"</f>
        <v>myeloblastosis oncogene-like 2</v>
      </c>
      <c r="J159" t="str">
        <f>"protein coding gene"</f>
        <v>protein coding gene</v>
      </c>
    </row>
    <row r="160" spans="1:10">
      <c r="A160">
        <v>10408087</v>
      </c>
      <c r="B160">
        <v>4.0296524094424599</v>
      </c>
      <c r="C160">
        <v>2.2614661928097299</v>
      </c>
      <c r="E160" t="str">
        <f>"10408087"</f>
        <v>10408087</v>
      </c>
      <c r="F160" t="str">
        <f t="shared" si="5"/>
        <v>Affy 1.0 ST</v>
      </c>
      <c r="G160" t="str">
        <f>"MGI:3702051"</f>
        <v>MGI:3702051</v>
      </c>
      <c r="H160" t="str">
        <f>"Hist1h2bq"</f>
        <v>Hist1h2bq</v>
      </c>
      <c r="I160" t="s">
        <v>56</v>
      </c>
      <c r="J160" t="s">
        <v>13</v>
      </c>
    </row>
    <row r="161" spans="1:10">
      <c r="A161">
        <v>10439895</v>
      </c>
      <c r="B161">
        <v>3.96050436909688</v>
      </c>
      <c r="C161">
        <v>2.5590449114251101</v>
      </c>
      <c r="E161" t="str">
        <f>"10439895"</f>
        <v>10439895</v>
      </c>
      <c r="F161" t="str">
        <f t="shared" si="5"/>
        <v>Affy 1.0 ST</v>
      </c>
      <c r="G161" t="str">
        <f>"MGI:1313266"</f>
        <v>MGI:1313266</v>
      </c>
      <c r="H161" t="str">
        <f>"Alcam"</f>
        <v>Alcam</v>
      </c>
      <c r="I161" t="str">
        <f>"activated leukocyte cell adhesion molecule"</f>
        <v>activated leukocyte cell adhesion molecule</v>
      </c>
      <c r="J161" t="str">
        <f>"protein coding gene"</f>
        <v>protein coding gene</v>
      </c>
    </row>
    <row r="162" spans="1:10">
      <c r="A162">
        <v>10408321</v>
      </c>
      <c r="B162">
        <v>3.9572133415119199</v>
      </c>
      <c r="C162">
        <v>2.2450014992619698</v>
      </c>
      <c r="E162" t="str">
        <f>"10408321"</f>
        <v>10408321</v>
      </c>
      <c r="F162" t="str">
        <f t="shared" si="5"/>
        <v>Affy 1.0 ST</v>
      </c>
      <c r="G162" t="str">
        <f>"MGI:1927344"</f>
        <v>MGI:1927344</v>
      </c>
      <c r="H162" t="str">
        <f>"Gmnn"</f>
        <v>Gmnn</v>
      </c>
      <c r="I162" t="str">
        <f>"geminin"</f>
        <v>geminin</v>
      </c>
      <c r="J162" t="str">
        <f>"protein coding gene"</f>
        <v>protein coding gene</v>
      </c>
    </row>
    <row r="163" spans="1:10">
      <c r="A163">
        <v>10472916</v>
      </c>
      <c r="B163">
        <v>3.9537263377967999</v>
      </c>
      <c r="C163">
        <v>2.0080069860966501</v>
      </c>
      <c r="E163" t="str">
        <f>"10472916"</f>
        <v>10472916</v>
      </c>
      <c r="F163" t="str">
        <f t="shared" si="5"/>
        <v>Affy 1.0 ST</v>
      </c>
      <c r="G163" t="str">
        <f>"MGI:1914203"</f>
        <v>MGI:1914203</v>
      </c>
      <c r="H163" t="str">
        <f>"Cdca7"</f>
        <v>Cdca7</v>
      </c>
      <c r="I163" t="str">
        <f>"cell division cycle associated 7"</f>
        <v>cell division cycle associated 7</v>
      </c>
      <c r="J163" t="str">
        <f>"protein coding gene"</f>
        <v>protein coding gene</v>
      </c>
    </row>
    <row r="164" spans="1:10">
      <c r="A164">
        <v>10503617</v>
      </c>
      <c r="B164">
        <v>3.9243705109754399</v>
      </c>
      <c r="C164">
        <v>1.4516677965318101</v>
      </c>
      <c r="E164" t="str">
        <f>"10503617"</f>
        <v>10503617</v>
      </c>
      <c r="F164" t="str">
        <f t="shared" si="5"/>
        <v>Affy 1.0 ST</v>
      </c>
      <c r="G164" t="str">
        <f>"MGI:2684980"</f>
        <v>MGI:2684980</v>
      </c>
      <c r="H164" t="str">
        <f>"Mms22l"</f>
        <v>Mms22l</v>
      </c>
      <c r="I164" t="s">
        <v>57</v>
      </c>
      <c r="J164" t="s">
        <v>13</v>
      </c>
    </row>
    <row r="165" spans="1:10">
      <c r="A165">
        <v>10547906</v>
      </c>
      <c r="B165">
        <v>3.9113008479775799</v>
      </c>
      <c r="C165">
        <v>1.81992663838798</v>
      </c>
      <c r="E165" t="str">
        <f>"10547906"</f>
        <v>10547906</v>
      </c>
      <c r="F165" t="str">
        <f t="shared" si="5"/>
        <v>Affy 1.0 ST</v>
      </c>
      <c r="G165" t="str">
        <f>"MGI:106588"</f>
        <v>MGI:106588</v>
      </c>
      <c r="H165" t="str">
        <f>"Lag3"</f>
        <v>Lag3</v>
      </c>
      <c r="I165" t="str">
        <f>"lymphocyte-activation gene 3"</f>
        <v>lymphocyte-activation gene 3</v>
      </c>
      <c r="J165" t="str">
        <f>"protein coding gene"</f>
        <v>protein coding gene</v>
      </c>
    </row>
    <row r="166" spans="1:10">
      <c r="A166">
        <v>10452709</v>
      </c>
      <c r="B166">
        <v>3.8446763625306399</v>
      </c>
      <c r="C166">
        <v>2.2021985755626599</v>
      </c>
      <c r="E166" t="str">
        <f>"10452709"</f>
        <v>10452709</v>
      </c>
      <c r="F166" t="str">
        <f t="shared" si="5"/>
        <v>Affy 1.0 ST</v>
      </c>
      <c r="G166" t="str">
        <f>"MGI:1914302"</f>
        <v>MGI:1914302</v>
      </c>
      <c r="H166" t="str">
        <f>"Ndc80"</f>
        <v>Ndc80</v>
      </c>
      <c r="I166" t="s">
        <v>58</v>
      </c>
      <c r="J166" t="s">
        <v>13</v>
      </c>
    </row>
    <row r="167" spans="1:10">
      <c r="A167">
        <v>10476989</v>
      </c>
      <c r="B167">
        <v>3.8353405051709801</v>
      </c>
      <c r="C167">
        <v>1.31483906159094</v>
      </c>
      <c r="E167" t="str">
        <f>"10476989"</f>
        <v>10476989</v>
      </c>
      <c r="F167" t="str">
        <f t="shared" si="5"/>
        <v>Affy 1.0 ST</v>
      </c>
      <c r="G167" t="str">
        <f>"MGI:1916520"</f>
        <v>MGI:1916520</v>
      </c>
      <c r="H167" t="str">
        <f>"Gins1"</f>
        <v>Gins1</v>
      </c>
      <c r="I167" t="str">
        <f>"GINS complex subunit 1 (Psf1 homolog)"</f>
        <v>GINS complex subunit 1 (Psf1 homolog)</v>
      </c>
      <c r="J167" t="str">
        <f>"protein coding gene"</f>
        <v>protein coding gene</v>
      </c>
    </row>
    <row r="168" spans="1:10">
      <c r="A168">
        <v>10491805</v>
      </c>
      <c r="B168">
        <v>3.7801804581907801</v>
      </c>
      <c r="C168">
        <v>1.4252360754965601</v>
      </c>
      <c r="E168" t="str">
        <f>"10491805"</f>
        <v>10491805</v>
      </c>
      <c r="F168" t="str">
        <f t="shared" si="5"/>
        <v>Affy 1.0 ST</v>
      </c>
      <c r="G168" t="str">
        <f>"MGI:101783"</f>
        <v>MGI:101783</v>
      </c>
      <c r="H168" t="str">
        <f>"Plk4"</f>
        <v>Plk4</v>
      </c>
      <c r="I168" t="str">
        <f>"polo-like kinase 4 (Drosophila)"</f>
        <v>polo-like kinase 4 (Drosophila)</v>
      </c>
      <c r="J168" t="str">
        <f>"protein coding gene"</f>
        <v>protein coding gene</v>
      </c>
    </row>
    <row r="169" spans="1:10">
      <c r="A169">
        <v>10503315</v>
      </c>
      <c r="B169">
        <v>3.7543104969344099</v>
      </c>
      <c r="C169">
        <v>1.51654513840856</v>
      </c>
      <c r="E169" t="str">
        <f>"10503315"</f>
        <v>10503315</v>
      </c>
      <c r="F169" t="str">
        <f t="shared" si="5"/>
        <v>Affy 1.0 ST</v>
      </c>
      <c r="G169" t="str">
        <f>"MGI:3605986"</f>
        <v>MGI:3605986</v>
      </c>
      <c r="H169" t="str">
        <f>"Rad54b"</f>
        <v>Rad54b</v>
      </c>
      <c r="I169" t="str">
        <f>"RAD54 homolog B (S. cerevisiae)"</f>
        <v>RAD54 homolog B (S. cerevisiae)</v>
      </c>
      <c r="J169" t="str">
        <f>"protein coding gene"</f>
        <v>protein coding gene</v>
      </c>
    </row>
    <row r="170" spans="1:10">
      <c r="A170">
        <v>10573615</v>
      </c>
      <c r="B170">
        <v>3.6852542400072799</v>
      </c>
      <c r="C170">
        <v>1.9094719935506099</v>
      </c>
      <c r="E170" t="str">
        <f>"10573615"</f>
        <v>10573615</v>
      </c>
      <c r="F170" t="str">
        <f t="shared" si="5"/>
        <v>Affy 1.0 ST</v>
      </c>
      <c r="G170" t="str">
        <f>"MGI:1929285"</f>
        <v>MGI:1929285</v>
      </c>
      <c r="H170" t="str">
        <f>"Orc6"</f>
        <v>Orc6</v>
      </c>
      <c r="I170" t="s">
        <v>59</v>
      </c>
      <c r="J170" t="s">
        <v>13</v>
      </c>
    </row>
    <row r="171" spans="1:10">
      <c r="A171">
        <v>10586454</v>
      </c>
      <c r="B171">
        <v>3.6652467306193199</v>
      </c>
      <c r="C171">
        <v>1.42863173413516</v>
      </c>
      <c r="E171" t="str">
        <f>"10586454"</f>
        <v>10586454</v>
      </c>
      <c r="F171" t="str">
        <f t="shared" si="5"/>
        <v>Affy 1.0 ST</v>
      </c>
      <c r="G171" t="str">
        <f>"MGI:2442964"</f>
        <v>MGI:2442964</v>
      </c>
      <c r="H171" t="str">
        <f>"D030028M11Rik"</f>
        <v>D030028M11Rik</v>
      </c>
      <c r="I171" t="str">
        <f>"RIKEN cDNA D030028M11 gene"</f>
        <v>RIKEN cDNA D030028M11 gene</v>
      </c>
      <c r="J171" t="str">
        <f>"unclassified gene"</f>
        <v>unclassified gene</v>
      </c>
    </row>
    <row r="172" spans="1:10">
      <c r="A172">
        <v>10438690</v>
      </c>
      <c r="B172">
        <v>3.6549596444276702</v>
      </c>
      <c r="C172">
        <v>1.85302454792508</v>
      </c>
      <c r="E172" t="str">
        <f>"10438690"</f>
        <v>10438690</v>
      </c>
      <c r="F172" t="str">
        <f t="shared" si="5"/>
        <v>Affy 1.0 ST</v>
      </c>
      <c r="G172" t="str">
        <f>"MGI:2146571"</f>
        <v>MGI:2146571</v>
      </c>
      <c r="H172" t="str">
        <f>"Rfc4"</f>
        <v>Rfc4</v>
      </c>
      <c r="I172" t="str">
        <f>"replication factor C (activator 1) 4"</f>
        <v>replication factor C (activator 1) 4</v>
      </c>
      <c r="J172" t="str">
        <f>"protein coding gene"</f>
        <v>protein coding gene</v>
      </c>
    </row>
    <row r="173" spans="1:10">
      <c r="A173">
        <v>10357436</v>
      </c>
      <c r="B173">
        <v>3.6275224729926201</v>
      </c>
      <c r="C173">
        <v>1.4823464574680201</v>
      </c>
      <c r="E173" t="str">
        <f>"10357436"</f>
        <v>10357436</v>
      </c>
      <c r="F173" t="str">
        <f t="shared" si="5"/>
        <v>Affy 1.0 ST</v>
      </c>
      <c r="G173" t="str">
        <f>"MGI:1298227"</f>
        <v>MGI:1298227</v>
      </c>
      <c r="H173" t="str">
        <f>"Mcm6"</f>
        <v>Mcm6</v>
      </c>
      <c r="I173" t="s">
        <v>60</v>
      </c>
      <c r="J173" t="s">
        <v>13</v>
      </c>
    </row>
    <row r="174" spans="1:10">
      <c r="A174">
        <v>10428672</v>
      </c>
      <c r="B174">
        <v>3.62256615830385</v>
      </c>
      <c r="C174">
        <v>1.5090941420003501</v>
      </c>
      <c r="E174" t="str">
        <f>"10428672"</f>
        <v>10428672</v>
      </c>
      <c r="F174" t="str">
        <f t="shared" si="5"/>
        <v>Affy 1.0 ST</v>
      </c>
      <c r="G174" t="str">
        <f>"MGI:1919357"</f>
        <v>MGI:1919357</v>
      </c>
      <c r="H174" t="str">
        <f>"Dscc1"</f>
        <v>Dscc1</v>
      </c>
      <c r="I174" t="str">
        <f>"defective in sister chromatid cohesion 1 homolog (S. cerevisiae)"</f>
        <v>defective in sister chromatid cohesion 1 homolog (S. cerevisiae)</v>
      </c>
      <c r="J174" t="str">
        <f t="shared" ref="J174:J179" si="9">"protein coding gene"</f>
        <v>protein coding gene</v>
      </c>
    </row>
    <row r="175" spans="1:10">
      <c r="A175">
        <v>10546163</v>
      </c>
      <c r="B175">
        <v>3.6028169096871401</v>
      </c>
      <c r="C175">
        <v>1.2784610084089101</v>
      </c>
      <c r="E175" t="str">
        <f>"10546163"</f>
        <v>10546163</v>
      </c>
      <c r="F175" t="str">
        <f t="shared" si="5"/>
        <v>Affy 1.0 ST</v>
      </c>
      <c r="G175" t="str">
        <f>"MGI:105380"</f>
        <v>MGI:105380</v>
      </c>
      <c r="H175" t="str">
        <f>"Mcm2"</f>
        <v>Mcm2</v>
      </c>
      <c r="I175" t="str">
        <f>"minichromosome maintenance deficient 2 mitotin (S. cerevisiae)"</f>
        <v>minichromosome maintenance deficient 2 mitotin (S. cerevisiae)</v>
      </c>
      <c r="J175" t="str">
        <f t="shared" si="9"/>
        <v>protein coding gene</v>
      </c>
    </row>
    <row r="176" spans="1:10">
      <c r="A176">
        <v>10461391</v>
      </c>
      <c r="B176">
        <v>3.6018171253867299</v>
      </c>
      <c r="C176">
        <v>0.99385712676582505</v>
      </c>
      <c r="E176" t="str">
        <f>"10461391"</f>
        <v>10461391</v>
      </c>
      <c r="F176" t="str">
        <f t="shared" si="5"/>
        <v>Affy 1.0 ST</v>
      </c>
      <c r="G176" t="str">
        <f>"MGI:97503"</f>
        <v>MGI:97503</v>
      </c>
      <c r="H176" t="str">
        <f>"Pcna"</f>
        <v>Pcna</v>
      </c>
      <c r="I176" t="str">
        <f>"proliferating cell nuclear antigen"</f>
        <v>proliferating cell nuclear antigen</v>
      </c>
      <c r="J176" t="str">
        <f t="shared" si="9"/>
        <v>protein coding gene</v>
      </c>
    </row>
    <row r="177" spans="1:10">
      <c r="A177">
        <v>10437945</v>
      </c>
      <c r="B177">
        <v>3.52718219041421</v>
      </c>
      <c r="C177">
        <v>0.84205922705065495</v>
      </c>
      <c r="E177" t="str">
        <f>"10437945"</f>
        <v>10437945</v>
      </c>
      <c r="F177" t="str">
        <f t="shared" si="5"/>
        <v>Affy 1.0 ST</v>
      </c>
      <c r="G177" t="str">
        <f>"MGI:103199"</f>
        <v>MGI:103199</v>
      </c>
      <c r="H177" t="str">
        <f>"Mcm4"</f>
        <v>Mcm4</v>
      </c>
      <c r="I177" t="str">
        <f>"minichromosome maintenance deficient 4 homolog (S. cerevisiae)"</f>
        <v>minichromosome maintenance deficient 4 homolog (S. cerevisiae)</v>
      </c>
      <c r="J177" t="str">
        <f t="shared" si="9"/>
        <v>protein coding gene</v>
      </c>
    </row>
    <row r="178" spans="1:10">
      <c r="A178">
        <v>10587107</v>
      </c>
      <c r="B178">
        <v>3.4918502952681401</v>
      </c>
      <c r="C178">
        <v>1.2690830233196799</v>
      </c>
      <c r="E178" t="str">
        <f>"10587107"</f>
        <v>10587107</v>
      </c>
      <c r="F178" t="str">
        <f t="shared" si="5"/>
        <v>Affy 1.0 ST</v>
      </c>
      <c r="G178" t="str">
        <f>"MGI:105976"</f>
        <v>MGI:105976</v>
      </c>
      <c r="H178" t="str">
        <f>"Myo5a"</f>
        <v>Myo5a</v>
      </c>
      <c r="I178" t="str">
        <f>"myosin VA"</f>
        <v>myosin VA</v>
      </c>
      <c r="J178" t="str">
        <f t="shared" si="9"/>
        <v>protein coding gene</v>
      </c>
    </row>
    <row r="179" spans="1:10">
      <c r="A179">
        <v>10535979</v>
      </c>
      <c r="B179">
        <v>3.4706044448195001</v>
      </c>
      <c r="C179">
        <v>1.09715980763828</v>
      </c>
      <c r="E179" t="str">
        <f>"10535979"</f>
        <v>10535979</v>
      </c>
      <c r="F179" t="str">
        <f t="shared" si="5"/>
        <v>Affy 1.0 ST</v>
      </c>
      <c r="G179" t="str">
        <f>"MGI:1916513"</f>
        <v>MGI:1916513</v>
      </c>
      <c r="H179" t="str">
        <f>"Rfc3"</f>
        <v>Rfc3</v>
      </c>
      <c r="I179" t="str">
        <f>"replication factor C (activator 1) 3"</f>
        <v>replication factor C (activator 1) 3</v>
      </c>
      <c r="J179" t="str">
        <f t="shared" si="9"/>
        <v>protein coding gene</v>
      </c>
    </row>
    <row r="180" spans="1:10">
      <c r="A180">
        <v>10586076</v>
      </c>
      <c r="B180">
        <v>3.4580965316985202</v>
      </c>
      <c r="C180">
        <v>1.13421333119945</v>
      </c>
      <c r="E180" t="str">
        <f>"10586076"</f>
        <v>10586076</v>
      </c>
      <c r="F180" t="str">
        <f>""</f>
        <v/>
      </c>
      <c r="G180" t="str">
        <f>"No associated gene"</f>
        <v>No associated gene</v>
      </c>
    </row>
    <row r="181" spans="1:10">
      <c r="A181">
        <v>10478572</v>
      </c>
      <c r="B181">
        <v>3.4551462306913701</v>
      </c>
      <c r="C181">
        <v>1.92139074367684</v>
      </c>
      <c r="E181" t="str">
        <f>"10478572"</f>
        <v>10478572</v>
      </c>
      <c r="F181" t="str">
        <f t="shared" ref="F181:F204" si="10">"Affy 1.0 ST"</f>
        <v>Affy 1.0 ST</v>
      </c>
      <c r="G181" t="str">
        <f>"MGI:1915862"</f>
        <v>MGI:1915862</v>
      </c>
      <c r="H181" t="str">
        <f>"Ube2c"</f>
        <v>Ube2c</v>
      </c>
      <c r="I181" t="str">
        <f>"ubiquitin-conjugating enzyme E2C"</f>
        <v>ubiquitin-conjugating enzyme E2C</v>
      </c>
      <c r="J181" t="str">
        <f t="shared" ref="J181:J187" si="11">"protein coding gene"</f>
        <v>protein coding gene</v>
      </c>
    </row>
    <row r="182" spans="1:10">
      <c r="A182">
        <v>10606436</v>
      </c>
      <c r="B182">
        <v>3.4399128087442898</v>
      </c>
      <c r="C182">
        <v>1.7727779155124299</v>
      </c>
      <c r="E182" t="str">
        <f>"10606436"</f>
        <v>10606436</v>
      </c>
      <c r="F182" t="str">
        <f t="shared" si="10"/>
        <v>Affy 1.0 ST</v>
      </c>
      <c r="G182" t="str">
        <f>"MGI:1355295"</f>
        <v>MGI:1355295</v>
      </c>
      <c r="H182" t="str">
        <f>"Hmgn5"</f>
        <v>Hmgn5</v>
      </c>
      <c r="I182" t="str">
        <f>"high-mobility group nucleosome binding domain 5"</f>
        <v>high-mobility group nucleosome binding domain 5</v>
      </c>
      <c r="J182" t="str">
        <f t="shared" si="11"/>
        <v>protein coding gene</v>
      </c>
    </row>
    <row r="183" spans="1:10">
      <c r="A183">
        <v>10427166</v>
      </c>
      <c r="B183">
        <v>3.3952517108942302</v>
      </c>
      <c r="C183">
        <v>1.99149930564268</v>
      </c>
      <c r="E183" t="str">
        <f>"10427166"</f>
        <v>10427166</v>
      </c>
      <c r="F183" t="str">
        <f t="shared" si="10"/>
        <v>Affy 1.0 ST</v>
      </c>
      <c r="G183" t="str">
        <f>"MGI:2146156"</f>
        <v>MGI:2146156</v>
      </c>
      <c r="H183" t="str">
        <f>"Espl1"</f>
        <v>Espl1</v>
      </c>
      <c r="I183" t="str">
        <f>"extra spindle poles-like 1 (S. cerevisiae)"</f>
        <v>extra spindle poles-like 1 (S. cerevisiae)</v>
      </c>
      <c r="J183" t="str">
        <f t="shared" si="11"/>
        <v>protein coding gene</v>
      </c>
    </row>
    <row r="184" spans="1:10">
      <c r="A184">
        <v>10373530</v>
      </c>
      <c r="B184">
        <v>3.3895784590272799</v>
      </c>
      <c r="C184">
        <v>1.80848903465995</v>
      </c>
      <c r="E184" t="str">
        <f>"10373530"</f>
        <v>10373530</v>
      </c>
      <c r="F184" t="str">
        <f t="shared" si="10"/>
        <v>Affy 1.0 ST</v>
      </c>
      <c r="G184" t="str">
        <f>"MGI:104772"</f>
        <v>MGI:104772</v>
      </c>
      <c r="H184" t="str">
        <f>"Cdk2"</f>
        <v>Cdk2</v>
      </c>
      <c r="I184" t="str">
        <f>"cyclin-dependent kinase 2"</f>
        <v>cyclin-dependent kinase 2</v>
      </c>
      <c r="J184" t="str">
        <f t="shared" si="11"/>
        <v>protein coding gene</v>
      </c>
    </row>
    <row r="185" spans="1:10">
      <c r="A185">
        <v>10488785</v>
      </c>
      <c r="B185">
        <v>3.3872388980808399</v>
      </c>
      <c r="C185">
        <v>0.49565947748429001</v>
      </c>
      <c r="E185" t="str">
        <f>"10488785"</f>
        <v>10488785</v>
      </c>
      <c r="F185" t="str">
        <f t="shared" si="10"/>
        <v>Affy 1.0 ST</v>
      </c>
      <c r="G185" t="str">
        <f>"MGI:101941"</f>
        <v>MGI:101941</v>
      </c>
      <c r="H185" t="str">
        <f>"E2f1"</f>
        <v>E2f1</v>
      </c>
      <c r="I185" t="str">
        <f>"E2F transcription factor 1"</f>
        <v>E2F transcription factor 1</v>
      </c>
      <c r="J185" t="str">
        <f t="shared" si="11"/>
        <v>protein coding gene</v>
      </c>
    </row>
    <row r="186" spans="1:10">
      <c r="A186">
        <v>10606071</v>
      </c>
      <c r="B186">
        <v>3.3235811339619801</v>
      </c>
      <c r="C186">
        <v>1.45828180942615</v>
      </c>
      <c r="E186" t="str">
        <f>"10606071"</f>
        <v>10606071</v>
      </c>
      <c r="F186" t="str">
        <f t="shared" si="10"/>
        <v>Affy 1.0 ST</v>
      </c>
      <c r="G186" t="str">
        <f>"MGI:2654144"</f>
        <v>MGI:2654144</v>
      </c>
      <c r="H186" t="str">
        <f>"Ercc6l"</f>
        <v>Ercc6l</v>
      </c>
      <c r="I186" t="str">
        <f>"excision repair cross-complementing rodent repair deficiency complementation group 6 - like"</f>
        <v>excision repair cross-complementing rodent repair deficiency complementation group 6 - like</v>
      </c>
      <c r="J186" t="str">
        <f t="shared" si="11"/>
        <v>protein coding gene</v>
      </c>
    </row>
    <row r="187" spans="1:10">
      <c r="A187">
        <v>10517336</v>
      </c>
      <c r="B187">
        <v>3.3179656814023</v>
      </c>
      <c r="C187">
        <v>1.6784091876763301</v>
      </c>
      <c r="E187" t="str">
        <f>"10517336"</f>
        <v>10517336</v>
      </c>
      <c r="F187" t="str">
        <f t="shared" si="10"/>
        <v>Affy 1.0 ST</v>
      </c>
      <c r="G187" t="str">
        <f>"MGI:1352754"</f>
        <v>MGI:1352754</v>
      </c>
      <c r="H187" t="str">
        <f>"Clic4"</f>
        <v>Clic4</v>
      </c>
      <c r="I187" t="str">
        <f>"chloride intracellular channel 4 (mitochondrial)"</f>
        <v>chloride intracellular channel 4 (mitochondrial)</v>
      </c>
      <c r="J187" t="str">
        <f t="shared" si="11"/>
        <v>protein coding gene</v>
      </c>
    </row>
    <row r="188" spans="1:10">
      <c r="A188">
        <v>10500329</v>
      </c>
      <c r="B188">
        <v>3.2754002128362898</v>
      </c>
      <c r="C188">
        <v>1.66303917544729</v>
      </c>
      <c r="E188" t="str">
        <f>"10500329"</f>
        <v>10500329</v>
      </c>
      <c r="F188" t="str">
        <f t="shared" si="10"/>
        <v>Affy 1.0 ST</v>
      </c>
      <c r="G188" t="str">
        <f>"MGI:96097"</f>
        <v>MGI:96097</v>
      </c>
      <c r="H188" t="str">
        <f>"Hist2h2aa1"</f>
        <v>Hist2h2aa1</v>
      </c>
      <c r="I188" t="s">
        <v>61</v>
      </c>
      <c r="J188" t="s">
        <v>13</v>
      </c>
    </row>
    <row r="189" spans="1:10">
      <c r="A189">
        <v>10500324</v>
      </c>
      <c r="B189">
        <v>3.2417727648347299</v>
      </c>
      <c r="C189">
        <v>1.52204811876987</v>
      </c>
      <c r="E189" t="str">
        <f>"10500324"</f>
        <v>10500324</v>
      </c>
      <c r="F189" t="str">
        <f t="shared" si="10"/>
        <v>Affy 1.0 ST</v>
      </c>
      <c r="G189" t="str">
        <f>"MGI:2448316"</f>
        <v>MGI:2448316</v>
      </c>
      <c r="H189" t="str">
        <f>"Hist2h2ac"</f>
        <v>Hist2h2ac</v>
      </c>
      <c r="I189" t="s">
        <v>62</v>
      </c>
      <c r="J189" t="s">
        <v>13</v>
      </c>
    </row>
    <row r="190" spans="1:10">
      <c r="A190">
        <v>10408477</v>
      </c>
      <c r="B190">
        <v>3.2375430578749298</v>
      </c>
      <c r="C190">
        <v>0.59486438622267901</v>
      </c>
      <c r="E190" t="str">
        <f>"10408477"</f>
        <v>10408477</v>
      </c>
      <c r="F190" t="str">
        <f t="shared" si="10"/>
        <v>Affy 1.0 ST</v>
      </c>
      <c r="G190" t="str">
        <f>"MGI:1096340"</f>
        <v>MGI:1096340</v>
      </c>
      <c r="H190" t="str">
        <f>"E2f3"</f>
        <v>E2f3</v>
      </c>
      <c r="I190" t="str">
        <f>"E2F transcription factor 3"</f>
        <v>E2F transcription factor 3</v>
      </c>
      <c r="J190" t="str">
        <f>"protein coding gene"</f>
        <v>protein coding gene</v>
      </c>
    </row>
    <row r="191" spans="1:10">
      <c r="A191">
        <v>10487930</v>
      </c>
      <c r="B191">
        <v>3.2355646699525198</v>
      </c>
      <c r="C191">
        <v>0.78432560343142999</v>
      </c>
      <c r="E191" t="str">
        <f>"10487930"</f>
        <v>10487930</v>
      </c>
      <c r="F191" t="str">
        <f t="shared" si="10"/>
        <v>Affy 1.0 ST</v>
      </c>
      <c r="G191" t="str">
        <f>"MGI:97503"</f>
        <v>MGI:97503</v>
      </c>
      <c r="H191" t="str">
        <f>"Pcna"</f>
        <v>Pcna</v>
      </c>
      <c r="I191" t="str">
        <f>"proliferating cell nuclear antigen"</f>
        <v>proliferating cell nuclear antigen</v>
      </c>
      <c r="J191" t="str">
        <f>"protein coding gene"</f>
        <v>protein coding gene</v>
      </c>
    </row>
    <row r="192" spans="1:10">
      <c r="A192">
        <v>10462632</v>
      </c>
      <c r="B192">
        <v>3.1869551992937102</v>
      </c>
      <c r="C192">
        <v>1.48641529536372</v>
      </c>
      <c r="E192" t="str">
        <f>"10462632"</f>
        <v>10462632</v>
      </c>
      <c r="F192" t="str">
        <f t="shared" si="10"/>
        <v>Affy 1.0 ST</v>
      </c>
      <c r="G192" t="str">
        <f>"MGI:2444576"</f>
        <v>MGI:2444576</v>
      </c>
      <c r="H192" t="str">
        <f>"Kif20b"</f>
        <v>Kif20b</v>
      </c>
      <c r="I192" t="str">
        <f>"kinesin family member 20B"</f>
        <v>kinesin family member 20B</v>
      </c>
      <c r="J192" t="str">
        <f>"protein coding gene"</f>
        <v>protein coding gene</v>
      </c>
    </row>
    <row r="193" spans="1:10">
      <c r="A193">
        <v>10428763</v>
      </c>
      <c r="B193">
        <v>3.1828450292019599</v>
      </c>
      <c r="C193">
        <v>1.1993189324236699</v>
      </c>
      <c r="E193" t="str">
        <f>"10428763"</f>
        <v>10428763</v>
      </c>
      <c r="F193" t="str">
        <f t="shared" si="10"/>
        <v>Affy 1.0 ST</v>
      </c>
      <c r="G193" t="str">
        <f>"MGI:1917722"</f>
        <v>MGI:1917722</v>
      </c>
      <c r="H193" t="str">
        <f>"Atad2"</f>
        <v>Atad2</v>
      </c>
      <c r="I193" t="s">
        <v>63</v>
      </c>
      <c r="J193" t="s">
        <v>13</v>
      </c>
    </row>
    <row r="194" spans="1:10">
      <c r="A194">
        <v>10594988</v>
      </c>
      <c r="B194">
        <v>3.1712303492950502</v>
      </c>
      <c r="C194">
        <v>1.32575179776163</v>
      </c>
      <c r="E194" t="str">
        <f>"10594988"</f>
        <v>10594988</v>
      </c>
      <c r="F194" t="str">
        <f t="shared" si="10"/>
        <v>Affy 1.0 ST</v>
      </c>
      <c r="G194" t="str">
        <f>"MGI:1354946"</f>
        <v>MGI:1354946</v>
      </c>
      <c r="H194" t="str">
        <f>"Mapk6"</f>
        <v>Mapk6</v>
      </c>
      <c r="I194" t="str">
        <f>"mitogen-activated protein kinase 6"</f>
        <v>mitogen-activated protein kinase 6</v>
      </c>
      <c r="J194" t="str">
        <f>"protein coding gene"</f>
        <v>protein coding gene</v>
      </c>
    </row>
    <row r="195" spans="1:10">
      <c r="A195">
        <v>10527801</v>
      </c>
      <c r="B195">
        <v>3.15887805387238</v>
      </c>
      <c r="C195">
        <v>1.57135124656706</v>
      </c>
      <c r="E195" t="str">
        <f>"10527801"</f>
        <v>10527801</v>
      </c>
      <c r="F195" t="str">
        <f t="shared" si="10"/>
        <v>Affy 1.0 ST</v>
      </c>
      <c r="G195" t="str">
        <f>"MGI:109337"</f>
        <v>MGI:109337</v>
      </c>
      <c r="H195" t="str">
        <f>"Brca2"</f>
        <v>Brca2</v>
      </c>
      <c r="I195" t="str">
        <f>"breast cancer 2"</f>
        <v>breast cancer 2</v>
      </c>
      <c r="J195" t="str">
        <f>"protein coding gene"</f>
        <v>protein coding gene</v>
      </c>
    </row>
    <row r="196" spans="1:10">
      <c r="A196">
        <v>10465861</v>
      </c>
      <c r="B196">
        <v>3.1363195161647202</v>
      </c>
      <c r="C196">
        <v>1.8208481360442299</v>
      </c>
      <c r="E196" t="str">
        <f>"10465861"</f>
        <v>10465861</v>
      </c>
      <c r="F196" t="str">
        <f t="shared" si="10"/>
        <v>Affy 1.0 ST</v>
      </c>
      <c r="G196" t="str">
        <f>"MGI:1313288"</f>
        <v>MGI:1313288</v>
      </c>
      <c r="H196" t="str">
        <f>"Incenp"</f>
        <v>Incenp</v>
      </c>
      <c r="I196" t="str">
        <f>"inner centromere protein"</f>
        <v>inner centromere protein</v>
      </c>
      <c r="J196" t="str">
        <f>"protein coding gene"</f>
        <v>protein coding gene</v>
      </c>
    </row>
    <row r="197" spans="1:10">
      <c r="A197">
        <v>10495945</v>
      </c>
      <c r="B197">
        <v>3.1307365420364199</v>
      </c>
      <c r="C197">
        <v>0.90953305439487897</v>
      </c>
      <c r="E197" t="str">
        <f>"10495945"</f>
        <v>10495945</v>
      </c>
      <c r="F197" t="str">
        <f t="shared" si="10"/>
        <v>Affy 1.0 ST</v>
      </c>
      <c r="G197" t="str">
        <f>"MGI:1918893"</f>
        <v>MGI:1918893</v>
      </c>
      <c r="H197" t="str">
        <f>"4930422G04Rik"</f>
        <v>4930422G04Rik</v>
      </c>
      <c r="I197" t="str">
        <f>"RIKEN cDNA 4930422G04 gene"</f>
        <v>RIKEN cDNA 4930422G04 gene</v>
      </c>
      <c r="J197" t="str">
        <f>"protein coding gene"</f>
        <v>protein coding gene</v>
      </c>
    </row>
    <row r="198" spans="1:10">
      <c r="A198">
        <v>10415791</v>
      </c>
      <c r="B198">
        <v>3.1228615114947802</v>
      </c>
      <c r="C198">
        <v>1.5854206075173201</v>
      </c>
      <c r="E198" t="str">
        <f>"10415791"</f>
        <v>10415791</v>
      </c>
      <c r="F198" t="str">
        <f t="shared" si="10"/>
        <v>Affy 1.0 ST</v>
      </c>
      <c r="G198" t="str">
        <f>"MGI:1914403"</f>
        <v>MGI:1914403</v>
      </c>
      <c r="H198" t="str">
        <f>"Rnaseh2b"</f>
        <v>Rnaseh2b</v>
      </c>
      <c r="I198" t="s">
        <v>64</v>
      </c>
      <c r="J198" t="s">
        <v>13</v>
      </c>
    </row>
    <row r="199" spans="1:10">
      <c r="A199">
        <v>10506822</v>
      </c>
      <c r="B199">
        <v>3.1186686716009202</v>
      </c>
      <c r="C199">
        <v>1.0214966681713999</v>
      </c>
      <c r="E199" t="str">
        <f>"10506822"</f>
        <v>10506822</v>
      </c>
      <c r="F199" t="str">
        <f t="shared" si="10"/>
        <v>Affy 1.0 ST</v>
      </c>
      <c r="G199" t="str">
        <f>"MGI:1328337"</f>
        <v>MGI:1328337</v>
      </c>
      <c r="H199" t="str">
        <f>"Orc1"</f>
        <v>Orc1</v>
      </c>
      <c r="I199" t="s">
        <v>65</v>
      </c>
      <c r="J199" t="s">
        <v>13</v>
      </c>
    </row>
    <row r="200" spans="1:10">
      <c r="A200">
        <v>10515090</v>
      </c>
      <c r="B200">
        <v>3.1163768573305801</v>
      </c>
      <c r="C200">
        <v>1.2481113416198399</v>
      </c>
      <c r="E200" t="str">
        <f>"10515090"</f>
        <v>10515090</v>
      </c>
      <c r="F200" t="str">
        <f t="shared" si="10"/>
        <v>Affy 1.0 ST</v>
      </c>
      <c r="G200" t="str">
        <f>"MGI:105388"</f>
        <v>MGI:105388</v>
      </c>
      <c r="H200" t="str">
        <f>"Cdkn2c"</f>
        <v>Cdkn2c</v>
      </c>
      <c r="I200" t="s">
        <v>66</v>
      </c>
      <c r="J200" t="s">
        <v>13</v>
      </c>
    </row>
    <row r="201" spans="1:10">
      <c r="A201">
        <v>10589420</v>
      </c>
      <c r="B201">
        <v>3.1035723090103899</v>
      </c>
      <c r="C201">
        <v>1.45280449964031</v>
      </c>
      <c r="E201" t="str">
        <f>"10589420"</f>
        <v>10589420</v>
      </c>
      <c r="F201" t="str">
        <f t="shared" si="10"/>
        <v>Affy 1.0 ST</v>
      </c>
      <c r="G201" t="str">
        <f>"MGI:103198"</f>
        <v>MGI:103198</v>
      </c>
      <c r="H201" t="str">
        <f>"Cdc25a"</f>
        <v>Cdc25a</v>
      </c>
      <c r="I201" t="str">
        <f>"cell division cycle 25 homolog A (S. pombe)"</f>
        <v>cell division cycle 25 homolog A (S. pombe)</v>
      </c>
      <c r="J201" t="str">
        <f>"protein coding gene"</f>
        <v>protein coding gene</v>
      </c>
    </row>
    <row r="202" spans="1:10">
      <c r="A202">
        <v>10378848</v>
      </c>
      <c r="B202">
        <v>3.0890503902169999</v>
      </c>
      <c r="C202">
        <v>1.2679681405088301</v>
      </c>
      <c r="E202" t="str">
        <f>"10378848"</f>
        <v>10378848</v>
      </c>
      <c r="F202" t="str">
        <f t="shared" si="10"/>
        <v>Affy 1.0 ST</v>
      </c>
      <c r="G202" t="str">
        <f>"MGI:96250"</f>
        <v>MGI:96250</v>
      </c>
      <c r="H202" t="str">
        <f>"Hsp90aa1"</f>
        <v>Hsp90aa1</v>
      </c>
      <c r="I202" t="s">
        <v>67</v>
      </c>
      <c r="J202" t="s">
        <v>13</v>
      </c>
    </row>
    <row r="203" spans="1:10">
      <c r="A203">
        <v>10435581</v>
      </c>
      <c r="B203">
        <v>3.08168389343634</v>
      </c>
      <c r="C203">
        <v>1.01876230120136</v>
      </c>
      <c r="E203" t="str">
        <f>"10435581"</f>
        <v>10435581</v>
      </c>
      <c r="F203" t="str">
        <f t="shared" si="10"/>
        <v>Affy 1.0 ST</v>
      </c>
      <c r="G203" t="str">
        <f>"MGI:2155399"</f>
        <v>MGI:2155399</v>
      </c>
      <c r="H203" t="str">
        <f>"Polq"</f>
        <v>Polq</v>
      </c>
      <c r="I203" t="s">
        <v>68</v>
      </c>
      <c r="J203" t="s">
        <v>13</v>
      </c>
    </row>
    <row r="204" spans="1:10">
      <c r="A204">
        <v>10515884</v>
      </c>
      <c r="B204">
        <v>3.0390533131951698</v>
      </c>
      <c r="C204">
        <v>0.81812506689884701</v>
      </c>
      <c r="E204" t="str">
        <f>"10515884"</f>
        <v>10515884</v>
      </c>
      <c r="F204" t="str">
        <f t="shared" si="10"/>
        <v>Affy 1.0 ST</v>
      </c>
      <c r="G204" t="str">
        <f>"MGI:106499"</f>
        <v>MGI:106499</v>
      </c>
      <c r="H204" t="str">
        <f>"Ppih"</f>
        <v>Ppih</v>
      </c>
      <c r="I204" t="str">
        <f>"peptidyl prolyl isomerase H"</f>
        <v>peptidyl prolyl isomerase H</v>
      </c>
      <c r="J204" t="str">
        <f>"protein coding gene"</f>
        <v>protein coding gene</v>
      </c>
    </row>
    <row r="205" spans="1:10">
      <c r="A205">
        <v>10340900</v>
      </c>
      <c r="B205">
        <v>3.0337546188484801</v>
      </c>
      <c r="C205">
        <v>0.853278745784811</v>
      </c>
      <c r="E205" t="str">
        <f>"10340900"</f>
        <v>10340900</v>
      </c>
      <c r="F205" t="str">
        <f>""</f>
        <v/>
      </c>
      <c r="G205" t="str">
        <f>"No associated gene"</f>
        <v>No associated gene</v>
      </c>
    </row>
    <row r="206" spans="1:10">
      <c r="A206">
        <v>10451547</v>
      </c>
      <c r="B206">
        <v>3.0275609643977499</v>
      </c>
      <c r="C206">
        <v>1.24418401870044</v>
      </c>
      <c r="E206" t="str">
        <f>"10451547"</f>
        <v>10451547</v>
      </c>
      <c r="F206" t="str">
        <f>""</f>
        <v/>
      </c>
      <c r="G206" t="str">
        <f>"No associated gene"</f>
        <v>No associated gene</v>
      </c>
    </row>
    <row r="207" spans="1:10">
      <c r="A207">
        <v>10494402</v>
      </c>
      <c r="B207">
        <v>3.0067002593377401</v>
      </c>
      <c r="C207">
        <v>0.32647329124229701</v>
      </c>
      <c r="E207" t="str">
        <f>"10494402"</f>
        <v>10494402</v>
      </c>
      <c r="F207" t="str">
        <f t="shared" ref="F207:F224" si="12">"Affy 1.0 ST"</f>
        <v>Affy 1.0 ST</v>
      </c>
      <c r="G207" t="str">
        <f>"MGI:2448355"</f>
        <v>MGI:2448355</v>
      </c>
      <c r="H207" t="str">
        <f>"Hist2h3c1"</f>
        <v>Hist2h3c1</v>
      </c>
      <c r="I207" t="s">
        <v>69</v>
      </c>
      <c r="J207" t="s">
        <v>13</v>
      </c>
    </row>
    <row r="208" spans="1:10">
      <c r="A208">
        <v>10582981</v>
      </c>
      <c r="B208">
        <v>2.9810108723841302</v>
      </c>
      <c r="C208">
        <v>0.89945800177468305</v>
      </c>
      <c r="E208" t="str">
        <f>"10582981"</f>
        <v>10582981</v>
      </c>
      <c r="F208" t="str">
        <f t="shared" si="12"/>
        <v>Affy 1.0 ST</v>
      </c>
      <c r="G208" t="str">
        <f>"MGI:101934"</f>
        <v>MGI:101934</v>
      </c>
      <c r="H208" t="str">
        <f>"Tfdp1"</f>
        <v>Tfdp1</v>
      </c>
      <c r="I208" t="str">
        <f>"transcription factor Dp 1"</f>
        <v>transcription factor Dp 1</v>
      </c>
      <c r="J208" t="str">
        <f>"protein coding gene"</f>
        <v>protein coding gene</v>
      </c>
    </row>
    <row r="209" spans="1:10">
      <c r="A209">
        <v>10465912</v>
      </c>
      <c r="B209">
        <v>2.9799820700137101</v>
      </c>
      <c r="C209">
        <v>1.0471228384454001</v>
      </c>
      <c r="E209" t="str">
        <f>"10465912"</f>
        <v>10465912</v>
      </c>
      <c r="F209" t="str">
        <f t="shared" si="12"/>
        <v>Affy 1.0 ST</v>
      </c>
      <c r="G209" t="str">
        <f>"MGI:102779"</f>
        <v>MGI:102779</v>
      </c>
      <c r="H209" t="str">
        <f>"Fen1"</f>
        <v>Fen1</v>
      </c>
      <c r="I209" t="str">
        <f>"flap structure specific endonuclease 1"</f>
        <v>flap structure specific endonuclease 1</v>
      </c>
      <c r="J209" t="str">
        <f>"protein coding gene"</f>
        <v>protein coding gene</v>
      </c>
    </row>
    <row r="210" spans="1:10">
      <c r="A210">
        <v>10539617</v>
      </c>
      <c r="B210">
        <v>2.95932179096449</v>
      </c>
      <c r="C210">
        <v>0.77664418224268505</v>
      </c>
      <c r="E210" t="str">
        <f>"10539617"</f>
        <v>10539617</v>
      </c>
      <c r="F210" t="str">
        <f t="shared" si="12"/>
        <v>Affy 1.0 ST</v>
      </c>
      <c r="G210" t="str">
        <f>"MGI:1934606"</f>
        <v>MGI:1934606</v>
      </c>
      <c r="H210" t="str">
        <f>"Alms1"</f>
        <v>Alms1</v>
      </c>
      <c r="I210" t="str">
        <f>"Alstrom syndrome 1 homolog (human)"</f>
        <v>Alstrom syndrome 1 homolog (human)</v>
      </c>
      <c r="J210" t="str">
        <f>"protein coding gene"</f>
        <v>protein coding gene</v>
      </c>
    </row>
    <row r="211" spans="1:10">
      <c r="A211">
        <v>10510574</v>
      </c>
      <c r="B211">
        <v>2.9223166698882101</v>
      </c>
      <c r="C211">
        <v>1.4068673032734</v>
      </c>
      <c r="E211" t="str">
        <f>"10510574"</f>
        <v>10510574</v>
      </c>
      <c r="F211" t="str">
        <f t="shared" si="12"/>
        <v>Affy 1.0 ST</v>
      </c>
      <c r="G211" t="str">
        <f>"MGI:1921405"</f>
        <v>MGI:1921405</v>
      </c>
      <c r="H211" t="str">
        <f>"Errfi1"</f>
        <v>Errfi1</v>
      </c>
      <c r="I211" t="str">
        <f>"ERBB receptor feedback inhibitor 1"</f>
        <v>ERBB receptor feedback inhibitor 1</v>
      </c>
      <c r="J211" t="str">
        <f>"protein coding gene"</f>
        <v>protein coding gene</v>
      </c>
    </row>
    <row r="212" spans="1:10">
      <c r="A212">
        <v>10513141</v>
      </c>
      <c r="B212">
        <v>2.9216022890329501</v>
      </c>
      <c r="C212">
        <v>1.2850342487869499</v>
      </c>
      <c r="E212" t="str">
        <f>"10513141"</f>
        <v>10513141</v>
      </c>
      <c r="F212" t="str">
        <f t="shared" si="12"/>
        <v>Affy 1.0 ST</v>
      </c>
      <c r="G212" t="str">
        <f>"MGI:105307"</f>
        <v>MGI:105307</v>
      </c>
      <c r="H212" t="str">
        <f>"Ptpn3"</f>
        <v>Ptpn3</v>
      </c>
      <c r="I212" t="s">
        <v>70</v>
      </c>
      <c r="J212" t="s">
        <v>13</v>
      </c>
    </row>
    <row r="213" spans="1:10">
      <c r="A213">
        <v>10390050</v>
      </c>
      <c r="B213">
        <v>2.9108574053631902</v>
      </c>
      <c r="C213">
        <v>1.49110524892896</v>
      </c>
      <c r="E213" t="str">
        <f>"10390050"</f>
        <v>10390050</v>
      </c>
      <c r="F213" t="str">
        <f t="shared" si="12"/>
        <v>Affy 1.0 ST</v>
      </c>
      <c r="G213" t="str">
        <f>"MGI:3576783"</f>
        <v>MGI:3576783</v>
      </c>
      <c r="H213" t="str">
        <f>"Eme1"</f>
        <v>Eme1</v>
      </c>
      <c r="I213" t="str">
        <f>"essential meiotic endonuclease 1 homolog 1 (S. pombe)"</f>
        <v>essential meiotic endonuclease 1 homolog 1 (S. pombe)</v>
      </c>
      <c r="J213" t="str">
        <f>"protein coding gene"</f>
        <v>protein coding gene</v>
      </c>
    </row>
    <row r="214" spans="1:10">
      <c r="A214">
        <v>10353733</v>
      </c>
      <c r="B214">
        <v>2.8710415387784098</v>
      </c>
      <c r="C214">
        <v>0.91281494332165602</v>
      </c>
      <c r="E214" t="str">
        <f>"10353733"</f>
        <v>10353733</v>
      </c>
      <c r="F214" t="str">
        <f t="shared" si="12"/>
        <v>Affy 1.0 ST</v>
      </c>
      <c r="G214" t="str">
        <f>"MGI:97758"</f>
        <v>MGI:97758</v>
      </c>
      <c r="H214" t="str">
        <f>"Prim2"</f>
        <v>Prim2</v>
      </c>
      <c r="I214" t="s">
        <v>71</v>
      </c>
      <c r="J214" t="s">
        <v>13</v>
      </c>
    </row>
    <row r="215" spans="1:10">
      <c r="A215">
        <v>10475362</v>
      </c>
      <c r="B215">
        <v>2.8676077104582798</v>
      </c>
      <c r="C215">
        <v>1.1754082592403601</v>
      </c>
      <c r="E215" t="str">
        <f>"10475362"</f>
        <v>10475362</v>
      </c>
      <c r="F215" t="str">
        <f t="shared" si="12"/>
        <v>Affy 1.0 ST</v>
      </c>
      <c r="G215" t="str">
        <f>"MGI:1926186"</f>
        <v>MGI:1926186</v>
      </c>
      <c r="H215" t="str">
        <f>"Wdr76"</f>
        <v>Wdr76</v>
      </c>
      <c r="I215" t="str">
        <f>"WD repeat domain 76"</f>
        <v>WD repeat domain 76</v>
      </c>
      <c r="J215" t="str">
        <f t="shared" ref="J215:J224" si="13">"protein coding gene"</f>
        <v>protein coding gene</v>
      </c>
    </row>
    <row r="216" spans="1:10">
      <c r="A216">
        <v>10353010</v>
      </c>
      <c r="B216">
        <v>2.8457038543804298</v>
      </c>
      <c r="C216">
        <v>0.76894036704618696</v>
      </c>
      <c r="E216" t="str">
        <f>"10353010"</f>
        <v>10353010</v>
      </c>
      <c r="F216" t="str">
        <f t="shared" si="12"/>
        <v>Affy 1.0 ST</v>
      </c>
      <c r="G216" t="str">
        <f>"MGI:99925"</f>
        <v>MGI:99925</v>
      </c>
      <c r="H216" t="str">
        <f>"Mybl1"</f>
        <v>Mybl1</v>
      </c>
      <c r="I216" t="str">
        <f>"myeloblastosis oncogene-like 1"</f>
        <v>myeloblastosis oncogene-like 1</v>
      </c>
      <c r="J216" t="str">
        <f t="shared" si="13"/>
        <v>protein coding gene</v>
      </c>
    </row>
    <row r="217" spans="1:10">
      <c r="A217">
        <v>10410092</v>
      </c>
      <c r="B217">
        <v>2.8350798773694001</v>
      </c>
      <c r="C217">
        <v>0.546678418056046</v>
      </c>
      <c r="E217" t="str">
        <f>"10410092"</f>
        <v>10410092</v>
      </c>
      <c r="F217" t="str">
        <f t="shared" si="12"/>
        <v>Affy 1.0 ST</v>
      </c>
      <c r="G217" t="str">
        <f>"MGI:2442266"</f>
        <v>MGI:2442266</v>
      </c>
      <c r="H217" t="str">
        <f>"Zfp367"</f>
        <v>Zfp367</v>
      </c>
      <c r="I217" t="str">
        <f>"zinc finger protein 367"</f>
        <v>zinc finger protein 367</v>
      </c>
      <c r="J217" t="str">
        <f t="shared" si="13"/>
        <v>protein coding gene</v>
      </c>
    </row>
    <row r="218" spans="1:10">
      <c r="A218">
        <v>10472782</v>
      </c>
      <c r="B218">
        <v>2.83252480315769</v>
      </c>
      <c r="C218">
        <v>0.91675227316894004</v>
      </c>
      <c r="E218" t="str">
        <f>"10472782"</f>
        <v>10472782</v>
      </c>
      <c r="F218" t="str">
        <f t="shared" si="12"/>
        <v>Affy 1.0 ST</v>
      </c>
      <c r="G218" t="str">
        <f>"MGI:96013"</f>
        <v>MGI:96013</v>
      </c>
      <c r="H218" t="str">
        <f>"Hat1"</f>
        <v>Hat1</v>
      </c>
      <c r="I218" t="str">
        <f>"histone aminotransferase 1"</f>
        <v>histone aminotransferase 1</v>
      </c>
      <c r="J218" t="str">
        <f t="shared" si="13"/>
        <v>protein coding gene</v>
      </c>
    </row>
    <row r="219" spans="1:10">
      <c r="A219">
        <v>10396068</v>
      </c>
      <c r="B219">
        <v>2.8255267050170798</v>
      </c>
      <c r="C219">
        <v>1.3070176520674099</v>
      </c>
      <c r="E219" t="str">
        <f>"10396068"</f>
        <v>10396068</v>
      </c>
      <c r="F219" t="str">
        <f t="shared" si="12"/>
        <v>Affy 1.0 ST</v>
      </c>
      <c r="G219" t="str">
        <f>"MGI:1916956"</f>
        <v>MGI:1916956</v>
      </c>
      <c r="H219" t="str">
        <f>"Ppil5"</f>
        <v>Ppil5</v>
      </c>
      <c r="I219" t="str">
        <f>"peptidylprolyl isomerase (cyclophilin) like 5"</f>
        <v>peptidylprolyl isomerase (cyclophilin) like 5</v>
      </c>
      <c r="J219" t="str">
        <f t="shared" si="13"/>
        <v>protein coding gene</v>
      </c>
    </row>
    <row r="220" spans="1:10">
      <c r="A220">
        <v>10379646</v>
      </c>
      <c r="B220">
        <v>2.8216465703965201</v>
      </c>
      <c r="C220">
        <v>0.925967003979276</v>
      </c>
      <c r="E220" t="str">
        <f>"10379646"</f>
        <v>10379646</v>
      </c>
      <c r="F220" t="str">
        <f t="shared" si="12"/>
        <v>Affy 1.0 ST</v>
      </c>
      <c r="G220" t="str">
        <f>"MGI:1329005"</f>
        <v>MGI:1329005</v>
      </c>
      <c r="H220" t="str">
        <f>"Slfn3"</f>
        <v>Slfn3</v>
      </c>
      <c r="I220" t="str">
        <f>"schlafen 3"</f>
        <v>schlafen 3</v>
      </c>
      <c r="J220" t="str">
        <f t="shared" si="13"/>
        <v>protein coding gene</v>
      </c>
    </row>
    <row r="221" spans="1:10">
      <c r="A221">
        <v>10591773</v>
      </c>
      <c r="B221">
        <v>2.8071178721634098</v>
      </c>
      <c r="C221">
        <v>0.81037420134785798</v>
      </c>
      <c r="E221" t="str">
        <f>"10591773"</f>
        <v>10591773</v>
      </c>
      <c r="F221" t="str">
        <f t="shared" si="12"/>
        <v>Affy 1.0 ST</v>
      </c>
      <c r="G221" t="str">
        <f>"MGI:96136"</f>
        <v>MGI:96136</v>
      </c>
      <c r="H221" t="str">
        <f>"Hmgn2"</f>
        <v>Hmgn2</v>
      </c>
      <c r="I221" t="str">
        <f>"high mobility group nucleosomal binding domain 2"</f>
        <v>high mobility group nucleosomal binding domain 2</v>
      </c>
      <c r="J221" t="str">
        <f t="shared" si="13"/>
        <v>protein coding gene</v>
      </c>
    </row>
    <row r="222" spans="1:10">
      <c r="A222">
        <v>10366277</v>
      </c>
      <c r="B222">
        <v>2.7989665671083301</v>
      </c>
      <c r="C222">
        <v>1.1160174214293901</v>
      </c>
      <c r="E222" t="str">
        <f>"10366277"</f>
        <v>10366277</v>
      </c>
      <c r="F222" t="str">
        <f t="shared" si="12"/>
        <v>Affy 1.0 ST</v>
      </c>
      <c r="G222" t="str">
        <f>"MGI:1289147"</f>
        <v>MGI:1289147</v>
      </c>
      <c r="H222" t="str">
        <f>"E2f7"</f>
        <v>E2f7</v>
      </c>
      <c r="I222" t="str">
        <f>"E2F transcription factor 7"</f>
        <v>E2F transcription factor 7</v>
      </c>
      <c r="J222" t="str">
        <f t="shared" si="13"/>
        <v>protein coding gene</v>
      </c>
    </row>
    <row r="223" spans="1:10">
      <c r="A223">
        <v>10409031</v>
      </c>
      <c r="B223">
        <v>2.7943854426113899</v>
      </c>
      <c r="C223">
        <v>0.79304904162711498</v>
      </c>
      <c r="E223" t="str">
        <f>"10409031"</f>
        <v>10409031</v>
      </c>
      <c r="F223" t="str">
        <f t="shared" si="12"/>
        <v>Affy 1.0 ST</v>
      </c>
      <c r="G223" t="str">
        <f>"MGI:1926209"</f>
        <v>MGI:1926209</v>
      </c>
      <c r="H223" t="str">
        <f>"Dek"</f>
        <v>Dek</v>
      </c>
      <c r="I223" t="str">
        <f>"DEK oncogene (DNA binding)"</f>
        <v>DEK oncogene (DNA binding)</v>
      </c>
      <c r="J223" t="str">
        <f t="shared" si="13"/>
        <v>protein coding gene</v>
      </c>
    </row>
    <row r="224" spans="1:10">
      <c r="A224">
        <v>10453867</v>
      </c>
      <c r="B224">
        <v>2.78789952244649</v>
      </c>
      <c r="C224">
        <v>0.88353651527202504</v>
      </c>
      <c r="E224" t="str">
        <f>"10453867"</f>
        <v>10453867</v>
      </c>
      <c r="F224" t="str">
        <f t="shared" si="12"/>
        <v>Affy 1.0 ST</v>
      </c>
      <c r="G224" t="str">
        <f>"MGI:2442995"</f>
        <v>MGI:2442995</v>
      </c>
      <c r="H224" t="str">
        <f>"Rbbp8"</f>
        <v>Rbbp8</v>
      </c>
      <c r="I224" t="str">
        <f>"retinoblastoma binding protein 8"</f>
        <v>retinoblastoma binding protein 8</v>
      </c>
      <c r="J224" t="str">
        <f t="shared" si="13"/>
        <v>protein coding gene</v>
      </c>
    </row>
    <row r="225" spans="1:10">
      <c r="A225">
        <v>10521757</v>
      </c>
      <c r="B225">
        <v>2.7545249932479301</v>
      </c>
      <c r="C225">
        <v>0.25664570846769102</v>
      </c>
      <c r="E225" t="str">
        <f>"10521757"</f>
        <v>10521757</v>
      </c>
      <c r="F225" t="str">
        <f>""</f>
        <v/>
      </c>
      <c r="G225" t="str">
        <f>"No associated gene"</f>
        <v>No associated gene</v>
      </c>
    </row>
    <row r="226" spans="1:10">
      <c r="A226">
        <v>10564978</v>
      </c>
      <c r="B226">
        <v>2.7503811902553998</v>
      </c>
      <c r="C226">
        <v>0.44987185194326001</v>
      </c>
      <c r="E226" t="str">
        <f>"10564978"</f>
        <v>10564978</v>
      </c>
      <c r="F226" t="str">
        <f>"Affy 1.0 ST"</f>
        <v>Affy 1.0 ST</v>
      </c>
      <c r="G226" t="str">
        <f>"MGI:1328362"</f>
        <v>MGI:1328362</v>
      </c>
      <c r="H226" t="str">
        <f>"Blm"</f>
        <v>Blm</v>
      </c>
      <c r="I226" t="s">
        <v>72</v>
      </c>
      <c r="J226" t="s">
        <v>13</v>
      </c>
    </row>
    <row r="227" spans="1:10">
      <c r="A227">
        <v>10513195</v>
      </c>
      <c r="B227">
        <v>2.73900067315041</v>
      </c>
      <c r="C227">
        <v>0.592642038967089</v>
      </c>
      <c r="E227" t="str">
        <f>"10513195"</f>
        <v>10513195</v>
      </c>
      <c r="F227" t="str">
        <f>"Affy 1.0 ST"</f>
        <v>Affy 1.0 ST</v>
      </c>
      <c r="G227" t="str">
        <f>"MGI:98874"</f>
        <v>MGI:98874</v>
      </c>
      <c r="H227" t="str">
        <f>"Txn1"</f>
        <v>Txn1</v>
      </c>
      <c r="I227" t="str">
        <f>"thioredoxin 1"</f>
        <v>thioredoxin 1</v>
      </c>
      <c r="J227" t="str">
        <f>"protein coding gene"</f>
        <v>protein coding gene</v>
      </c>
    </row>
    <row r="228" spans="1:10">
      <c r="A228">
        <v>10407511</v>
      </c>
      <c r="B228">
        <v>2.7262714216602499</v>
      </c>
      <c r="C228">
        <v>0.63859847459532304</v>
      </c>
      <c r="E228" t="str">
        <f>"10407511"</f>
        <v>10407511</v>
      </c>
      <c r="F228" t="str">
        <f>""</f>
        <v/>
      </c>
      <c r="G228" t="str">
        <f>"No associated gene"</f>
        <v>No associated gene</v>
      </c>
    </row>
    <row r="229" spans="1:10">
      <c r="A229">
        <v>10424188</v>
      </c>
      <c r="B229">
        <v>2.6927533323141</v>
      </c>
      <c r="C229">
        <v>0.94712974131004501</v>
      </c>
      <c r="E229" t="str">
        <f>"10424188"</f>
        <v>10424188</v>
      </c>
      <c r="F229" t="str">
        <f t="shared" ref="F229:F248" si="14">"Affy 1.0 ST"</f>
        <v>Affy 1.0 ST</v>
      </c>
      <c r="G229" t="str">
        <f>"MGI:2146005"</f>
        <v>MGI:2146005</v>
      </c>
      <c r="H229" t="str">
        <f>"Mtbp"</f>
        <v>Mtbp</v>
      </c>
      <c r="I229" t="s">
        <v>73</v>
      </c>
      <c r="J229" t="s">
        <v>13</v>
      </c>
    </row>
    <row r="230" spans="1:10">
      <c r="A230">
        <v>10409190</v>
      </c>
      <c r="B230">
        <v>2.6275615169386701</v>
      </c>
      <c r="C230">
        <v>1.2349152854243399</v>
      </c>
      <c r="E230" t="str">
        <f>"10409190"</f>
        <v>10409190</v>
      </c>
      <c r="F230" t="str">
        <f t="shared" si="14"/>
        <v>Affy 1.0 ST</v>
      </c>
      <c r="G230" t="str">
        <f>"MGI:1913586"</f>
        <v>MGI:1913586</v>
      </c>
      <c r="H230" t="str">
        <f>"Cenpp"</f>
        <v>Cenpp</v>
      </c>
      <c r="I230" t="str">
        <f>"centromere protein P"</f>
        <v>centromere protein P</v>
      </c>
      <c r="J230" t="str">
        <f>"protein coding gene"</f>
        <v>protein coding gene</v>
      </c>
    </row>
    <row r="231" spans="1:10">
      <c r="A231">
        <v>10393844</v>
      </c>
      <c r="B231">
        <v>2.6128523095747198</v>
      </c>
      <c r="C231">
        <v>0.71151253639883305</v>
      </c>
      <c r="E231" t="str">
        <f>"10393844"</f>
        <v>10393844</v>
      </c>
      <c r="F231" t="str">
        <f t="shared" si="14"/>
        <v>Affy 1.0 ST</v>
      </c>
      <c r="G231" t="str">
        <f>"MGI:1341044"</f>
        <v>MGI:1341044</v>
      </c>
      <c r="H231" t="str">
        <f>"Thoc4"</f>
        <v>Thoc4</v>
      </c>
      <c r="I231" t="str">
        <f>"THO complex 4"</f>
        <v>THO complex 4</v>
      </c>
      <c r="J231" t="str">
        <f>"protein coding gene"</f>
        <v>protein coding gene</v>
      </c>
    </row>
    <row r="232" spans="1:10">
      <c r="A232">
        <v>10352709</v>
      </c>
      <c r="B232">
        <v>2.5745519683043301</v>
      </c>
      <c r="C232">
        <v>0.89042891899583398</v>
      </c>
      <c r="E232" t="str">
        <f>"10352709"</f>
        <v>10352709</v>
      </c>
      <c r="F232" t="str">
        <f t="shared" si="14"/>
        <v>Affy 1.0 ST</v>
      </c>
      <c r="G232" t="str">
        <f>"MGI:2685830"</f>
        <v>MGI:2685830</v>
      </c>
      <c r="H232" t="str">
        <f>"Nsl1"</f>
        <v>Nsl1</v>
      </c>
      <c r="I232" t="s">
        <v>74</v>
      </c>
      <c r="J232" t="s">
        <v>13</v>
      </c>
    </row>
    <row r="233" spans="1:10">
      <c r="A233">
        <v>10564565</v>
      </c>
      <c r="B233">
        <v>2.5664306974057798</v>
      </c>
      <c r="C233">
        <v>0.54911867341803899</v>
      </c>
      <c r="E233" t="str">
        <f>"10564565"</f>
        <v>10564565</v>
      </c>
      <c r="F233" t="str">
        <f t="shared" si="14"/>
        <v>Affy 1.0 ST</v>
      </c>
      <c r="G233" t="str">
        <f>"MGI:3649138"</f>
        <v>MGI:3649138</v>
      </c>
      <c r="H233" t="str">
        <f>"Gm7693"</f>
        <v>Gm7693</v>
      </c>
      <c r="I233" t="str">
        <f>"predicted gene 7693"</f>
        <v>predicted gene 7693</v>
      </c>
      <c r="J233" t="str">
        <f>"pseudogene"</f>
        <v>pseudogene</v>
      </c>
    </row>
    <row r="234" spans="1:10">
      <c r="A234">
        <v>10368199</v>
      </c>
      <c r="B234">
        <v>2.5324016691050502</v>
      </c>
      <c r="C234">
        <v>0.47061915764248902</v>
      </c>
      <c r="E234" t="str">
        <f>"10368199"</f>
        <v>10368199</v>
      </c>
      <c r="F234" t="str">
        <f t="shared" si="14"/>
        <v>Affy 1.0 ST</v>
      </c>
      <c r="G234" t="str">
        <f>"MGI:97249"</f>
        <v>MGI:97249</v>
      </c>
      <c r="H234" t="str">
        <f>"Myb"</f>
        <v>Myb</v>
      </c>
      <c r="I234" t="str">
        <f>"myeloblastosis oncogene"</f>
        <v>myeloblastosis oncogene</v>
      </c>
      <c r="J234" t="str">
        <f t="shared" ref="J234:J240" si="15">"protein coding gene"</f>
        <v>protein coding gene</v>
      </c>
    </row>
    <row r="235" spans="1:10">
      <c r="A235">
        <v>10473414</v>
      </c>
      <c r="B235">
        <v>2.5283928726618199</v>
      </c>
      <c r="C235">
        <v>0.279415850665645</v>
      </c>
      <c r="E235" t="str">
        <f>"10473414"</f>
        <v>10473414</v>
      </c>
      <c r="F235" t="str">
        <f t="shared" si="14"/>
        <v>Affy 1.0 ST</v>
      </c>
      <c r="G235" t="str">
        <f>"MGI:107912"</f>
        <v>MGI:107912</v>
      </c>
      <c r="H235" t="str">
        <f>"Ssrp1"</f>
        <v>Ssrp1</v>
      </c>
      <c r="I235" t="str">
        <f>"structure specific recognition protein 1"</f>
        <v>structure specific recognition protein 1</v>
      </c>
      <c r="J235" t="str">
        <f t="shared" si="15"/>
        <v>protein coding gene</v>
      </c>
    </row>
    <row r="236" spans="1:10">
      <c r="A236">
        <v>10585586</v>
      </c>
      <c r="B236">
        <v>2.5106048948749198</v>
      </c>
      <c r="C236">
        <v>0.70294234148714696</v>
      </c>
      <c r="E236" t="str">
        <f>"10585586"</f>
        <v>10585586</v>
      </c>
      <c r="F236" t="str">
        <f t="shared" si="14"/>
        <v>Affy 1.0 ST</v>
      </c>
      <c r="G236" t="str">
        <f>"MGI:1925141"</f>
        <v>MGI:1925141</v>
      </c>
      <c r="H236" t="str">
        <f>"Ube2s"</f>
        <v>Ube2s</v>
      </c>
      <c r="I236" t="str">
        <f>"ubiquitin-conjugating enzyme E2S"</f>
        <v>ubiquitin-conjugating enzyme E2S</v>
      </c>
      <c r="J236" t="str">
        <f t="shared" si="15"/>
        <v>protein coding gene</v>
      </c>
    </row>
    <row r="237" spans="1:10">
      <c r="A237">
        <v>10389627</v>
      </c>
      <c r="B237">
        <v>2.4999339463880799</v>
      </c>
      <c r="C237">
        <v>0.89295530593963202</v>
      </c>
      <c r="E237" t="str">
        <f>"10389627"</f>
        <v>10389627</v>
      </c>
      <c r="F237" t="str">
        <f t="shared" si="14"/>
        <v>Affy 1.0 ST</v>
      </c>
      <c r="G237" t="str">
        <f>"MGI:2150020"</f>
        <v>MGI:2150020</v>
      </c>
      <c r="H237" t="str">
        <f>"Rad51c"</f>
        <v>Rad51c</v>
      </c>
      <c r="I237" t="str">
        <f>"RAD51 homolog c (S. cerevisiae)"</f>
        <v>RAD51 homolog c (S. cerevisiae)</v>
      </c>
      <c r="J237" t="str">
        <f t="shared" si="15"/>
        <v>protein coding gene</v>
      </c>
    </row>
    <row r="238" spans="1:10">
      <c r="A238">
        <v>10513181</v>
      </c>
      <c r="B238">
        <v>2.4993988869937001</v>
      </c>
      <c r="C238">
        <v>0.60357545555845304</v>
      </c>
      <c r="E238" t="str">
        <f>"10513181"</f>
        <v>10513181</v>
      </c>
      <c r="F238" t="str">
        <f t="shared" si="14"/>
        <v>Affy 1.0 ST</v>
      </c>
      <c r="G238" t="str">
        <f>"MGI:95640"</f>
        <v>MGI:95640</v>
      </c>
      <c r="H238" t="str">
        <f>"Gapdh"</f>
        <v>Gapdh</v>
      </c>
      <c r="I238" t="str">
        <f>"glyceraldehyde-3-phosphate dehydrogenase"</f>
        <v>glyceraldehyde-3-phosphate dehydrogenase</v>
      </c>
      <c r="J238" t="str">
        <f t="shared" si="15"/>
        <v>protein coding gene</v>
      </c>
    </row>
    <row r="239" spans="1:10">
      <c r="A239">
        <v>10374400</v>
      </c>
      <c r="B239">
        <v>2.4814629798360901</v>
      </c>
      <c r="C239">
        <v>0.730455034116262</v>
      </c>
      <c r="E239" t="str">
        <f>"10374400"</f>
        <v>10374400</v>
      </c>
      <c r="F239" t="str">
        <f t="shared" si="14"/>
        <v>Affy 1.0 ST</v>
      </c>
      <c r="G239" t="str">
        <f>"MGI:2442569"</f>
        <v>MGI:2442569</v>
      </c>
      <c r="H239" t="str">
        <f>"Fbxo48"</f>
        <v>Fbxo48</v>
      </c>
      <c r="I239" t="str">
        <f>"F-box protein 48"</f>
        <v>F-box protein 48</v>
      </c>
      <c r="J239" t="str">
        <f t="shared" si="15"/>
        <v>protein coding gene</v>
      </c>
    </row>
    <row r="240" spans="1:10">
      <c r="A240">
        <v>10476362</v>
      </c>
      <c r="B240">
        <v>2.4338223075052601</v>
      </c>
      <c r="C240">
        <v>0.83121443942265005</v>
      </c>
      <c r="E240" t="str">
        <f>"10476362"</f>
        <v>10476362</v>
      </c>
      <c r="F240" t="str">
        <f t="shared" si="14"/>
        <v>Affy 1.0 ST</v>
      </c>
      <c r="G240" t="str">
        <f>"MGI:1913884"</f>
        <v>MGI:1913884</v>
      </c>
      <c r="H240" t="str">
        <f>"Mcm8"</f>
        <v>Mcm8</v>
      </c>
      <c r="I240" t="str">
        <f>"minichromosome maintenance deficient 8 (S. cerevisiae)"</f>
        <v>minichromosome maintenance deficient 8 (S. cerevisiae)</v>
      </c>
      <c r="J240" t="str">
        <f t="shared" si="15"/>
        <v>protein coding gene</v>
      </c>
    </row>
    <row r="241" spans="1:10">
      <c r="A241">
        <v>10394770</v>
      </c>
      <c r="B241">
        <v>2.4151605434372798</v>
      </c>
      <c r="C241">
        <v>0.63987071494111603</v>
      </c>
      <c r="E241" t="str">
        <f>"10394770"</f>
        <v>10394770</v>
      </c>
      <c r="F241" t="str">
        <f t="shared" si="14"/>
        <v>Affy 1.0 ST</v>
      </c>
      <c r="G241" t="str">
        <f>"MGI:97402"</f>
        <v>MGI:97402</v>
      </c>
      <c r="H241" t="str">
        <f>"Odc1"</f>
        <v>Odc1</v>
      </c>
      <c r="I241" t="s">
        <v>75</v>
      </c>
      <c r="J241" t="s">
        <v>13</v>
      </c>
    </row>
    <row r="242" spans="1:10">
      <c r="A242">
        <v>10394735</v>
      </c>
      <c r="B242">
        <v>2.4030461836386898</v>
      </c>
      <c r="C242">
        <v>0.19508781157382299</v>
      </c>
      <c r="E242" t="str">
        <f>"10394735"</f>
        <v>10394735</v>
      </c>
      <c r="F242" t="str">
        <f t="shared" si="14"/>
        <v>Affy 1.0 ST</v>
      </c>
      <c r="G242" t="str">
        <f>"MGI:1919103"</f>
        <v>MGI:1919103</v>
      </c>
      <c r="H242" t="str">
        <f>"Pdia6"</f>
        <v>Pdia6</v>
      </c>
      <c r="I242" t="str">
        <f>"protein disulfide isomerase associated 6"</f>
        <v>protein disulfide isomerase associated 6</v>
      </c>
      <c r="J242" t="str">
        <f>"protein coding gene"</f>
        <v>protein coding gene</v>
      </c>
    </row>
    <row r="243" spans="1:10">
      <c r="A243">
        <v>10513145</v>
      </c>
      <c r="B243">
        <v>2.3810850415438201</v>
      </c>
      <c r="C243">
        <v>0.79891400921530897</v>
      </c>
      <c r="E243" t="str">
        <f>"10513145"</f>
        <v>10513145</v>
      </c>
      <c r="F243" t="str">
        <f t="shared" si="14"/>
        <v>Affy 1.0 ST</v>
      </c>
      <c r="G243" t="str">
        <f>"MGI:105307"</f>
        <v>MGI:105307</v>
      </c>
      <c r="H243" t="str">
        <f>"Ptpn3"</f>
        <v>Ptpn3</v>
      </c>
      <c r="I243" t="s">
        <v>70</v>
      </c>
      <c r="J243" t="s">
        <v>13</v>
      </c>
    </row>
    <row r="244" spans="1:10">
      <c r="A244">
        <v>10349100</v>
      </c>
      <c r="B244">
        <v>2.37467769123647</v>
      </c>
      <c r="C244">
        <v>0.237520532310078</v>
      </c>
      <c r="E244" t="str">
        <f>"10349100"</f>
        <v>10349100</v>
      </c>
      <c r="F244" t="str">
        <f t="shared" si="14"/>
        <v>Affy 1.0 ST</v>
      </c>
      <c r="G244" t="str">
        <f>"MGI:3647491"</f>
        <v>MGI:3647491</v>
      </c>
      <c r="H244" t="str">
        <f>"Gm6651"</f>
        <v>Gm6651</v>
      </c>
      <c r="I244" t="str">
        <f>"predicted gene 6651"</f>
        <v>predicted gene 6651</v>
      </c>
      <c r="J244" t="str">
        <f>"pseudogene"</f>
        <v>pseudogene</v>
      </c>
    </row>
    <row r="245" spans="1:10">
      <c r="A245">
        <v>10408212</v>
      </c>
      <c r="B245">
        <v>2.34106435660249</v>
      </c>
      <c r="C245">
        <v>0.73958626889045098</v>
      </c>
      <c r="E245" t="str">
        <f>"10408212"</f>
        <v>10408212</v>
      </c>
      <c r="F245" t="str">
        <f t="shared" si="14"/>
        <v>Affy 1.0 ST</v>
      </c>
      <c r="G245" t="str">
        <f>"MGI:1931527"</f>
        <v>MGI:1931527</v>
      </c>
      <c r="H245" t="str">
        <f>"Hist1h1e"</f>
        <v>Hist1h1e</v>
      </c>
      <c r="I245" t="s">
        <v>76</v>
      </c>
      <c r="J245" t="s">
        <v>13</v>
      </c>
    </row>
    <row r="246" spans="1:10">
      <c r="A246">
        <v>10359648</v>
      </c>
      <c r="B246">
        <v>2.3349743424770999</v>
      </c>
      <c r="C246">
        <v>0.66839742316057604</v>
      </c>
      <c r="E246" t="str">
        <f>"10359648"</f>
        <v>10359648</v>
      </c>
      <c r="F246" t="str">
        <f t="shared" si="14"/>
        <v>Affy 1.0 ST</v>
      </c>
      <c r="G246" t="str">
        <f>"MGI:3590554"</f>
        <v>MGI:3590554</v>
      </c>
      <c r="H246" t="str">
        <f>"BC055324"</f>
        <v>BC055324</v>
      </c>
      <c r="I246" t="str">
        <f>"cDNA sequence BC055324"</f>
        <v>cDNA sequence BC055324</v>
      </c>
      <c r="J246" t="str">
        <f>"protein coding gene"</f>
        <v>protein coding gene</v>
      </c>
    </row>
    <row r="247" spans="1:10">
      <c r="A247">
        <v>10371482</v>
      </c>
      <c r="B247">
        <v>2.3323870724713398</v>
      </c>
      <c r="C247">
        <v>0.53470605513997405</v>
      </c>
      <c r="E247" t="str">
        <f>"10371482"</f>
        <v>10371482</v>
      </c>
      <c r="F247" t="str">
        <f t="shared" si="14"/>
        <v>Affy 1.0 ST</v>
      </c>
      <c r="G247" t="str">
        <f>"MGI:98817"</f>
        <v>MGI:98817</v>
      </c>
      <c r="H247" t="str">
        <f>"Hsp90b1"</f>
        <v>Hsp90b1</v>
      </c>
      <c r="I247" t="s">
        <v>77</v>
      </c>
      <c r="J247" t="s">
        <v>13</v>
      </c>
    </row>
    <row r="248" spans="1:10">
      <c r="A248">
        <v>10570373</v>
      </c>
      <c r="B248">
        <v>2.3257395554245499</v>
      </c>
      <c r="C248">
        <v>0.72245124839500596</v>
      </c>
      <c r="E248" t="str">
        <f>"10570373"</f>
        <v>10570373</v>
      </c>
      <c r="F248" t="str">
        <f t="shared" si="14"/>
        <v>Affy 1.0 ST</v>
      </c>
      <c r="G248" t="str">
        <f>"MGI:101934"</f>
        <v>MGI:101934</v>
      </c>
      <c r="H248" t="str">
        <f>"Tfdp1"</f>
        <v>Tfdp1</v>
      </c>
      <c r="I248" t="str">
        <f>"transcription factor Dp 1"</f>
        <v>transcription factor Dp 1</v>
      </c>
      <c r="J248" t="str">
        <f>"protein coding gene"</f>
        <v>protein coding gene</v>
      </c>
    </row>
    <row r="249" spans="1:10">
      <c r="A249">
        <v>10341921</v>
      </c>
      <c r="B249">
        <v>2.300181636724</v>
      </c>
      <c r="C249">
        <v>0.62343667841425099</v>
      </c>
      <c r="E249" t="str">
        <f>"10341921"</f>
        <v>10341921</v>
      </c>
      <c r="F249" t="str">
        <f>""</f>
        <v/>
      </c>
      <c r="G249" t="str">
        <f>"No associated gene"</f>
        <v>No associated gene</v>
      </c>
    </row>
    <row r="250" spans="1:10">
      <c r="A250">
        <v>10417601</v>
      </c>
      <c r="B250">
        <v>2.2989307346568801</v>
      </c>
      <c r="C250">
        <v>0.196168772624013</v>
      </c>
      <c r="E250" t="str">
        <f>"10417601"</f>
        <v>10417601</v>
      </c>
      <c r="F250" t="str">
        <f t="shared" ref="F250:F259" si="16">"Affy 1.0 ST"</f>
        <v>Affy 1.0 ST</v>
      </c>
      <c r="G250" t="str">
        <f>"MGI:97803"</f>
        <v>MGI:97803</v>
      </c>
      <c r="H250" t="str">
        <f>"Ptma"</f>
        <v>Ptma</v>
      </c>
      <c r="I250" t="str">
        <f>"prothymosin alpha"</f>
        <v>prothymosin alpha</v>
      </c>
      <c r="J250" t="str">
        <f>"protein coding gene"</f>
        <v>protein coding gene</v>
      </c>
    </row>
    <row r="251" spans="1:10">
      <c r="A251">
        <v>10450374</v>
      </c>
      <c r="B251">
        <v>2.2909833622910898</v>
      </c>
      <c r="C251">
        <v>0.117541794626372</v>
      </c>
      <c r="E251" t="str">
        <f>"10450374"</f>
        <v>10450374</v>
      </c>
      <c r="F251" t="str">
        <f t="shared" si="16"/>
        <v>Affy 1.0 ST</v>
      </c>
      <c r="G251" t="str">
        <f>"MGI:1306799"</f>
        <v>MGI:1306799</v>
      </c>
      <c r="H251" t="str">
        <f>"D17H6S56E-5"</f>
        <v>D17H6S56E-5</v>
      </c>
      <c r="I251" t="s">
        <v>78</v>
      </c>
      <c r="J251" t="s">
        <v>79</v>
      </c>
    </row>
    <row r="252" spans="1:10">
      <c r="A252">
        <v>10465553</v>
      </c>
      <c r="B252">
        <v>2.2877927979366799</v>
      </c>
      <c r="C252">
        <v>0.19715794927154001</v>
      </c>
      <c r="E252" t="str">
        <f>"10465553"</f>
        <v>10465553</v>
      </c>
      <c r="F252" t="str">
        <f t="shared" si="16"/>
        <v>Affy 1.0 ST</v>
      </c>
      <c r="G252" t="str">
        <f>"MGI:95542"</f>
        <v>MGI:95542</v>
      </c>
      <c r="H252" t="str">
        <f>"Fkbp2"</f>
        <v>Fkbp2</v>
      </c>
      <c r="I252" t="str">
        <f>"FK506 binding protein 2"</f>
        <v>FK506 binding protein 2</v>
      </c>
      <c r="J252" t="str">
        <f>"protein coding gene"</f>
        <v>protein coding gene</v>
      </c>
    </row>
    <row r="253" spans="1:10">
      <c r="A253">
        <v>10582501</v>
      </c>
      <c r="B253">
        <v>2.2803702531357</v>
      </c>
      <c r="C253">
        <v>0.88485890403916101</v>
      </c>
      <c r="E253" t="str">
        <f>"10582501"</f>
        <v>10582501</v>
      </c>
      <c r="F253" t="str">
        <f t="shared" si="16"/>
        <v>Affy 1.0 ST</v>
      </c>
      <c r="G253" t="str">
        <f>"MGI:1341823"</f>
        <v>MGI:1341823</v>
      </c>
      <c r="H253" t="str">
        <f>"Fanca"</f>
        <v>Fanca</v>
      </c>
      <c r="I253" t="s">
        <v>80</v>
      </c>
      <c r="J253" t="s">
        <v>13</v>
      </c>
    </row>
    <row r="254" spans="1:10">
      <c r="A254">
        <v>10405741</v>
      </c>
      <c r="B254">
        <v>2.2787781007566799</v>
      </c>
      <c r="C254">
        <v>0.50801707944244301</v>
      </c>
      <c r="E254" t="str">
        <f>"10405741"</f>
        <v>10405741</v>
      </c>
      <c r="F254" t="str">
        <f t="shared" si="16"/>
        <v>Affy 1.0 ST</v>
      </c>
      <c r="G254" t="str">
        <f>"MGI:3781516"</f>
        <v>MGI:3781516</v>
      </c>
      <c r="H254" t="str">
        <f>"Gm3338"</f>
        <v>Gm3338</v>
      </c>
      <c r="I254" t="str">
        <f>"predicted gene 3338"</f>
        <v>predicted gene 3338</v>
      </c>
      <c r="J254" t="str">
        <f>"pseudogene"</f>
        <v>pseudogene</v>
      </c>
    </row>
    <row r="255" spans="1:10">
      <c r="A255">
        <v>10518561</v>
      </c>
      <c r="B255">
        <v>2.2673007962804199</v>
      </c>
      <c r="C255">
        <v>0.652219311813241</v>
      </c>
      <c r="E255" t="str">
        <f>"10518561"</f>
        <v>10518561</v>
      </c>
      <c r="F255" t="str">
        <f t="shared" si="16"/>
        <v>Affy 1.0 ST</v>
      </c>
      <c r="G255" t="str">
        <f>"MGI:1917178"</f>
        <v>MGI:1917178</v>
      </c>
      <c r="H255" t="str">
        <f>"Apitd1"</f>
        <v>Apitd1</v>
      </c>
      <c r="I255" t="s">
        <v>81</v>
      </c>
      <c r="J255" t="s">
        <v>13</v>
      </c>
    </row>
    <row r="256" spans="1:10">
      <c r="A256">
        <v>10578683</v>
      </c>
      <c r="B256">
        <v>2.26114292649395</v>
      </c>
      <c r="C256">
        <v>0.42008366589345097</v>
      </c>
      <c r="E256" t="str">
        <f>"10578683"</f>
        <v>10578683</v>
      </c>
      <c r="F256" t="str">
        <f t="shared" si="16"/>
        <v>Affy 1.0 ST</v>
      </c>
      <c r="G256" t="str">
        <f>"MGI:1914454"</f>
        <v>MGI:1914454</v>
      </c>
      <c r="H256" t="str">
        <f>"Eif2s2"</f>
        <v>Eif2s2</v>
      </c>
      <c r="I256" t="s">
        <v>82</v>
      </c>
      <c r="J256" t="s">
        <v>13</v>
      </c>
    </row>
    <row r="257" spans="1:10">
      <c r="A257">
        <v>10588294</v>
      </c>
      <c r="B257">
        <v>2.25752735142227</v>
      </c>
      <c r="C257">
        <v>0.68932184516291295</v>
      </c>
      <c r="E257" t="str">
        <f>"10588294"</f>
        <v>10588294</v>
      </c>
      <c r="F257" t="str">
        <f t="shared" si="16"/>
        <v>Affy 1.0 ST</v>
      </c>
      <c r="G257" t="str">
        <f>"MGI:1920018"</f>
        <v>MGI:1920018</v>
      </c>
      <c r="H257" t="str">
        <f>"Topbp1"</f>
        <v>Topbp1</v>
      </c>
      <c r="I257" t="str">
        <f>"topoisomerase (DNA) II binding protein 1"</f>
        <v>topoisomerase (DNA) II binding protein 1</v>
      </c>
      <c r="J257" t="str">
        <f>"protein coding gene"</f>
        <v>protein coding gene</v>
      </c>
    </row>
    <row r="258" spans="1:10">
      <c r="A258">
        <v>10490946</v>
      </c>
      <c r="B258">
        <v>2.2493933123015801</v>
      </c>
      <c r="C258">
        <v>0.60465797808950394</v>
      </c>
      <c r="E258" t="str">
        <f>"10490946"</f>
        <v>10490946</v>
      </c>
      <c r="F258" t="str">
        <f t="shared" si="16"/>
        <v>Affy 1.0 ST</v>
      </c>
      <c r="G258" t="str">
        <f>"MGI:96250"</f>
        <v>MGI:96250</v>
      </c>
      <c r="H258" t="str">
        <f>"Hsp90aa1"</f>
        <v>Hsp90aa1</v>
      </c>
      <c r="I258" t="s">
        <v>67</v>
      </c>
      <c r="J258" t="s">
        <v>13</v>
      </c>
    </row>
    <row r="259" spans="1:10">
      <c r="A259">
        <v>10372687</v>
      </c>
      <c r="B259">
        <v>2.2433362307658902</v>
      </c>
      <c r="C259">
        <v>0.54199363308030502</v>
      </c>
      <c r="E259" t="str">
        <f>"10372687"</f>
        <v>10372687</v>
      </c>
      <c r="F259" t="str">
        <f t="shared" si="16"/>
        <v>Affy 1.0 ST</v>
      </c>
      <c r="G259" t="str">
        <f>"MGI:2143854"</f>
        <v>MGI:2143854</v>
      </c>
      <c r="H259" t="str">
        <f>"Nup107"</f>
        <v>Nup107</v>
      </c>
      <c r="I259" t="str">
        <f>"nucleoporin 107"</f>
        <v>nucleoporin 107</v>
      </c>
      <c r="J259" t="str">
        <f>"protein coding gene"</f>
        <v>protein coding gene</v>
      </c>
    </row>
    <row r="260" spans="1:10">
      <c r="A260">
        <v>10342490</v>
      </c>
      <c r="B260">
        <v>2.2327549414791101</v>
      </c>
      <c r="C260">
        <v>0.31349826803548098</v>
      </c>
      <c r="E260" t="str">
        <f>"10342490"</f>
        <v>10342490</v>
      </c>
      <c r="F260" t="str">
        <f>""</f>
        <v/>
      </c>
      <c r="G260" t="str">
        <f>"No associated gene"</f>
        <v>No associated gene</v>
      </c>
    </row>
    <row r="261" spans="1:10">
      <c r="A261">
        <v>10472058</v>
      </c>
      <c r="B261">
        <v>2.2274921768393598</v>
      </c>
      <c r="C261">
        <v>0.65479326105472002</v>
      </c>
      <c r="E261" t="str">
        <f>"10472058"</f>
        <v>10472058</v>
      </c>
      <c r="F261" t="str">
        <f>"Affy 1.0 ST"</f>
        <v>Affy 1.0 ST</v>
      </c>
      <c r="G261" t="str">
        <f>"MGI:1098622"</f>
        <v>MGI:1098622</v>
      </c>
      <c r="H261" t="str">
        <f>"Rif1"</f>
        <v>Rif1</v>
      </c>
      <c r="I261" t="str">
        <f>"Rap1 interacting factor 1 homolog (yeast)"</f>
        <v>Rap1 interacting factor 1 homolog (yeast)</v>
      </c>
      <c r="J261" t="str">
        <f>"protein coding gene"</f>
        <v>protein coding gene</v>
      </c>
    </row>
    <row r="262" spans="1:10">
      <c r="A262">
        <v>10565862</v>
      </c>
      <c r="B262">
        <v>2.2242653204649199</v>
      </c>
      <c r="C262">
        <v>0.30294813937125198</v>
      </c>
      <c r="E262" t="str">
        <f>"10565862"</f>
        <v>10565862</v>
      </c>
      <c r="F262" t="str">
        <f>"Affy 1.0 ST"</f>
        <v>Affy 1.0 ST</v>
      </c>
      <c r="G262" t="str">
        <f>"MGI:1915217"</f>
        <v>MGI:1915217</v>
      </c>
      <c r="H262" t="str">
        <f>"Pold3"</f>
        <v>Pold3</v>
      </c>
      <c r="I262" t="s">
        <v>83</v>
      </c>
      <c r="J262" t="s">
        <v>13</v>
      </c>
    </row>
    <row r="263" spans="1:10">
      <c r="A263">
        <v>10584712</v>
      </c>
      <c r="B263">
        <v>2.1763282718988499</v>
      </c>
      <c r="C263">
        <v>0.52192229736707096</v>
      </c>
      <c r="E263" t="str">
        <f>"10584712"</f>
        <v>10584712</v>
      </c>
      <c r="F263" t="str">
        <f>"Affy 1.0 ST"</f>
        <v>Affy 1.0 ST</v>
      </c>
      <c r="G263" t="str">
        <f>"MGI:108030"</f>
        <v>MGI:108030</v>
      </c>
      <c r="H263" t="str">
        <f>"Hyou1"</f>
        <v>Hyou1</v>
      </c>
      <c r="I263" t="str">
        <f>"hypoxia up-regulated 1"</f>
        <v>hypoxia up-regulated 1</v>
      </c>
      <c r="J263" t="str">
        <f>"protein coding gene"</f>
        <v>protein coding gene</v>
      </c>
    </row>
    <row r="264" spans="1:10">
      <c r="A264">
        <v>10345791</v>
      </c>
      <c r="B264">
        <v>2.16789753264263</v>
      </c>
      <c r="C264">
        <v>0.35940260470150298</v>
      </c>
      <c r="E264" t="str">
        <f>"10345791"</f>
        <v>10345791</v>
      </c>
      <c r="F264" t="str">
        <f>"Affy 1.0 ST"</f>
        <v>Affy 1.0 ST</v>
      </c>
      <c r="G264" t="str">
        <f>"MGI:98427"</f>
        <v>MGI:98427</v>
      </c>
      <c r="H264" t="str">
        <f>"Il1rl1"</f>
        <v>Il1rl1</v>
      </c>
      <c r="I264" t="str">
        <f>"interleukin 1 receptor-like 1"</f>
        <v>interleukin 1 receptor-like 1</v>
      </c>
      <c r="J264" t="str">
        <f>"protein coding gene"</f>
        <v>protein coding gene</v>
      </c>
    </row>
    <row r="265" spans="1:10">
      <c r="A265">
        <v>10343572</v>
      </c>
      <c r="B265">
        <v>2.1645928721938499</v>
      </c>
      <c r="C265">
        <v>0.117526214805002</v>
      </c>
      <c r="E265" t="str">
        <f>"10343572"</f>
        <v>10343572</v>
      </c>
      <c r="F265" t="str">
        <f>""</f>
        <v/>
      </c>
      <c r="G265" t="str">
        <f>"No associated gene"</f>
        <v>No associated gene</v>
      </c>
    </row>
    <row r="266" spans="1:10">
      <c r="A266">
        <v>10447799</v>
      </c>
      <c r="B266">
        <v>2.155648374554</v>
      </c>
      <c r="C266">
        <v>0.37174503984670798</v>
      </c>
      <c r="E266" t="str">
        <f>"10447799"</f>
        <v>10447799</v>
      </c>
      <c r="F266" t="str">
        <f t="shared" ref="F266:F272" si="17">"Affy 1.0 ST"</f>
        <v>Affy 1.0 ST</v>
      </c>
      <c r="G266" t="str">
        <f>"MGI:96435"</f>
        <v>MGI:96435</v>
      </c>
      <c r="H266" t="str">
        <f>"Igf2r"</f>
        <v>Igf2r</v>
      </c>
      <c r="I266" t="str">
        <f>"insulin-like growth factor 2 receptor"</f>
        <v>insulin-like growth factor 2 receptor</v>
      </c>
      <c r="J266" t="str">
        <f>"protein coding gene"</f>
        <v>protein coding gene</v>
      </c>
    </row>
    <row r="267" spans="1:10">
      <c r="A267">
        <v>10538253</v>
      </c>
      <c r="B267">
        <v>2.1303803790719802</v>
      </c>
      <c r="C267">
        <v>0.39144057857984799</v>
      </c>
      <c r="E267" t="str">
        <f>"10538253"</f>
        <v>10538253</v>
      </c>
      <c r="F267" t="str">
        <f t="shared" si="17"/>
        <v>Affy 1.0 ST</v>
      </c>
      <c r="G267" t="str">
        <f>"MGI:1927340"</f>
        <v>MGI:1927340</v>
      </c>
      <c r="H267" t="str">
        <f>"Mpp6"</f>
        <v>Mpp6</v>
      </c>
      <c r="I267" t="s">
        <v>84</v>
      </c>
      <c r="J267" t="s">
        <v>13</v>
      </c>
    </row>
    <row r="268" spans="1:10">
      <c r="A268">
        <v>10585706</v>
      </c>
      <c r="B268">
        <v>2.1266163428929001</v>
      </c>
      <c r="C268">
        <v>0.41526923660681703</v>
      </c>
      <c r="E268" t="str">
        <f>"10585706"</f>
        <v>10585706</v>
      </c>
      <c r="F268" t="str">
        <f t="shared" si="17"/>
        <v>Affy 1.0 ST</v>
      </c>
      <c r="G268" t="str">
        <f>"MGI:88474"</f>
        <v>MGI:88474</v>
      </c>
      <c r="H268" t="str">
        <f>"Cox5a"</f>
        <v>Cox5a</v>
      </c>
      <c r="I268" t="s">
        <v>85</v>
      </c>
      <c r="J268" t="s">
        <v>13</v>
      </c>
    </row>
    <row r="269" spans="1:10">
      <c r="A269">
        <v>10352756</v>
      </c>
      <c r="B269">
        <v>2.1243965417367199</v>
      </c>
      <c r="C269">
        <v>0.46559453272114998</v>
      </c>
      <c r="E269" t="str">
        <f>"10352756"</f>
        <v>10352756</v>
      </c>
      <c r="F269" t="str">
        <f t="shared" si="17"/>
        <v>Affy 1.0 ST</v>
      </c>
      <c r="G269" t="str">
        <f>"MGI:2446186"</f>
        <v>MGI:2446186</v>
      </c>
      <c r="H269" t="str">
        <f>"Lpgat1"</f>
        <v>Lpgat1</v>
      </c>
      <c r="I269" t="str">
        <f>"lysophosphatidylglycerol acyltransferase 1"</f>
        <v>lysophosphatidylglycerol acyltransferase 1</v>
      </c>
      <c r="J269" t="str">
        <f>"protein coding gene"</f>
        <v>protein coding gene</v>
      </c>
    </row>
    <row r="270" spans="1:10">
      <c r="A270">
        <v>10426098</v>
      </c>
      <c r="B270">
        <v>2.1188554225910798</v>
      </c>
      <c r="C270">
        <v>0.32918450380896602</v>
      </c>
      <c r="E270" t="str">
        <f>"10426098"</f>
        <v>10426098</v>
      </c>
      <c r="F270" t="str">
        <f t="shared" si="17"/>
        <v>Affy 1.0 ST</v>
      </c>
      <c r="G270" t="str">
        <f>"MGI:1923987"</f>
        <v>MGI:1923987</v>
      </c>
      <c r="H270" t="str">
        <f>"Creld2"</f>
        <v>Creld2</v>
      </c>
      <c r="I270" t="str">
        <f>"cysteine-rich with EGF-like domains 2"</f>
        <v>cysteine-rich with EGF-like domains 2</v>
      </c>
      <c r="J270" t="str">
        <f>"protein coding gene"</f>
        <v>protein coding gene</v>
      </c>
    </row>
    <row r="271" spans="1:10">
      <c r="A271">
        <v>10480121</v>
      </c>
      <c r="B271">
        <v>2.1145340272300799</v>
      </c>
      <c r="C271">
        <v>0.43129983378114101</v>
      </c>
      <c r="E271" t="str">
        <f>"10480121"</f>
        <v>10480121</v>
      </c>
      <c r="F271" t="str">
        <f t="shared" si="17"/>
        <v>Affy 1.0 ST</v>
      </c>
      <c r="G271" t="str">
        <f>"MGI:1914210"</f>
        <v>MGI:1914210</v>
      </c>
      <c r="H271" t="str">
        <f>"Fam188a"</f>
        <v>Fam188a</v>
      </c>
      <c r="I271" t="s">
        <v>86</v>
      </c>
      <c r="J271" t="s">
        <v>13</v>
      </c>
    </row>
    <row r="272" spans="1:10">
      <c r="A272">
        <v>10453825</v>
      </c>
      <c r="B272">
        <v>2.1127727448744</v>
      </c>
      <c r="C272">
        <v>0.207468659524882</v>
      </c>
      <c r="E272" t="str">
        <f>"10453825"</f>
        <v>10453825</v>
      </c>
      <c r="F272" t="str">
        <f t="shared" si="17"/>
        <v>Affy 1.0 ST</v>
      </c>
      <c r="G272" t="str">
        <f>"MGI:98344"</f>
        <v>MGI:98344</v>
      </c>
      <c r="H272" t="str">
        <f>"Snrpd1"</f>
        <v>Snrpd1</v>
      </c>
      <c r="I272" t="str">
        <f>"small nuclear ribonucleoprotein D1"</f>
        <v>small nuclear ribonucleoprotein D1</v>
      </c>
      <c r="J272" t="str">
        <f>"protein coding gene"</f>
        <v>protein coding gene</v>
      </c>
    </row>
    <row r="273" spans="1:10">
      <c r="A273">
        <v>10340370</v>
      </c>
      <c r="B273">
        <v>2.11038033696093</v>
      </c>
      <c r="C273">
        <v>0.238360818746364</v>
      </c>
      <c r="E273" t="str">
        <f>"10340370"</f>
        <v>10340370</v>
      </c>
      <c r="F273" t="str">
        <f>""</f>
        <v/>
      </c>
      <c r="G273" t="str">
        <f>"No associated gene"</f>
        <v>No associated gene</v>
      </c>
    </row>
    <row r="274" spans="1:10">
      <c r="A274">
        <v>10573451</v>
      </c>
      <c r="B274">
        <v>2.1088523920423401</v>
      </c>
      <c r="C274">
        <v>0.22643836213878701</v>
      </c>
      <c r="E274" t="str">
        <f>"10573451"</f>
        <v>10573451</v>
      </c>
      <c r="F274" t="str">
        <f t="shared" ref="F274:F280" si="18">"Affy 1.0 ST"</f>
        <v>Affy 1.0 ST</v>
      </c>
      <c r="G274" t="str">
        <f>"MGI:1919096"</f>
        <v>MGI:1919096</v>
      </c>
      <c r="H274" t="str">
        <f>"Syce2"</f>
        <v>Syce2</v>
      </c>
      <c r="I274" t="str">
        <f>"synaptonemal complex central element protein 2"</f>
        <v>synaptonemal complex central element protein 2</v>
      </c>
      <c r="J274" t="str">
        <f t="shared" ref="J274:J279" si="19">"protein coding gene"</f>
        <v>protein coding gene</v>
      </c>
    </row>
    <row r="275" spans="1:10">
      <c r="A275">
        <v>10499366</v>
      </c>
      <c r="B275">
        <v>2.1066990726641701</v>
      </c>
      <c r="C275">
        <v>0.46679053811741</v>
      </c>
      <c r="E275" t="str">
        <f>"10499366"</f>
        <v>10499366</v>
      </c>
      <c r="F275" t="str">
        <f t="shared" si="18"/>
        <v>Affy 1.0 ST</v>
      </c>
      <c r="G275" t="str">
        <f>"MGI:1914287"</f>
        <v>MGI:1914287</v>
      </c>
      <c r="H275" t="str">
        <f>"Pmf1"</f>
        <v>Pmf1</v>
      </c>
      <c r="I275" t="str">
        <f>"polyamine-modulated factor 1"</f>
        <v>polyamine-modulated factor 1</v>
      </c>
      <c r="J275" t="str">
        <f t="shared" si="19"/>
        <v>protein coding gene</v>
      </c>
    </row>
    <row r="276" spans="1:10">
      <c r="A276">
        <v>10416793</v>
      </c>
      <c r="B276">
        <v>2.0863776721098901</v>
      </c>
      <c r="C276">
        <v>0.48995066829478501</v>
      </c>
      <c r="E276" t="str">
        <f>"10416793"</f>
        <v>10416793</v>
      </c>
      <c r="F276" t="str">
        <f t="shared" si="18"/>
        <v>Affy 1.0 ST</v>
      </c>
      <c r="G276" t="str">
        <f>"MGI:1355274"</f>
        <v>MGI:1355274</v>
      </c>
      <c r="H276" t="str">
        <f>"Uchl3"</f>
        <v>Uchl3</v>
      </c>
      <c r="I276" t="str">
        <f>"ubiquitin carboxyl-terminal esterase L3 (ubiquitin thiolesterase)"</f>
        <v>ubiquitin carboxyl-terminal esterase L3 (ubiquitin thiolesterase)</v>
      </c>
      <c r="J276" t="str">
        <f t="shared" si="19"/>
        <v>protein coding gene</v>
      </c>
    </row>
    <row r="277" spans="1:10">
      <c r="A277">
        <v>10521555</v>
      </c>
      <c r="B277">
        <v>2.0814023904171002</v>
      </c>
      <c r="C277">
        <v>0.28256726984345298</v>
      </c>
      <c r="E277" t="str">
        <f>"10521555"</f>
        <v>10521555</v>
      </c>
      <c r="F277" t="str">
        <f t="shared" si="18"/>
        <v>Affy 1.0 ST</v>
      </c>
      <c r="G277" t="str">
        <f>"MGI:107470"</f>
        <v>MGI:107470</v>
      </c>
      <c r="H277" t="str">
        <f>"Lyar"</f>
        <v>Lyar</v>
      </c>
      <c r="I277" t="str">
        <f>"Ly1 antibody reactive clone"</f>
        <v>Ly1 antibody reactive clone</v>
      </c>
      <c r="J277" t="str">
        <f t="shared" si="19"/>
        <v>protein coding gene</v>
      </c>
    </row>
    <row r="278" spans="1:10">
      <c r="A278">
        <v>10580219</v>
      </c>
      <c r="B278">
        <v>2.0768112635920999</v>
      </c>
      <c r="C278">
        <v>0.48727126838109602</v>
      </c>
      <c r="E278" t="str">
        <f>"10580219"</f>
        <v>10580219</v>
      </c>
      <c r="F278" t="str">
        <f t="shared" si="18"/>
        <v>Affy 1.0 ST</v>
      </c>
      <c r="G278" t="str">
        <f>"MGI:88252"</f>
        <v>MGI:88252</v>
      </c>
      <c r="H278" t="str">
        <f>"Calr"</f>
        <v>Calr</v>
      </c>
      <c r="I278" t="str">
        <f>"calreticulin"</f>
        <v>calreticulin</v>
      </c>
      <c r="J278" t="str">
        <f t="shared" si="19"/>
        <v>protein coding gene</v>
      </c>
    </row>
    <row r="279" spans="1:10">
      <c r="A279">
        <v>10489127</v>
      </c>
      <c r="B279">
        <v>2.0715772949169602</v>
      </c>
      <c r="C279">
        <v>8.3963752426271104E-2</v>
      </c>
      <c r="E279" t="str">
        <f>"10489127"</f>
        <v>10489127</v>
      </c>
      <c r="F279" t="str">
        <f t="shared" si="18"/>
        <v>Affy 1.0 ST</v>
      </c>
      <c r="G279" t="str">
        <f>"MGI:103300"</f>
        <v>MGI:103300</v>
      </c>
      <c r="H279" t="str">
        <f>"Rbl1"</f>
        <v>Rbl1</v>
      </c>
      <c r="I279" t="str">
        <f>"retinoblastoma-like 1 (p107)"</f>
        <v>retinoblastoma-like 1 (p107)</v>
      </c>
      <c r="J279" t="str">
        <f t="shared" si="19"/>
        <v>protein coding gene</v>
      </c>
    </row>
    <row r="280" spans="1:10">
      <c r="A280">
        <v>10504730</v>
      </c>
      <c r="B280">
        <v>2.0647070361572002</v>
      </c>
      <c r="C280">
        <v>0.40532106589884298</v>
      </c>
      <c r="E280" t="str">
        <f>"10504730"</f>
        <v>10504730</v>
      </c>
      <c r="F280" t="str">
        <f t="shared" si="18"/>
        <v>Affy 1.0 ST</v>
      </c>
      <c r="G280" t="str">
        <f>"MGI:1914878"</f>
        <v>MGI:1914878</v>
      </c>
      <c r="H280" t="str">
        <f>"Anp32b"</f>
        <v>Anp32b</v>
      </c>
      <c r="I280" t="s">
        <v>87</v>
      </c>
      <c r="J280" t="s">
        <v>13</v>
      </c>
    </row>
    <row r="281" spans="1:10">
      <c r="A281">
        <v>10339545</v>
      </c>
      <c r="B281">
        <v>2.0633736023589102</v>
      </c>
      <c r="C281">
        <v>0.190205600369662</v>
      </c>
      <c r="E281" t="str">
        <f>"10339545"</f>
        <v>10339545</v>
      </c>
      <c r="F281" t="str">
        <f>""</f>
        <v/>
      </c>
      <c r="G281" t="str">
        <f>"No associated gene"</f>
        <v>No associated gene</v>
      </c>
    </row>
    <row r="282" spans="1:10">
      <c r="A282">
        <v>10339375</v>
      </c>
      <c r="B282">
        <v>2.0568649812856399</v>
      </c>
      <c r="C282">
        <v>0.22986756345880499</v>
      </c>
      <c r="E282" t="str">
        <f>"10339375"</f>
        <v>10339375</v>
      </c>
      <c r="F282" t="str">
        <f>""</f>
        <v/>
      </c>
      <c r="G282" t="str">
        <f>"No associated gene"</f>
        <v>No associated gene</v>
      </c>
    </row>
    <row r="283" spans="1:10">
      <c r="A283">
        <v>10496580</v>
      </c>
      <c r="B283">
        <v>2.05276162360662</v>
      </c>
      <c r="C283">
        <v>0.32612231740245901</v>
      </c>
      <c r="E283" t="str">
        <f>"10496580"</f>
        <v>10496580</v>
      </c>
      <c r="F283" t="str">
        <f t="shared" ref="F283:F291" si="20">"Affy 1.0 ST"</f>
        <v>Affy 1.0 ST</v>
      </c>
      <c r="G283" t="str">
        <f>"MGI:1926263"</f>
        <v>MGI:1926263</v>
      </c>
      <c r="H283" t="str">
        <f>"Gbp3"</f>
        <v>Gbp3</v>
      </c>
      <c r="I283" t="str">
        <f>"guanylate binding protein 3"</f>
        <v>guanylate binding protein 3</v>
      </c>
      <c r="J283" t="str">
        <f t="shared" ref="J283:J289" si="21">"protein coding gene"</f>
        <v>protein coding gene</v>
      </c>
    </row>
    <row r="284" spans="1:10">
      <c r="A284">
        <v>10449303</v>
      </c>
      <c r="B284">
        <v>2.0457886337268198</v>
      </c>
      <c r="C284">
        <v>0.27981304424136</v>
      </c>
      <c r="E284" t="str">
        <f>"10449303"</f>
        <v>10449303</v>
      </c>
      <c r="F284" t="str">
        <f t="shared" si="20"/>
        <v>Affy 1.0 ST</v>
      </c>
      <c r="G284" t="str">
        <f>"MGI:1097161"</f>
        <v>MGI:1097161</v>
      </c>
      <c r="H284" t="str">
        <f>"Bak1"</f>
        <v>Bak1</v>
      </c>
      <c r="I284" t="str">
        <f>"BCL2-antagonist/killer 1"</f>
        <v>BCL2-antagonist/killer 1</v>
      </c>
      <c r="J284" t="str">
        <f t="shared" si="21"/>
        <v>protein coding gene</v>
      </c>
    </row>
    <row r="285" spans="1:10">
      <c r="A285">
        <v>10506118</v>
      </c>
      <c r="B285">
        <v>2.0370346627003899</v>
      </c>
      <c r="C285">
        <v>0.37865938865050103</v>
      </c>
      <c r="E285" t="str">
        <f>"10506118"</f>
        <v>10506118</v>
      </c>
      <c r="F285" t="str">
        <f t="shared" si="20"/>
        <v>Affy 1.0 ST</v>
      </c>
      <c r="G285" t="str">
        <f>"MGI:2385198"</f>
        <v>MGI:2385198</v>
      </c>
      <c r="H285" t="str">
        <f>"Usp1"</f>
        <v>Usp1</v>
      </c>
      <c r="I285" t="str">
        <f>"ubiquitin specific peptidase 1"</f>
        <v>ubiquitin specific peptidase 1</v>
      </c>
      <c r="J285" t="str">
        <f t="shared" si="21"/>
        <v>protein coding gene</v>
      </c>
    </row>
    <row r="286" spans="1:10">
      <c r="A286">
        <v>10571876</v>
      </c>
      <c r="B286">
        <v>2.0368660971782702</v>
      </c>
      <c r="C286">
        <v>0.252836387823759</v>
      </c>
      <c r="E286" t="str">
        <f>"10571876"</f>
        <v>10571876</v>
      </c>
      <c r="F286" t="str">
        <f t="shared" si="20"/>
        <v>Affy 1.0 ST</v>
      </c>
      <c r="G286" t="str">
        <f>"MGI:95640"</f>
        <v>MGI:95640</v>
      </c>
      <c r="H286" t="str">
        <f>"Gapdh"</f>
        <v>Gapdh</v>
      </c>
      <c r="I286" t="str">
        <f>"glyceraldehyde-3-phosphate dehydrogenase"</f>
        <v>glyceraldehyde-3-phosphate dehydrogenase</v>
      </c>
      <c r="J286" t="str">
        <f t="shared" si="21"/>
        <v>protein coding gene</v>
      </c>
    </row>
    <row r="287" spans="1:10">
      <c r="A287">
        <v>10492679</v>
      </c>
      <c r="B287">
        <v>2.0312567734007798</v>
      </c>
      <c r="C287">
        <v>0.451536702064957</v>
      </c>
      <c r="E287" t="str">
        <f>"10492679"</f>
        <v>10492679</v>
      </c>
      <c r="F287" t="str">
        <f t="shared" si="20"/>
        <v>Affy 1.0 ST</v>
      </c>
      <c r="G287" t="str">
        <f>"MGI:1923189"</f>
        <v>MGI:1923189</v>
      </c>
      <c r="H287" t="str">
        <f>"4930579G24Rik"</f>
        <v>4930579G24Rik</v>
      </c>
      <c r="I287" t="str">
        <f>"RIKEN cDNA 4930579G24 gene"</f>
        <v>RIKEN cDNA 4930579G24 gene</v>
      </c>
      <c r="J287" t="str">
        <f t="shared" si="21"/>
        <v>protein coding gene</v>
      </c>
    </row>
    <row r="288" spans="1:10">
      <c r="A288">
        <v>10582190</v>
      </c>
      <c r="B288">
        <v>2.0000056800263999</v>
      </c>
      <c r="C288">
        <v>0.364029006259808</v>
      </c>
      <c r="E288" t="str">
        <f>"10582190"</f>
        <v>10582190</v>
      </c>
      <c r="F288" t="str">
        <f t="shared" si="20"/>
        <v>Affy 1.0 ST</v>
      </c>
      <c r="G288" t="str">
        <f>"MGI:1921019"</f>
        <v>MGI:1921019</v>
      </c>
      <c r="H288" t="str">
        <f>"Gins2"</f>
        <v>Gins2</v>
      </c>
      <c r="I288" t="str">
        <f>"GINS complex subunit 2 (Psf2 homolog)"</f>
        <v>GINS complex subunit 2 (Psf2 homolog)</v>
      </c>
      <c r="J288" t="str">
        <f t="shared" si="21"/>
        <v>protein coding gene</v>
      </c>
    </row>
    <row r="289" spans="1:10">
      <c r="A289">
        <v>10547936</v>
      </c>
      <c r="B289">
        <v>1.9993627885018499</v>
      </c>
      <c r="C289">
        <v>0.261421629539344</v>
      </c>
      <c r="E289" t="str">
        <f>"10547936"</f>
        <v>10547936</v>
      </c>
      <c r="F289" t="str">
        <f t="shared" si="20"/>
        <v>Affy 1.0 ST</v>
      </c>
      <c r="G289" t="str">
        <f>"MGI:95640"</f>
        <v>MGI:95640</v>
      </c>
      <c r="H289" t="str">
        <f>"Gapdh"</f>
        <v>Gapdh</v>
      </c>
      <c r="I289" t="str">
        <f>"glyceraldehyde-3-phosphate dehydrogenase"</f>
        <v>glyceraldehyde-3-phosphate dehydrogenase</v>
      </c>
      <c r="J289" t="str">
        <f t="shared" si="21"/>
        <v>protein coding gene</v>
      </c>
    </row>
    <row r="290" spans="1:10">
      <c r="A290">
        <v>10533483</v>
      </c>
      <c r="B290">
        <v>1.9931254642768499</v>
      </c>
      <c r="C290">
        <v>0.26399531892790301</v>
      </c>
      <c r="E290" t="str">
        <f>"10533483"</f>
        <v>10533483</v>
      </c>
      <c r="F290" t="str">
        <f t="shared" si="20"/>
        <v>Affy 1.0 ST</v>
      </c>
      <c r="G290" t="str">
        <f>"MGI:88110"</f>
        <v>MGI:88110</v>
      </c>
      <c r="H290" t="str">
        <f>"Atp2a2"</f>
        <v>Atp2a2</v>
      </c>
      <c r="I290" t="s">
        <v>88</v>
      </c>
      <c r="J290" t="s">
        <v>13</v>
      </c>
    </row>
    <row r="291" spans="1:10">
      <c r="A291">
        <v>10362672</v>
      </c>
      <c r="B291">
        <v>1.98216956351236</v>
      </c>
      <c r="C291">
        <v>0.19003200311403601</v>
      </c>
      <c r="E291" t="str">
        <f>"10362672"</f>
        <v>10362672</v>
      </c>
      <c r="F291" t="str">
        <f t="shared" si="20"/>
        <v>Affy 1.0 ST</v>
      </c>
      <c r="G291" t="str">
        <f>"MGI:3643695"</f>
        <v>MGI:3643695</v>
      </c>
      <c r="H291" t="str">
        <f>"Gm8055"</f>
        <v>Gm8055</v>
      </c>
      <c r="I291" t="str">
        <f>"predicted pseudogene 8055"</f>
        <v>predicted pseudogene 8055</v>
      </c>
      <c r="J291" t="str">
        <f>"pseudogene"</f>
        <v>pseudogene</v>
      </c>
    </row>
    <row r="292" spans="1:10">
      <c r="A292">
        <v>10341299</v>
      </c>
      <c r="B292">
        <v>1.9682177373235701</v>
      </c>
      <c r="C292">
        <v>0.34914678409296301</v>
      </c>
      <c r="E292" t="str">
        <f>"10341299"</f>
        <v>10341299</v>
      </c>
      <c r="F292" t="str">
        <f>""</f>
        <v/>
      </c>
      <c r="G292" t="str">
        <f>"No associated gene"</f>
        <v>No associated gene</v>
      </c>
    </row>
    <row r="293" spans="1:10">
      <c r="A293">
        <v>10471586</v>
      </c>
      <c r="B293">
        <v>1.96645695906088</v>
      </c>
      <c r="C293">
        <v>0.30272168551637502</v>
      </c>
      <c r="E293" t="str">
        <f>"10471586"</f>
        <v>10471586</v>
      </c>
      <c r="F293" t="str">
        <f>"Affy 1.0 ST"</f>
        <v>Affy 1.0 ST</v>
      </c>
      <c r="G293" t="str">
        <f>"MGI:95835"</f>
        <v>MGI:95835</v>
      </c>
      <c r="H293" t="str">
        <f>"Hspa5"</f>
        <v>Hspa5</v>
      </c>
      <c r="I293" t="str">
        <f>"heat shock protein 5"</f>
        <v>heat shock protein 5</v>
      </c>
      <c r="J293" t="str">
        <f>"protein coding gene"</f>
        <v>protein coding gene</v>
      </c>
    </row>
    <row r="294" spans="1:10">
      <c r="A294">
        <v>10379346</v>
      </c>
      <c r="B294">
        <v>1.95617117491744</v>
      </c>
      <c r="C294">
        <v>0.286102224046767</v>
      </c>
      <c r="E294" t="str">
        <f>"10379346"</f>
        <v>10379346</v>
      </c>
      <c r="F294" t="str">
        <f>"Affy 1.0 ST"</f>
        <v>Affy 1.0 ST</v>
      </c>
      <c r="G294" t="str">
        <f>"MGI:1261758"</f>
        <v>MGI:1261758</v>
      </c>
      <c r="H294" t="str">
        <f>"Suz12"</f>
        <v>Suz12</v>
      </c>
      <c r="I294" t="str">
        <f>"suppressor of zeste 12 homolog (Drosophila)"</f>
        <v>suppressor of zeste 12 homolog (Drosophila)</v>
      </c>
      <c r="J294" t="str">
        <f>"protein coding gene"</f>
        <v>protein coding gene</v>
      </c>
    </row>
    <row r="295" spans="1:10">
      <c r="A295">
        <v>10519713</v>
      </c>
      <c r="B295">
        <v>1.9550843508799001</v>
      </c>
      <c r="C295">
        <v>0.18184672644170399</v>
      </c>
      <c r="E295" t="str">
        <f>"10519713"</f>
        <v>10519713</v>
      </c>
      <c r="F295" t="str">
        <f>""</f>
        <v/>
      </c>
      <c r="G295" t="str">
        <f>"No associated gene"</f>
        <v>No associated gene</v>
      </c>
    </row>
    <row r="296" spans="1:10">
      <c r="A296">
        <v>10556640</v>
      </c>
      <c r="B296">
        <v>1.9543291318681</v>
      </c>
      <c r="C296">
        <v>0.40382305469838797</v>
      </c>
      <c r="E296" t="str">
        <f>"10556640"</f>
        <v>10556640</v>
      </c>
      <c r="F296" t="str">
        <f>"Affy 1.0 ST"</f>
        <v>Affy 1.0 ST</v>
      </c>
      <c r="G296" t="str">
        <f>"MGI:2141942"</f>
        <v>MGI:2141942</v>
      </c>
      <c r="H296" t="str">
        <f>"6330503K22Rik"</f>
        <v>6330503K22Rik</v>
      </c>
      <c r="I296" t="str">
        <f>"RIKEN cDNA 6330503K22 gene"</f>
        <v>RIKEN cDNA 6330503K22 gene</v>
      </c>
      <c r="J296" t="str">
        <f>"protein coding gene"</f>
        <v>protein coding gene</v>
      </c>
    </row>
    <row r="297" spans="1:10">
      <c r="A297">
        <v>10348004</v>
      </c>
      <c r="B297">
        <v>1.95110289556341</v>
      </c>
      <c r="C297">
        <v>0.20441429596267299</v>
      </c>
      <c r="E297" t="str">
        <f>"10348004"</f>
        <v>10348004</v>
      </c>
      <c r="F297" t="str">
        <f>"Affy 1.0 ST"</f>
        <v>Affy 1.0 ST</v>
      </c>
      <c r="G297" t="str">
        <f>"MGI:1917497"</f>
        <v>MGI:1917497</v>
      </c>
      <c r="H297" t="str">
        <f>"Psmd1"</f>
        <v>Psmd1</v>
      </c>
      <c r="I297" t="s">
        <v>89</v>
      </c>
      <c r="J297" t="s">
        <v>13</v>
      </c>
    </row>
    <row r="298" spans="1:10">
      <c r="A298">
        <v>10459481</v>
      </c>
      <c r="B298">
        <v>1.9506438252349301</v>
      </c>
      <c r="C298">
        <v>0.23955339103206</v>
      </c>
      <c r="E298" t="str">
        <f>"10459481"</f>
        <v>10459481</v>
      </c>
      <c r="F298" t="str">
        <f>"Affy 1.0 ST"</f>
        <v>Affy 1.0 ST</v>
      </c>
      <c r="G298" t="str">
        <f>"MGI:1917611"</f>
        <v>MGI:1917611</v>
      </c>
      <c r="H298" t="str">
        <f>"Lman1"</f>
        <v>Lman1</v>
      </c>
      <c r="I298" t="s">
        <v>5</v>
      </c>
      <c r="J298" t="s">
        <v>13</v>
      </c>
    </row>
    <row r="299" spans="1:10">
      <c r="A299">
        <v>10342763</v>
      </c>
      <c r="B299">
        <v>1.94749962936022</v>
      </c>
      <c r="C299">
        <v>1.66435279475389E-2</v>
      </c>
      <c r="E299" t="str">
        <f>"10342763"</f>
        <v>10342763</v>
      </c>
      <c r="F299" t="str">
        <f>""</f>
        <v/>
      </c>
      <c r="G299" t="str">
        <f>"No associated gene"</f>
        <v>No associated gene</v>
      </c>
    </row>
    <row r="300" spans="1:10">
      <c r="A300">
        <v>10495873</v>
      </c>
      <c r="B300">
        <v>1.9405883792862699</v>
      </c>
      <c r="C300">
        <v>0.183420725652191</v>
      </c>
      <c r="E300" t="str">
        <f>"10495873"</f>
        <v>10495873</v>
      </c>
      <c r="F300" t="str">
        <f>"Affy 1.0 ST"</f>
        <v>Affy 1.0 ST</v>
      </c>
      <c r="G300" t="str">
        <f>"MGI:97803"</f>
        <v>MGI:97803</v>
      </c>
      <c r="H300" t="str">
        <f>"Ptma"</f>
        <v>Ptma</v>
      </c>
      <c r="I300" t="str">
        <f>"prothymosin alpha"</f>
        <v>prothymosin alpha</v>
      </c>
      <c r="J300" t="str">
        <f>"protein coding gene"</f>
        <v>protein coding gene</v>
      </c>
    </row>
    <row r="301" spans="1:10">
      <c r="A301">
        <v>10339065</v>
      </c>
      <c r="B301">
        <v>1.9333874964555999</v>
      </c>
      <c r="C301">
        <v>0.28518863806341499</v>
      </c>
      <c r="E301" t="str">
        <f>"10339065"</f>
        <v>10339065</v>
      </c>
      <c r="F301" t="str">
        <f>""</f>
        <v/>
      </c>
      <c r="G301" t="str">
        <f>"No associated gene"</f>
        <v>No associated gene</v>
      </c>
    </row>
    <row r="302" spans="1:10">
      <c r="A302">
        <v>10339578</v>
      </c>
      <c r="B302">
        <v>1.9247809256152399</v>
      </c>
      <c r="C302">
        <v>4.0394658207481303E-2</v>
      </c>
      <c r="E302" t="str">
        <f>"10339578"</f>
        <v>10339578</v>
      </c>
      <c r="F302" t="str">
        <f>""</f>
        <v/>
      </c>
      <c r="G302" t="str">
        <f>"No associated gene"</f>
        <v>No associated gene</v>
      </c>
    </row>
    <row r="303" spans="1:10">
      <c r="A303">
        <v>10378739</v>
      </c>
      <c r="B303">
        <v>1.91826520528247</v>
      </c>
      <c r="C303">
        <v>0.394810524024368</v>
      </c>
      <c r="E303" t="str">
        <f>"10378739"</f>
        <v>10378739</v>
      </c>
      <c r="F303" t="str">
        <f>"Affy 1.0 ST"</f>
        <v>Affy 1.0 ST</v>
      </c>
      <c r="G303" t="str">
        <f>"MGI:894689"</f>
        <v>MGI:894689</v>
      </c>
      <c r="H303" t="str">
        <f>"Ywhae"</f>
        <v>Ywhae</v>
      </c>
      <c r="I303" t="s">
        <v>6</v>
      </c>
      <c r="J303" t="s">
        <v>13</v>
      </c>
    </row>
    <row r="304" spans="1:10">
      <c r="A304">
        <v>10434675</v>
      </c>
      <c r="B304">
        <v>1.89194979625812</v>
      </c>
      <c r="C304">
        <v>0.299456667818842</v>
      </c>
      <c r="E304" t="str">
        <f>"10434675"</f>
        <v>10434675</v>
      </c>
      <c r="F304" t="str">
        <f>"Affy 1.0 ST"</f>
        <v>Affy 1.0 ST</v>
      </c>
      <c r="G304" t="str">
        <f>"MGI:1915088"</f>
        <v>MGI:1915088</v>
      </c>
      <c r="H304" t="str">
        <f>"Dnajb11"</f>
        <v>Dnajb11</v>
      </c>
      <c r="I304" t="s">
        <v>7</v>
      </c>
      <c r="J304" t="s">
        <v>13</v>
      </c>
    </row>
    <row r="305" spans="1:10">
      <c r="A305">
        <v>10385599</v>
      </c>
      <c r="B305">
        <v>1.89013159030419</v>
      </c>
      <c r="C305">
        <v>6.2392641788231999E-2</v>
      </c>
      <c r="E305" t="str">
        <f>"10385599"</f>
        <v>10385599</v>
      </c>
      <c r="F305" t="str">
        <f>"Affy 1.0 ST"</f>
        <v>Affy 1.0 ST</v>
      </c>
      <c r="G305" t="str">
        <f>"MGI:88261"</f>
        <v>MGI:88261</v>
      </c>
      <c r="H305" t="str">
        <f>"Canx"</f>
        <v>Canx</v>
      </c>
      <c r="I305" t="str">
        <f>"calnexin"</f>
        <v>calnexin</v>
      </c>
      <c r="J305" t="str">
        <f>"protein coding gene"</f>
        <v>protein coding gene</v>
      </c>
    </row>
    <row r="306" spans="1:10">
      <c r="A306">
        <v>10415444</v>
      </c>
      <c r="B306">
        <v>1.8817663706327099</v>
      </c>
      <c r="C306">
        <v>0.23309673115962701</v>
      </c>
      <c r="E306" t="str">
        <f>"10415444"</f>
        <v>10415444</v>
      </c>
      <c r="F306" t="str">
        <f>""</f>
        <v/>
      </c>
      <c r="G306" t="str">
        <f>"No associated gene"</f>
        <v>No associated gene</v>
      </c>
    </row>
    <row r="307" spans="1:10">
      <c r="A307">
        <v>10339737</v>
      </c>
      <c r="B307">
        <v>1.8804658112008401</v>
      </c>
      <c r="C307">
        <v>0.32912117380727302</v>
      </c>
      <c r="E307" t="str">
        <f>"10339737"</f>
        <v>10339737</v>
      </c>
      <c r="F307" t="str">
        <f>""</f>
        <v/>
      </c>
      <c r="G307" t="str">
        <f>"No associated gene"</f>
        <v>No associated gene</v>
      </c>
    </row>
    <row r="308" spans="1:10">
      <c r="A308">
        <v>10444658</v>
      </c>
      <c r="B308">
        <v>1.8753362443527299</v>
      </c>
      <c r="C308">
        <v>0.31750247150468602</v>
      </c>
      <c r="E308" t="str">
        <f>"10444658"</f>
        <v>10444658</v>
      </c>
      <c r="F308" t="str">
        <f>"Affy 1.0 ST"</f>
        <v>Affy 1.0 ST</v>
      </c>
      <c r="G308" t="str">
        <f>"MGI:2148924"</f>
        <v>MGI:2148924</v>
      </c>
      <c r="H308" t="str">
        <f>"Clic1"</f>
        <v>Clic1</v>
      </c>
      <c r="I308" t="str">
        <f>"chloride intracellular channel 1"</f>
        <v>chloride intracellular channel 1</v>
      </c>
      <c r="J308" t="str">
        <f>"protein coding gene"</f>
        <v>protein coding gene</v>
      </c>
    </row>
    <row r="309" spans="1:10">
      <c r="A309">
        <v>10342210</v>
      </c>
      <c r="B309">
        <v>1.87067554427484</v>
      </c>
      <c r="C309">
        <v>8.0394881686275996E-2</v>
      </c>
      <c r="E309" t="str">
        <f>"10342210"</f>
        <v>10342210</v>
      </c>
      <c r="F309" t="str">
        <f>""</f>
        <v/>
      </c>
      <c r="G309" t="str">
        <f>"No associated gene"</f>
        <v>No associated gene</v>
      </c>
    </row>
    <row r="310" spans="1:10">
      <c r="A310">
        <v>10400357</v>
      </c>
      <c r="B310">
        <v>1.8681646814883299</v>
      </c>
      <c r="C310">
        <v>0.20427317728981001</v>
      </c>
      <c r="E310" t="str">
        <f>"10400357"</f>
        <v>10400357</v>
      </c>
      <c r="F310" t="str">
        <f>"Affy 1.0 ST"</f>
        <v>Affy 1.0 ST</v>
      </c>
      <c r="G310" t="str">
        <f>"MGI:1309478"</f>
        <v>MGI:1309478</v>
      </c>
      <c r="H310" t="str">
        <f>"Baz1a"</f>
        <v>Baz1a</v>
      </c>
      <c r="I310" t="str">
        <f>"bromodomain adjacent to zinc finger domain 1A"</f>
        <v>bromodomain adjacent to zinc finger domain 1A</v>
      </c>
      <c r="J310" t="str">
        <f>"protein coding gene"</f>
        <v>protein coding gene</v>
      </c>
    </row>
    <row r="311" spans="1:10">
      <c r="A311">
        <v>10569181</v>
      </c>
      <c r="B311">
        <v>1.86167892757564</v>
      </c>
      <c r="C311">
        <v>0.34114406857014901</v>
      </c>
      <c r="E311" t="str">
        <f>"10569181"</f>
        <v>10569181</v>
      </c>
      <c r="F311" t="str">
        <f>"Affy 1.0 ST"</f>
        <v>Affy 1.0 ST</v>
      </c>
      <c r="G311" t="str">
        <f>"MGI:1889507"</f>
        <v>MGI:1889507</v>
      </c>
      <c r="H311" t="str">
        <f>"Lrdd"</f>
        <v>Lrdd</v>
      </c>
      <c r="I311" t="str">
        <f>"leucine-rich and death domain containing"</f>
        <v>leucine-rich and death domain containing</v>
      </c>
      <c r="J311" t="str">
        <f>"protein coding gene"</f>
        <v>protein coding gene</v>
      </c>
    </row>
    <row r="312" spans="1:10">
      <c r="A312">
        <v>10575550</v>
      </c>
      <c r="B312">
        <v>1.8562996665001199</v>
      </c>
      <c r="C312">
        <v>0.29870606813109801</v>
      </c>
      <c r="E312" t="str">
        <f>"10575550"</f>
        <v>10575550</v>
      </c>
      <c r="F312" t="str">
        <f>"Affy 1.0 ST"</f>
        <v>Affy 1.0 ST</v>
      </c>
      <c r="G312" t="str">
        <f>"MGI:2384560"</f>
        <v>MGI:2384560</v>
      </c>
      <c r="H312" t="str">
        <f>"Aars"</f>
        <v>Aars</v>
      </c>
      <c r="I312" t="str">
        <f>"alanyl-tRNA synthetase"</f>
        <v>alanyl-tRNA synthetase</v>
      </c>
      <c r="J312" t="str">
        <f>"protein coding gene"</f>
        <v>protein coding gene</v>
      </c>
    </row>
    <row r="313" spans="1:10">
      <c r="A313">
        <v>10517141</v>
      </c>
      <c r="B313">
        <v>1.85546402538896</v>
      </c>
      <c r="C313">
        <v>0.312844514027658</v>
      </c>
      <c r="E313" t="str">
        <f>"10517141"</f>
        <v>10517141</v>
      </c>
      <c r="F313" t="str">
        <f>"Affy 1.0 ST"</f>
        <v>Affy 1.0 ST</v>
      </c>
      <c r="G313" t="str">
        <f>"MGI:96136"</f>
        <v>MGI:96136</v>
      </c>
      <c r="H313" t="str">
        <f>"Hmgn2"</f>
        <v>Hmgn2</v>
      </c>
      <c r="I313" t="str">
        <f>"high mobility group nucleosomal binding domain 2"</f>
        <v>high mobility group nucleosomal binding domain 2</v>
      </c>
      <c r="J313" t="str">
        <f>"protein coding gene"</f>
        <v>protein coding gene</v>
      </c>
    </row>
    <row r="314" spans="1:10">
      <c r="A314">
        <v>10544015</v>
      </c>
      <c r="B314">
        <v>1.8370663290040301</v>
      </c>
      <c r="C314">
        <v>0.26840740341957497</v>
      </c>
      <c r="E314" t="str">
        <f>"10544015"</f>
        <v>10544015</v>
      </c>
      <c r="F314" t="str">
        <f>"Affy 1.0 ST"</f>
        <v>Affy 1.0 ST</v>
      </c>
      <c r="G314" t="str">
        <f>"MGI:99146"</f>
        <v>MGI:99146</v>
      </c>
      <c r="H314" t="str">
        <f>"Ybx1"</f>
        <v>Ybx1</v>
      </c>
      <c r="I314" t="str">
        <f>"Y box protein 1"</f>
        <v>Y box protein 1</v>
      </c>
      <c r="J314" t="str">
        <f>"protein coding gene"</f>
        <v>protein coding gene</v>
      </c>
    </row>
    <row r="315" spans="1:10">
      <c r="A315">
        <v>10338471</v>
      </c>
      <c r="B315">
        <v>1.8281643226284501</v>
      </c>
      <c r="C315">
        <v>0.218405006023461</v>
      </c>
      <c r="E315" t="str">
        <f>"10338471"</f>
        <v>10338471</v>
      </c>
      <c r="F315" t="str">
        <f>""</f>
        <v/>
      </c>
      <c r="G315" t="str">
        <f>"No associated gene"</f>
        <v>No associated gene</v>
      </c>
    </row>
    <row r="316" spans="1:10">
      <c r="A316">
        <v>10427772</v>
      </c>
      <c r="B316">
        <v>1.8188642126810799</v>
      </c>
      <c r="C316">
        <v>0.14683140055808599</v>
      </c>
      <c r="E316" t="str">
        <f>"10427772"</f>
        <v>10427772</v>
      </c>
      <c r="F316" t="str">
        <f t="shared" ref="F316:F332" si="22">"Affy 1.0 ST"</f>
        <v>Affy 1.0 ST</v>
      </c>
      <c r="G316" t="str">
        <f>"MGI:106314"</f>
        <v>MGI:106314</v>
      </c>
      <c r="H316" t="str">
        <f>"Tars"</f>
        <v>Tars</v>
      </c>
      <c r="I316" t="str">
        <f>"threonyl-tRNA synthetase"</f>
        <v>threonyl-tRNA synthetase</v>
      </c>
      <c r="J316" t="str">
        <f>"protein coding gene"</f>
        <v>protein coding gene</v>
      </c>
    </row>
    <row r="317" spans="1:10">
      <c r="A317">
        <v>10448192</v>
      </c>
      <c r="B317">
        <v>1.8186057972105001</v>
      </c>
      <c r="C317">
        <v>0.26676898020781797</v>
      </c>
      <c r="E317" t="str">
        <f>"10448192"</f>
        <v>10448192</v>
      </c>
      <c r="F317" t="str">
        <f t="shared" si="22"/>
        <v>Affy 1.0 ST</v>
      </c>
      <c r="G317" t="str">
        <f>"MGI:3647824"</f>
        <v>MGI:3647824</v>
      </c>
      <c r="H317" t="str">
        <f>"Gm6540"</f>
        <v>Gm6540</v>
      </c>
      <c r="I317" t="str">
        <f>"predicted gene 6540"</f>
        <v>predicted gene 6540</v>
      </c>
      <c r="J317" t="str">
        <f>"pseudogene"</f>
        <v>pseudogene</v>
      </c>
    </row>
    <row r="318" spans="1:10">
      <c r="A318">
        <v>10474239</v>
      </c>
      <c r="B318">
        <v>1.8142588666066799</v>
      </c>
      <c r="C318">
        <v>0.30055378405935301</v>
      </c>
      <c r="E318" t="str">
        <f>"10474239"</f>
        <v>10474239</v>
      </c>
      <c r="F318" t="str">
        <f t="shared" si="22"/>
        <v>Affy 1.0 ST</v>
      </c>
      <c r="G318" t="str">
        <f>"MGI:1915493"</f>
        <v>MGI:1915493</v>
      </c>
      <c r="H318" t="str">
        <f>"A930018P22Rik"</f>
        <v>A930018P22Rik</v>
      </c>
      <c r="I318" t="str">
        <f>"RIKEN cDNA A930018P22 gene"</f>
        <v>RIKEN cDNA A930018P22 gene</v>
      </c>
      <c r="J318" t="str">
        <f>"protein coding gene"</f>
        <v>protein coding gene</v>
      </c>
    </row>
    <row r="319" spans="1:10">
      <c r="A319">
        <v>10500034</v>
      </c>
      <c r="B319">
        <v>1.80866310207567</v>
      </c>
      <c r="C319">
        <v>0.21059832639151499</v>
      </c>
      <c r="E319" t="str">
        <f>"10500034"</f>
        <v>10500034</v>
      </c>
      <c r="F319" t="str">
        <f t="shared" si="22"/>
        <v>Affy 1.0 ST</v>
      </c>
      <c r="G319" t="str">
        <f>"MGI:1098257"</f>
        <v>MGI:1098257</v>
      </c>
      <c r="H319" t="str">
        <f>"Psmb4"</f>
        <v>Psmb4</v>
      </c>
      <c r="I319" t="s">
        <v>8</v>
      </c>
      <c r="J319" t="s">
        <v>13</v>
      </c>
    </row>
    <row r="320" spans="1:10">
      <c r="A320">
        <v>10420637</v>
      </c>
      <c r="B320">
        <v>1.8053809827363301</v>
      </c>
      <c r="C320">
        <v>0.26281980524728299</v>
      </c>
      <c r="E320" t="str">
        <f>"10420637"</f>
        <v>10420637</v>
      </c>
      <c r="F320" t="str">
        <f t="shared" si="22"/>
        <v>Affy 1.0 ST</v>
      </c>
      <c r="G320" t="str">
        <f>"MGI:1100863"</f>
        <v>MGI:1100863</v>
      </c>
      <c r="H320" t="str">
        <f>"Kpna3"</f>
        <v>Kpna3</v>
      </c>
      <c r="I320" t="str">
        <f>"karyopherin (importin) alpha 3"</f>
        <v>karyopherin (importin) alpha 3</v>
      </c>
      <c r="J320" t="str">
        <f>"protein coding gene"</f>
        <v>protein coding gene</v>
      </c>
    </row>
    <row r="321" spans="1:10">
      <c r="A321">
        <v>10595046</v>
      </c>
      <c r="B321">
        <v>1.79669582394885</v>
      </c>
      <c r="C321">
        <v>0.21798963027217</v>
      </c>
      <c r="E321" t="str">
        <f>"10595046"</f>
        <v>10595046</v>
      </c>
      <c r="F321" t="str">
        <f t="shared" si="22"/>
        <v>Affy 1.0 ST</v>
      </c>
      <c r="G321" t="str">
        <f>"MGI:3781847"</f>
        <v>MGI:3781847</v>
      </c>
      <c r="H321" t="str">
        <f>"Gm3671"</f>
        <v>Gm3671</v>
      </c>
      <c r="I321" t="str">
        <f>"predicted gene 3671"</f>
        <v>predicted gene 3671</v>
      </c>
      <c r="J321" t="str">
        <f>"pseudogene"</f>
        <v>pseudogene</v>
      </c>
    </row>
    <row r="322" spans="1:10">
      <c r="A322">
        <v>10417787</v>
      </c>
      <c r="B322">
        <v>1.79399544226053</v>
      </c>
      <c r="C322">
        <v>0.22550026786632399</v>
      </c>
      <c r="E322" t="str">
        <f>"10417787"</f>
        <v>10417787</v>
      </c>
      <c r="F322" t="str">
        <f t="shared" si="22"/>
        <v>Affy 1.0 ST</v>
      </c>
      <c r="G322" t="str">
        <f>"MGI:102705"</f>
        <v>MGI:102705</v>
      </c>
      <c r="H322" t="str">
        <f>"Gng2"</f>
        <v>Gng2</v>
      </c>
      <c r="I322" t="s">
        <v>9</v>
      </c>
      <c r="J322" t="s">
        <v>13</v>
      </c>
    </row>
    <row r="323" spans="1:10">
      <c r="A323">
        <v>10379689</v>
      </c>
      <c r="B323">
        <v>1.77957142391749</v>
      </c>
      <c r="C323">
        <v>0.21175441250326901</v>
      </c>
      <c r="E323" t="str">
        <f>"10379689"</f>
        <v>10379689</v>
      </c>
      <c r="F323" t="str">
        <f t="shared" si="22"/>
        <v>Affy 1.0 ST</v>
      </c>
      <c r="G323" t="str">
        <f>"MGI:1917689"</f>
        <v>MGI:1917689</v>
      </c>
      <c r="H323" t="str">
        <f>"Taf15"</f>
        <v>Taf15</v>
      </c>
      <c r="I323" t="s">
        <v>51</v>
      </c>
      <c r="J323" t="s">
        <v>13</v>
      </c>
    </row>
    <row r="324" spans="1:10">
      <c r="A324">
        <v>10562639</v>
      </c>
      <c r="B324">
        <v>1.7713734908032399</v>
      </c>
      <c r="C324">
        <v>0.25729762887193502</v>
      </c>
      <c r="E324" t="str">
        <f>"10562639"</f>
        <v>10562639</v>
      </c>
      <c r="F324" t="str">
        <f t="shared" si="22"/>
        <v>Affy 1.0 ST</v>
      </c>
      <c r="G324" t="str">
        <f>"MGI:95640"</f>
        <v>MGI:95640</v>
      </c>
      <c r="H324" t="str">
        <f>"Gapdh"</f>
        <v>Gapdh</v>
      </c>
      <c r="I324" t="str">
        <f>"glyceraldehyde-3-phosphate dehydrogenase"</f>
        <v>glyceraldehyde-3-phosphate dehydrogenase</v>
      </c>
      <c r="J324" t="str">
        <f>"protein coding gene"</f>
        <v>protein coding gene</v>
      </c>
    </row>
    <row r="325" spans="1:10">
      <c r="A325">
        <v>10600593</v>
      </c>
      <c r="B325">
        <v>1.76753201883237</v>
      </c>
      <c r="C325">
        <v>0.126111663739084</v>
      </c>
      <c r="E325" t="str">
        <f>"10600593"</f>
        <v>10600593</v>
      </c>
      <c r="F325" t="str">
        <f t="shared" si="22"/>
        <v>Affy 1.0 ST</v>
      </c>
      <c r="G325" t="str">
        <f>"MGI:1917171"</f>
        <v>MGI:1917171</v>
      </c>
      <c r="H325" t="str">
        <f>"Hnrnpa3"</f>
        <v>Hnrnpa3</v>
      </c>
      <c r="I325" t="str">
        <f>"heterogeneous nuclear ribonucleoprotein A3"</f>
        <v>heterogeneous nuclear ribonucleoprotein A3</v>
      </c>
      <c r="J325" t="str">
        <f>"protein coding gene"</f>
        <v>protein coding gene</v>
      </c>
    </row>
    <row r="326" spans="1:10">
      <c r="A326">
        <v>10351825</v>
      </c>
      <c r="B326">
        <v>1.7176688111140701</v>
      </c>
      <c r="C326">
        <v>0.13240469557574899</v>
      </c>
      <c r="E326" t="str">
        <f>"10351825"</f>
        <v>10351825</v>
      </c>
      <c r="F326" t="str">
        <f t="shared" si="22"/>
        <v>Affy 1.0 ST</v>
      </c>
      <c r="G326" t="str">
        <f>"MGI:1312985"</f>
        <v>MGI:1312985</v>
      </c>
      <c r="H326" t="str">
        <f>"Tagln2"</f>
        <v>Tagln2</v>
      </c>
      <c r="I326" t="str">
        <f>"transgelin 2"</f>
        <v>transgelin 2</v>
      </c>
      <c r="J326" t="str">
        <f>"protein coding gene"</f>
        <v>protein coding gene</v>
      </c>
    </row>
    <row r="327" spans="1:10">
      <c r="A327">
        <v>10458841</v>
      </c>
      <c r="B327">
        <v>1.7101491524333801</v>
      </c>
      <c r="C327">
        <v>0.18756585327917699</v>
      </c>
      <c r="E327" t="str">
        <f>"10458841"</f>
        <v>10458841</v>
      </c>
      <c r="F327" t="str">
        <f t="shared" si="22"/>
        <v>Affy 1.0 ST</v>
      </c>
      <c r="G327" t="str">
        <f>"MGI:3781919"</f>
        <v>MGI:3781919</v>
      </c>
      <c r="H327" t="str">
        <f>"Gm3744"</f>
        <v>Gm3744</v>
      </c>
      <c r="I327" t="str">
        <f>"predicted gene 3744"</f>
        <v>predicted gene 3744</v>
      </c>
      <c r="J327" t="str">
        <f>"pseudogene"</f>
        <v>pseudogene</v>
      </c>
    </row>
    <row r="328" spans="1:10">
      <c r="A328">
        <v>10393642</v>
      </c>
      <c r="B328">
        <v>1.7061610674149701</v>
      </c>
      <c r="C328">
        <v>8.7894833869189698E-2</v>
      </c>
      <c r="E328" t="str">
        <f>"10393642"</f>
        <v>10393642</v>
      </c>
      <c r="F328" t="str">
        <f t="shared" si="22"/>
        <v>Affy 1.0 ST</v>
      </c>
      <c r="G328" t="str">
        <f>"MGI:1923731"</f>
        <v>MGI:1923731</v>
      </c>
      <c r="H328" t="str">
        <f>"Eif4a3"</f>
        <v>Eif4a3</v>
      </c>
      <c r="I328" t="str">
        <f>"eukaryotic translation initiation factor 4A3"</f>
        <v>eukaryotic translation initiation factor 4A3</v>
      </c>
      <c r="J328" t="str">
        <f>"protein coding gene"</f>
        <v>protein coding gene</v>
      </c>
    </row>
    <row r="329" spans="1:10">
      <c r="A329">
        <v>10408709</v>
      </c>
      <c r="B329">
        <v>1.6992112303558999</v>
      </c>
      <c r="C329">
        <v>8.5006539867699293E-2</v>
      </c>
      <c r="E329" t="str">
        <f>"10408709"</f>
        <v>10408709</v>
      </c>
      <c r="F329" t="str">
        <f t="shared" si="22"/>
        <v>Affy 1.0 ST</v>
      </c>
      <c r="G329" t="str">
        <f>"MGI:105082"</f>
        <v>MGI:105082</v>
      </c>
      <c r="H329" t="str">
        <f>"Ssr1"</f>
        <v>Ssr1</v>
      </c>
      <c r="I329" t="s">
        <v>52</v>
      </c>
      <c r="J329" t="s">
        <v>13</v>
      </c>
    </row>
    <row r="330" spans="1:10">
      <c r="A330">
        <v>10356800</v>
      </c>
      <c r="B330">
        <v>1.6101176181643899</v>
      </c>
      <c r="C330">
        <v>2.0856572303182001E-2</v>
      </c>
      <c r="E330" t="str">
        <f>"10356800"</f>
        <v>10356800</v>
      </c>
      <c r="F330" t="str">
        <f t="shared" si="22"/>
        <v>Affy 1.0 ST</v>
      </c>
      <c r="G330" t="str">
        <f>"MGI:99256"</f>
        <v>MGI:99256</v>
      </c>
      <c r="H330" t="str">
        <f>"Hdlbp"</f>
        <v>Hdlbp</v>
      </c>
      <c r="I330" t="str">
        <f>"high density lipoprotein (HDL) binding protein"</f>
        <v>high density lipoprotein (HDL) binding protein</v>
      </c>
      <c r="J330" t="str">
        <f>"protein coding gene"</f>
        <v>protein coding gene</v>
      </c>
    </row>
    <row r="331" spans="1:10">
      <c r="A331">
        <v>10482731</v>
      </c>
      <c r="B331">
        <v>1.5987264096576499</v>
      </c>
      <c r="C331">
        <v>7.5127734688916994E-2</v>
      </c>
      <c r="E331" t="str">
        <f>"10482731"</f>
        <v>10482731</v>
      </c>
      <c r="F331" t="str">
        <f t="shared" si="22"/>
        <v>Affy 1.0 ST</v>
      </c>
      <c r="G331" t="str">
        <f>"MGI:1860512"</f>
        <v>MGI:1860512</v>
      </c>
      <c r="H331" t="str">
        <f>"Prpf40a"</f>
        <v>Prpf40a</v>
      </c>
      <c r="I331" t="str">
        <f>"PRP40 pre-mRNA processing factor 40 homolog A (yeast)"</f>
        <v>PRP40 pre-mRNA processing factor 40 homolog A (yeast)</v>
      </c>
      <c r="J331" t="str">
        <f>"protein coding gene"</f>
        <v>protein coding gene</v>
      </c>
    </row>
    <row r="332" spans="1:10">
      <c r="A332">
        <v>10532753</v>
      </c>
      <c r="B332">
        <v>1.5888699223012299</v>
      </c>
      <c r="C332">
        <v>6.7740926865287002E-2</v>
      </c>
      <c r="E332" t="str">
        <f>"10532753"</f>
        <v>10532753</v>
      </c>
      <c r="F332" t="str">
        <f t="shared" si="22"/>
        <v>Affy 1.0 ST</v>
      </c>
      <c r="G332" t="str">
        <f>"MGI:1345964"</f>
        <v>MGI:1345964</v>
      </c>
      <c r="H332" t="str">
        <f>"Coro1c"</f>
        <v>Coro1c</v>
      </c>
      <c r="I332" t="s">
        <v>53</v>
      </c>
      <c r="J332" t="s">
        <v>13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activatedMature-up-in-ont.xls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Meehan</dc:creator>
  <cp:lastModifiedBy>Terry Meehan</cp:lastModifiedBy>
  <dcterms:created xsi:type="dcterms:W3CDTF">2011-02-05T15:41:24Z</dcterms:created>
  <dcterms:modified xsi:type="dcterms:W3CDTF">2011-02-05T16:35:38Z</dcterms:modified>
</cp:coreProperties>
</file>